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olimi365-my.sharepoint.com/personal/10670120_polimi_it/Documents/POLIMI/II ANNO/II SEMESTRE/MOLECULAR MODELING IN PROCESS ENGINEERING/Practicals/Project4/"/>
    </mc:Choice>
  </mc:AlternateContent>
  <xr:revisionPtr revIDLastSave="92" documentId="13_ncr:1_{70400A1C-9792-4FA3-8E3C-1CF49F5C10D5}" xr6:coauthVersionLast="47" xr6:coauthVersionMax="47" xr10:uidLastSave="{B825A27F-8D2F-48D3-8FB0-9EF5AE532F4B}"/>
  <bookViews>
    <workbookView xWindow="-108" yWindow="-108" windowWidth="23256" windowHeight="12456" activeTab="1" xr2:uid="{0D4DDE44-49CC-40C5-95B8-AE50AB4CCCA1}"/>
  </bookViews>
  <sheets>
    <sheet name="Etano" sheetId="1" r:id="rId1"/>
    <sheet name="Metano" sheetId="3" r:id="rId2"/>
    <sheet name="Diossido di azoto" sheetId="5" r:id="rId3"/>
    <sheet name="Acqua" sheetId="6" r:id="rId4"/>
    <sheet name="Monossido di carbonio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71" i="3" l="1"/>
  <c r="H170" i="3"/>
  <c r="H168" i="3"/>
  <c r="H167" i="3"/>
  <c r="H169" i="3"/>
  <c r="H166" i="3"/>
  <c r="H165" i="3"/>
  <c r="H164" i="3"/>
  <c r="H163" i="3"/>
  <c r="H162" i="3"/>
  <c r="H161" i="3"/>
  <c r="H160" i="3"/>
  <c r="I163" i="3"/>
  <c r="L159" i="3"/>
  <c r="H159" i="3"/>
  <c r="H158" i="3"/>
  <c r="H157" i="3"/>
  <c r="I157" i="3" s="1"/>
  <c r="H156" i="3"/>
  <c r="I156" i="3" s="1"/>
  <c r="H155" i="3"/>
  <c r="H153" i="3"/>
  <c r="H154" i="3"/>
  <c r="I168" i="3"/>
  <c r="I167" i="3"/>
  <c r="I162" i="3"/>
  <c r="I161" i="3"/>
  <c r="I160" i="3"/>
  <c r="I153" i="3"/>
  <c r="L158" i="3" s="1"/>
  <c r="I154" i="3"/>
  <c r="I155" i="3"/>
  <c r="I158" i="3"/>
  <c r="I159" i="3"/>
  <c r="I164" i="3"/>
  <c r="I165" i="3"/>
  <c r="I166" i="3"/>
  <c r="I169" i="3"/>
  <c r="I170" i="3"/>
  <c r="I171" i="3"/>
  <c r="E66" i="3"/>
  <c r="E65" i="3"/>
  <c r="F65" i="3" s="1"/>
  <c r="G65" i="3" s="1"/>
  <c r="H65" i="3" s="1"/>
  <c r="I65" i="3" s="1"/>
  <c r="J65" i="3" s="1"/>
  <c r="K65" i="3" s="1"/>
  <c r="L65" i="3" s="1"/>
  <c r="M65" i="3" s="1"/>
  <c r="N65" i="3" s="1"/>
  <c r="O65" i="3" s="1"/>
  <c r="P65" i="3" s="1"/>
  <c r="Q65" i="3" s="1"/>
  <c r="R65" i="3" s="1"/>
  <c r="S65" i="3" s="1"/>
  <c r="T65" i="3" s="1"/>
  <c r="U65" i="3" s="1"/>
  <c r="V65" i="3" s="1"/>
  <c r="W65" i="3" s="1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28" i="3"/>
  <c r="B53" i="1"/>
  <c r="B54" i="1"/>
  <c r="B55" i="1"/>
  <c r="B56" i="1"/>
  <c r="B57" i="1"/>
  <c r="B58" i="1"/>
  <c r="B59" i="1"/>
  <c r="B60" i="1"/>
  <c r="B73" i="1" s="1"/>
  <c r="D78" i="1" s="1"/>
  <c r="B61" i="1"/>
  <c r="B62" i="1"/>
  <c r="B63" i="1"/>
  <c r="B64" i="1"/>
  <c r="B65" i="1"/>
  <c r="B66" i="1"/>
  <c r="B67" i="1"/>
  <c r="B68" i="1"/>
  <c r="B69" i="1"/>
  <c r="B70" i="1"/>
  <c r="K178" i="7"/>
  <c r="K179" i="7"/>
  <c r="K180" i="7"/>
  <c r="K181" i="7"/>
  <c r="K182" i="7"/>
  <c r="K183" i="7"/>
  <c r="K184" i="7"/>
  <c r="K185" i="7"/>
  <c r="K186" i="7"/>
  <c r="K187" i="7"/>
  <c r="K188" i="7"/>
  <c r="K189" i="7"/>
  <c r="K190" i="7"/>
  <c r="K191" i="7"/>
  <c r="K192" i="7"/>
  <c r="K193" i="7"/>
  <c r="K194" i="7"/>
  <c r="K177" i="7"/>
  <c r="K176" i="7"/>
  <c r="E176" i="7"/>
  <c r="E194" i="7"/>
  <c r="E177" i="7"/>
  <c r="E178" i="7"/>
  <c r="E179" i="7"/>
  <c r="E180" i="7"/>
  <c r="E181" i="7"/>
  <c r="E182" i="7"/>
  <c r="E183" i="7"/>
  <c r="E184" i="7"/>
  <c r="E185" i="7"/>
  <c r="E186" i="7"/>
  <c r="E187" i="7"/>
  <c r="E188" i="7"/>
  <c r="E189" i="7"/>
  <c r="E190" i="7"/>
  <c r="E191" i="7"/>
  <c r="E192" i="7"/>
  <c r="E193" i="7"/>
  <c r="E250" i="7"/>
  <c r="E251" i="7"/>
  <c r="E252" i="7"/>
  <c r="E253" i="7"/>
  <c r="E254" i="7"/>
  <c r="E255" i="7"/>
  <c r="E256" i="7"/>
  <c r="E257" i="7"/>
  <c r="E258" i="7"/>
  <c r="E259" i="7"/>
  <c r="E260" i="7"/>
  <c r="E261" i="7"/>
  <c r="E262" i="7"/>
  <c r="E263" i="7"/>
  <c r="E264" i="7"/>
  <c r="E265" i="7"/>
  <c r="E266" i="7"/>
  <c r="E267" i="7"/>
  <c r="E249" i="7"/>
  <c r="K228" i="7"/>
  <c r="K229" i="7"/>
  <c r="K230" i="7"/>
  <c r="K231" i="7"/>
  <c r="K232" i="7"/>
  <c r="K233" i="7"/>
  <c r="K234" i="7"/>
  <c r="K235" i="7"/>
  <c r="K236" i="7"/>
  <c r="K237" i="7"/>
  <c r="K238" i="7"/>
  <c r="K239" i="7"/>
  <c r="K240" i="7"/>
  <c r="K241" i="7"/>
  <c r="K242" i="7"/>
  <c r="K243" i="7"/>
  <c r="K244" i="7"/>
  <c r="K227" i="7"/>
  <c r="K226" i="7"/>
  <c r="E226" i="7"/>
  <c r="E227" i="7"/>
  <c r="E228" i="7"/>
  <c r="E229" i="7"/>
  <c r="E230" i="7"/>
  <c r="E231" i="7"/>
  <c r="E232" i="7"/>
  <c r="E233" i="7"/>
  <c r="E234" i="7"/>
  <c r="E235" i="7"/>
  <c r="E236" i="7"/>
  <c r="E237" i="7"/>
  <c r="E238" i="7"/>
  <c r="E239" i="7"/>
  <c r="E240" i="7"/>
  <c r="E241" i="7"/>
  <c r="E242" i="7"/>
  <c r="E243" i="7"/>
  <c r="E244" i="7"/>
  <c r="K204" i="7"/>
  <c r="K205" i="7"/>
  <c r="K206" i="7"/>
  <c r="K207" i="7"/>
  <c r="K208" i="7"/>
  <c r="K209" i="7"/>
  <c r="K210" i="7"/>
  <c r="K211" i="7"/>
  <c r="K212" i="7"/>
  <c r="K213" i="7"/>
  <c r="K214" i="7"/>
  <c r="K215" i="7"/>
  <c r="K216" i="7"/>
  <c r="K217" i="7"/>
  <c r="K218" i="7"/>
  <c r="K219" i="7"/>
  <c r="K220" i="7"/>
  <c r="K203" i="7"/>
  <c r="K202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L161" i="7"/>
  <c r="E154" i="7"/>
  <c r="E155" i="7"/>
  <c r="E156" i="7"/>
  <c r="E157" i="7"/>
  <c r="E158" i="7"/>
  <c r="E159" i="7"/>
  <c r="E160" i="7"/>
  <c r="E161" i="7"/>
  <c r="E162" i="7"/>
  <c r="E163" i="7"/>
  <c r="E164" i="7"/>
  <c r="E165" i="7"/>
  <c r="E166" i="7"/>
  <c r="E167" i="7"/>
  <c r="E168" i="7"/>
  <c r="E169" i="7"/>
  <c r="E170" i="7"/>
  <c r="E171" i="7"/>
  <c r="E153" i="7"/>
  <c r="E106" i="7"/>
  <c r="E107" i="7"/>
  <c r="E108" i="7"/>
  <c r="E109" i="7"/>
  <c r="E110" i="7"/>
  <c r="E111" i="7"/>
  <c r="E112" i="7"/>
  <c r="E113" i="7"/>
  <c r="E114" i="7"/>
  <c r="E115" i="7"/>
  <c r="E116" i="7"/>
  <c r="E117" i="7"/>
  <c r="E118" i="7"/>
  <c r="E119" i="7"/>
  <c r="E120" i="7"/>
  <c r="E121" i="7"/>
  <c r="E122" i="7"/>
  <c r="E123" i="7"/>
  <c r="E124" i="7"/>
  <c r="B111" i="7"/>
  <c r="D108" i="7"/>
  <c r="D109" i="7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23" i="7" s="1"/>
  <c r="D124" i="7" s="1"/>
  <c r="D107" i="7"/>
  <c r="D106" i="7"/>
  <c r="E2" i="7"/>
  <c r="J292" i="7"/>
  <c r="I292" i="7"/>
  <c r="D292" i="7"/>
  <c r="C292" i="7"/>
  <c r="J291" i="7"/>
  <c r="I291" i="7"/>
  <c r="D291" i="7"/>
  <c r="C291" i="7"/>
  <c r="J290" i="7"/>
  <c r="I290" i="7"/>
  <c r="D290" i="7"/>
  <c r="C290" i="7"/>
  <c r="J289" i="7"/>
  <c r="I289" i="7"/>
  <c r="D289" i="7"/>
  <c r="C289" i="7"/>
  <c r="J288" i="7"/>
  <c r="I288" i="7"/>
  <c r="H288" i="7"/>
  <c r="H289" i="7" s="1"/>
  <c r="H290" i="7" s="1"/>
  <c r="H291" i="7" s="1"/>
  <c r="H292" i="7" s="1"/>
  <c r="D288" i="7"/>
  <c r="C288" i="7"/>
  <c r="J287" i="7"/>
  <c r="I287" i="7"/>
  <c r="D287" i="7"/>
  <c r="C287" i="7"/>
  <c r="J286" i="7"/>
  <c r="I286" i="7"/>
  <c r="D286" i="7"/>
  <c r="C286" i="7"/>
  <c r="J285" i="7"/>
  <c r="I285" i="7"/>
  <c r="D285" i="7"/>
  <c r="C285" i="7"/>
  <c r="J284" i="7"/>
  <c r="I284" i="7"/>
  <c r="D284" i="7"/>
  <c r="C284" i="7"/>
  <c r="J283" i="7"/>
  <c r="I283" i="7"/>
  <c r="D283" i="7"/>
  <c r="C283" i="7"/>
  <c r="J282" i="7"/>
  <c r="I282" i="7"/>
  <c r="H282" i="7"/>
  <c r="H283" i="7" s="1"/>
  <c r="H284" i="7" s="1"/>
  <c r="H285" i="7" s="1"/>
  <c r="H286" i="7" s="1"/>
  <c r="H287" i="7" s="1"/>
  <c r="D282" i="7"/>
  <c r="C282" i="7"/>
  <c r="J281" i="7"/>
  <c r="I281" i="7"/>
  <c r="D281" i="7"/>
  <c r="C281" i="7"/>
  <c r="J280" i="7"/>
  <c r="I280" i="7"/>
  <c r="D280" i="7"/>
  <c r="C280" i="7"/>
  <c r="J279" i="7"/>
  <c r="I279" i="7"/>
  <c r="D279" i="7"/>
  <c r="C279" i="7"/>
  <c r="J278" i="7"/>
  <c r="I278" i="7"/>
  <c r="D278" i="7"/>
  <c r="C278" i="7"/>
  <c r="J277" i="7"/>
  <c r="I277" i="7"/>
  <c r="D277" i="7"/>
  <c r="C277" i="7"/>
  <c r="J276" i="7"/>
  <c r="I276" i="7"/>
  <c r="H276" i="7"/>
  <c r="H277" i="7" s="1"/>
  <c r="H278" i="7" s="1"/>
  <c r="H279" i="7" s="1"/>
  <c r="H280" i="7" s="1"/>
  <c r="H281" i="7" s="1"/>
  <c r="D276" i="7"/>
  <c r="C276" i="7"/>
  <c r="J275" i="7"/>
  <c r="I275" i="7"/>
  <c r="H275" i="7"/>
  <c r="D275" i="7"/>
  <c r="C275" i="7"/>
  <c r="B275" i="7"/>
  <c r="J274" i="7"/>
  <c r="I274" i="7"/>
  <c r="H274" i="7"/>
  <c r="D274" i="7"/>
  <c r="C274" i="7"/>
  <c r="B274" i="7"/>
  <c r="K274" i="7" s="1" a="1"/>
  <c r="K274" i="7" s="1"/>
  <c r="B249" i="7"/>
  <c r="J244" i="7"/>
  <c r="I244" i="7"/>
  <c r="D244" i="7"/>
  <c r="C244" i="7"/>
  <c r="J243" i="7"/>
  <c r="I243" i="7"/>
  <c r="D243" i="7"/>
  <c r="C243" i="7"/>
  <c r="J242" i="7"/>
  <c r="I242" i="7"/>
  <c r="D242" i="7"/>
  <c r="C242" i="7"/>
  <c r="J241" i="7"/>
  <c r="I241" i="7"/>
  <c r="D241" i="7"/>
  <c r="C241" i="7"/>
  <c r="J240" i="7"/>
  <c r="I240" i="7"/>
  <c r="H240" i="7"/>
  <c r="H241" i="7" s="1"/>
  <c r="H242" i="7" s="1"/>
  <c r="H243" i="7" s="1"/>
  <c r="H244" i="7" s="1"/>
  <c r="D240" i="7"/>
  <c r="C240" i="7"/>
  <c r="J239" i="7"/>
  <c r="I239" i="7"/>
  <c r="D239" i="7"/>
  <c r="C239" i="7"/>
  <c r="J238" i="7"/>
  <c r="I238" i="7"/>
  <c r="D238" i="7"/>
  <c r="C238" i="7"/>
  <c r="J237" i="7"/>
  <c r="I237" i="7"/>
  <c r="D237" i="7"/>
  <c r="C237" i="7"/>
  <c r="J236" i="7"/>
  <c r="I236" i="7"/>
  <c r="D236" i="7"/>
  <c r="C236" i="7"/>
  <c r="J235" i="7"/>
  <c r="I235" i="7"/>
  <c r="D235" i="7"/>
  <c r="C235" i="7"/>
  <c r="J234" i="7"/>
  <c r="I234" i="7"/>
  <c r="H234" i="7"/>
  <c r="H235" i="7" s="1"/>
  <c r="H236" i="7" s="1"/>
  <c r="H237" i="7" s="1"/>
  <c r="H238" i="7" s="1"/>
  <c r="H239" i="7" s="1"/>
  <c r="D234" i="7"/>
  <c r="C234" i="7"/>
  <c r="J233" i="7"/>
  <c r="I233" i="7"/>
  <c r="D233" i="7"/>
  <c r="C233" i="7"/>
  <c r="J232" i="7"/>
  <c r="I232" i="7"/>
  <c r="D232" i="7"/>
  <c r="C232" i="7"/>
  <c r="J231" i="7"/>
  <c r="I231" i="7"/>
  <c r="D231" i="7"/>
  <c r="C231" i="7"/>
  <c r="J230" i="7"/>
  <c r="I230" i="7"/>
  <c r="D230" i="7"/>
  <c r="C230" i="7"/>
  <c r="J229" i="7"/>
  <c r="I229" i="7"/>
  <c r="D229" i="7"/>
  <c r="C229" i="7"/>
  <c r="J228" i="7"/>
  <c r="I228" i="7"/>
  <c r="H228" i="7"/>
  <c r="H229" i="7" s="1"/>
  <c r="H230" i="7" s="1"/>
  <c r="H231" i="7" s="1"/>
  <c r="H232" i="7" s="1"/>
  <c r="H233" i="7" s="1"/>
  <c r="D228" i="7"/>
  <c r="C228" i="7"/>
  <c r="J227" i="7"/>
  <c r="I227" i="7"/>
  <c r="D227" i="7"/>
  <c r="C227" i="7"/>
  <c r="J226" i="7"/>
  <c r="I226" i="7"/>
  <c r="H226" i="7"/>
  <c r="H227" i="7" s="1"/>
  <c r="D226" i="7"/>
  <c r="C226" i="7"/>
  <c r="B226" i="7"/>
  <c r="H204" i="7"/>
  <c r="H205" i="7" s="1"/>
  <c r="H206" i="7" s="1"/>
  <c r="H207" i="7" s="1"/>
  <c r="H208" i="7" s="1"/>
  <c r="B204" i="7"/>
  <c r="B203" i="7"/>
  <c r="L202" i="7"/>
  <c r="H202" i="7"/>
  <c r="H203" i="7" s="1"/>
  <c r="G202" i="7"/>
  <c r="B202" i="7"/>
  <c r="C202" i="7" s="1"/>
  <c r="B178" i="7"/>
  <c r="C177" i="7"/>
  <c r="B177" i="7"/>
  <c r="D177" i="7" s="1"/>
  <c r="L176" i="7"/>
  <c r="J176" i="7"/>
  <c r="H176" i="7"/>
  <c r="I176" i="7" s="1"/>
  <c r="D176" i="7"/>
  <c r="B176" i="7"/>
  <c r="C176" i="7" s="1"/>
  <c r="D154" i="7"/>
  <c r="D153" i="7"/>
  <c r="B133" i="7"/>
  <c r="B132" i="7"/>
  <c r="D128" i="7"/>
  <c r="D129" i="7" s="1"/>
  <c r="D130" i="7" s="1"/>
  <c r="D131" i="7" s="1"/>
  <c r="D132" i="7" s="1"/>
  <c r="D133" i="7" s="1"/>
  <c r="D134" i="7" s="1"/>
  <c r="D135" i="7" s="1"/>
  <c r="D136" i="7" s="1"/>
  <c r="D137" i="7" s="1"/>
  <c r="D138" i="7" s="1"/>
  <c r="D139" i="7" s="1"/>
  <c r="D140" i="7" s="1"/>
  <c r="D141" i="7" s="1"/>
  <c r="D142" i="7" s="1"/>
  <c r="D143" i="7" s="1"/>
  <c r="D144" i="7" s="1"/>
  <c r="D145" i="7" s="1"/>
  <c r="D146" i="7" s="1"/>
  <c r="D89" i="7"/>
  <c r="E89" i="7" s="1"/>
  <c r="E88" i="7"/>
  <c r="D84" i="7"/>
  <c r="D85" i="7" s="1"/>
  <c r="D86" i="7" s="1"/>
  <c r="D87" i="7" s="1"/>
  <c r="D88" i="7" s="1"/>
  <c r="D83" i="7"/>
  <c r="D54" i="7"/>
  <c r="K54" i="7" s="1"/>
  <c r="G53" i="7"/>
  <c r="G54" i="7" s="1"/>
  <c r="F53" i="7"/>
  <c r="E53" i="7"/>
  <c r="C32" i="7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B32" i="7"/>
  <c r="B53" i="7" s="1"/>
  <c r="E9" i="7"/>
  <c r="G6" i="7"/>
  <c r="F6" i="7"/>
  <c r="E6" i="7"/>
  <c r="K5" i="7"/>
  <c r="L5" i="7" s="1"/>
  <c r="J5" i="7"/>
  <c r="H2" i="7"/>
  <c r="I202" i="7"/>
  <c r="L161" i="6"/>
  <c r="G9" i="6"/>
  <c r="G6" i="6"/>
  <c r="E2" i="6"/>
  <c r="J292" i="6"/>
  <c r="I292" i="6"/>
  <c r="D292" i="6"/>
  <c r="C292" i="6"/>
  <c r="J291" i="6"/>
  <c r="I291" i="6"/>
  <c r="D291" i="6"/>
  <c r="C291" i="6"/>
  <c r="J290" i="6"/>
  <c r="I290" i="6"/>
  <c r="D290" i="6"/>
  <c r="C290" i="6"/>
  <c r="J289" i="6"/>
  <c r="I289" i="6"/>
  <c r="D289" i="6"/>
  <c r="C289" i="6"/>
  <c r="J288" i="6"/>
  <c r="I288" i="6"/>
  <c r="H288" i="6"/>
  <c r="H289" i="6" s="1"/>
  <c r="H290" i="6" s="1"/>
  <c r="H291" i="6" s="1"/>
  <c r="H292" i="6" s="1"/>
  <c r="D288" i="6"/>
  <c r="C288" i="6"/>
  <c r="J287" i="6"/>
  <c r="I287" i="6"/>
  <c r="D287" i="6"/>
  <c r="C287" i="6"/>
  <c r="J286" i="6"/>
  <c r="I286" i="6"/>
  <c r="D286" i="6"/>
  <c r="C286" i="6"/>
  <c r="J285" i="6"/>
  <c r="I285" i="6"/>
  <c r="D285" i="6"/>
  <c r="C285" i="6"/>
  <c r="J284" i="6"/>
  <c r="I284" i="6"/>
  <c r="D284" i="6"/>
  <c r="C284" i="6"/>
  <c r="J283" i="6"/>
  <c r="I283" i="6"/>
  <c r="D283" i="6"/>
  <c r="C283" i="6"/>
  <c r="J282" i="6"/>
  <c r="I282" i="6"/>
  <c r="H282" i="6"/>
  <c r="H283" i="6" s="1"/>
  <c r="H284" i="6" s="1"/>
  <c r="H285" i="6" s="1"/>
  <c r="H286" i="6" s="1"/>
  <c r="H287" i="6" s="1"/>
  <c r="D282" i="6"/>
  <c r="C282" i="6"/>
  <c r="J281" i="6"/>
  <c r="I281" i="6"/>
  <c r="D281" i="6"/>
  <c r="C281" i="6"/>
  <c r="J280" i="6"/>
  <c r="I280" i="6"/>
  <c r="D280" i="6"/>
  <c r="C280" i="6"/>
  <c r="J279" i="6"/>
  <c r="I279" i="6"/>
  <c r="D279" i="6"/>
  <c r="C279" i="6"/>
  <c r="J278" i="6"/>
  <c r="I278" i="6"/>
  <c r="D278" i="6"/>
  <c r="C278" i="6"/>
  <c r="J277" i="6"/>
  <c r="I277" i="6"/>
  <c r="D277" i="6"/>
  <c r="C277" i="6"/>
  <c r="J276" i="6"/>
  <c r="I276" i="6"/>
  <c r="H276" i="6"/>
  <c r="H277" i="6" s="1"/>
  <c r="H278" i="6" s="1"/>
  <c r="H279" i="6" s="1"/>
  <c r="H280" i="6" s="1"/>
  <c r="H281" i="6" s="1"/>
  <c r="D276" i="6"/>
  <c r="C276" i="6"/>
  <c r="J275" i="6"/>
  <c r="I275" i="6"/>
  <c r="H275" i="6"/>
  <c r="D275" i="6"/>
  <c r="C275" i="6"/>
  <c r="B275" i="6"/>
  <c r="J274" i="6"/>
  <c r="I274" i="6"/>
  <c r="H274" i="6"/>
  <c r="D274" i="6"/>
  <c r="C274" i="6"/>
  <c r="B274" i="6"/>
  <c r="K274" i="6" s="1" a="1"/>
  <c r="K274" i="6" s="1"/>
  <c r="B249" i="6"/>
  <c r="J244" i="6"/>
  <c r="I244" i="6"/>
  <c r="D244" i="6"/>
  <c r="C244" i="6"/>
  <c r="J243" i="6"/>
  <c r="I243" i="6"/>
  <c r="D243" i="6"/>
  <c r="C243" i="6"/>
  <c r="J242" i="6"/>
  <c r="I242" i="6"/>
  <c r="D242" i="6"/>
  <c r="C242" i="6"/>
  <c r="J241" i="6"/>
  <c r="I241" i="6"/>
  <c r="D241" i="6"/>
  <c r="C241" i="6"/>
  <c r="J240" i="6"/>
  <c r="I240" i="6"/>
  <c r="D240" i="6"/>
  <c r="C240" i="6"/>
  <c r="J239" i="6"/>
  <c r="I239" i="6"/>
  <c r="D239" i="6"/>
  <c r="C239" i="6"/>
  <c r="J238" i="6"/>
  <c r="I238" i="6"/>
  <c r="D238" i="6"/>
  <c r="C238" i="6"/>
  <c r="J237" i="6"/>
  <c r="I237" i="6"/>
  <c r="D237" i="6"/>
  <c r="C237" i="6"/>
  <c r="J236" i="6"/>
  <c r="I236" i="6"/>
  <c r="D236" i="6"/>
  <c r="C236" i="6"/>
  <c r="J235" i="6"/>
  <c r="I235" i="6"/>
  <c r="D235" i="6"/>
  <c r="C235" i="6"/>
  <c r="J234" i="6"/>
  <c r="I234" i="6"/>
  <c r="D234" i="6"/>
  <c r="C234" i="6"/>
  <c r="J233" i="6"/>
  <c r="I233" i="6"/>
  <c r="D233" i="6"/>
  <c r="C233" i="6"/>
  <c r="J232" i="6"/>
  <c r="I232" i="6"/>
  <c r="D232" i="6"/>
  <c r="C232" i="6"/>
  <c r="J231" i="6"/>
  <c r="I231" i="6"/>
  <c r="D231" i="6"/>
  <c r="C231" i="6"/>
  <c r="J230" i="6"/>
  <c r="I230" i="6"/>
  <c r="D230" i="6"/>
  <c r="C230" i="6"/>
  <c r="J229" i="6"/>
  <c r="I229" i="6"/>
  <c r="D229" i="6"/>
  <c r="C229" i="6"/>
  <c r="J228" i="6"/>
  <c r="I228" i="6"/>
  <c r="D228" i="6"/>
  <c r="C228" i="6"/>
  <c r="J227" i="6"/>
  <c r="I227" i="6"/>
  <c r="H227" i="6"/>
  <c r="H228" i="6" s="1"/>
  <c r="H229" i="6" s="1"/>
  <c r="H230" i="6" s="1"/>
  <c r="H231" i="6" s="1"/>
  <c r="H232" i="6" s="1"/>
  <c r="H233" i="6" s="1"/>
  <c r="H234" i="6" s="1"/>
  <c r="H235" i="6" s="1"/>
  <c r="H236" i="6" s="1"/>
  <c r="H237" i="6" s="1"/>
  <c r="H238" i="6" s="1"/>
  <c r="H239" i="6" s="1"/>
  <c r="H240" i="6" s="1"/>
  <c r="H241" i="6" s="1"/>
  <c r="H242" i="6" s="1"/>
  <c r="H243" i="6" s="1"/>
  <c r="H244" i="6" s="1"/>
  <c r="D227" i="6"/>
  <c r="C227" i="6"/>
  <c r="J226" i="6"/>
  <c r="I226" i="6"/>
  <c r="H226" i="6"/>
  <c r="E226" i="6" a="1"/>
  <c r="E226" i="6" s="1"/>
  <c r="D226" i="6"/>
  <c r="C226" i="6"/>
  <c r="B226" i="6"/>
  <c r="B205" i="6"/>
  <c r="D205" i="6" s="1"/>
  <c r="B204" i="6"/>
  <c r="K203" i="6" a="1"/>
  <c r="K203" i="6" s="1"/>
  <c r="B203" i="6"/>
  <c r="L202" i="6"/>
  <c r="K202" i="6" a="1"/>
  <c r="K202" i="6" s="1"/>
  <c r="I202" i="6"/>
  <c r="H202" i="6"/>
  <c r="H203" i="6" s="1"/>
  <c r="H204" i="6" s="1"/>
  <c r="G202" i="6"/>
  <c r="C202" i="6"/>
  <c r="B202" i="6"/>
  <c r="B177" i="6"/>
  <c r="L176" i="6"/>
  <c r="K176" i="6" a="1"/>
  <c r="K176" i="6" s="1"/>
  <c r="J176" i="6"/>
  <c r="H176" i="6"/>
  <c r="I176" i="6" s="1"/>
  <c r="B176" i="6"/>
  <c r="E176" i="6" s="1" a="1"/>
  <c r="E176" i="6" s="1"/>
  <c r="D153" i="6"/>
  <c r="D154" i="6" s="1"/>
  <c r="E154" i="6" s="1"/>
  <c r="D136" i="6"/>
  <c r="D137" i="6" s="1"/>
  <c r="D138" i="6" s="1"/>
  <c r="D139" i="6" s="1"/>
  <c r="D140" i="6" s="1"/>
  <c r="D141" i="6" s="1"/>
  <c r="D142" i="6" s="1"/>
  <c r="D143" i="6" s="1"/>
  <c r="D144" i="6" s="1"/>
  <c r="D145" i="6" s="1"/>
  <c r="D146" i="6" s="1"/>
  <c r="B136" i="6"/>
  <c r="B133" i="6"/>
  <c r="B132" i="6"/>
  <c r="B134" i="6" s="1"/>
  <c r="E145" i="6" s="1"/>
  <c r="D131" i="6"/>
  <c r="D132" i="6" s="1"/>
  <c r="D133" i="6" s="1"/>
  <c r="D134" i="6" s="1"/>
  <c r="D135" i="6" s="1"/>
  <c r="D130" i="6"/>
  <c r="D128" i="6"/>
  <c r="D129" i="6" s="1"/>
  <c r="D106" i="6"/>
  <c r="D107" i="6" s="1"/>
  <c r="D83" i="6"/>
  <c r="D84" i="6" s="1"/>
  <c r="D85" i="6" s="1"/>
  <c r="D86" i="6" s="1"/>
  <c r="D87" i="6" s="1"/>
  <c r="D88" i="6" s="1"/>
  <c r="D89" i="6" s="1"/>
  <c r="D90" i="6" s="1"/>
  <c r="D91" i="6" s="1"/>
  <c r="D92" i="6" s="1"/>
  <c r="D93" i="6" s="1"/>
  <c r="D94" i="6" s="1"/>
  <c r="D56" i="6"/>
  <c r="E56" i="6" s="1"/>
  <c r="D55" i="6"/>
  <c r="K55" i="6" s="1"/>
  <c r="D54" i="6"/>
  <c r="E54" i="6" s="1"/>
  <c r="E53" i="6"/>
  <c r="K54" i="6" s="1"/>
  <c r="B34" i="6"/>
  <c r="B33" i="6"/>
  <c r="C32" i="6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B32" i="6"/>
  <c r="B53" i="6" s="1"/>
  <c r="F9" i="6"/>
  <c r="E9" i="6"/>
  <c r="F6" i="6"/>
  <c r="E6" i="6"/>
  <c r="K5" i="6"/>
  <c r="L5" i="6" s="1"/>
  <c r="J5" i="6"/>
  <c r="H2" i="6"/>
  <c r="E54" i="1"/>
  <c r="B55" i="3"/>
  <c r="B56" i="3"/>
  <c r="B59" i="3"/>
  <c r="B60" i="3"/>
  <c r="D75" i="5"/>
  <c r="B55" i="5"/>
  <c r="B54" i="5"/>
  <c r="E55" i="5"/>
  <c r="B73" i="5" s="1"/>
  <c r="L161" i="5"/>
  <c r="B132" i="3"/>
  <c r="K276" i="5" a="1"/>
  <c r="K276" i="5" s="1"/>
  <c r="K277" i="5" a="1"/>
  <c r="K277" i="5" s="1"/>
  <c r="K278" i="5" a="1"/>
  <c r="K278" i="5" s="1"/>
  <c r="K279" i="5" a="1"/>
  <c r="K279" i="5" s="1"/>
  <c r="K280" i="5" a="1"/>
  <c r="K280" i="5" s="1"/>
  <c r="K281" i="5" a="1"/>
  <c r="K281" i="5"/>
  <c r="K282" i="5" a="1"/>
  <c r="K282" i="5" s="1"/>
  <c r="K283" i="5" a="1"/>
  <c r="K283" i="5" s="1"/>
  <c r="K284" i="5" a="1"/>
  <c r="K284" i="5" s="1"/>
  <c r="K285" i="5" a="1"/>
  <c r="K285" i="5" s="1"/>
  <c r="K286" i="5" a="1"/>
  <c r="K286" i="5" s="1"/>
  <c r="K287" i="5" a="1"/>
  <c r="K287" i="5"/>
  <c r="K288" i="5" a="1"/>
  <c r="K288" i="5" s="1"/>
  <c r="K289" i="5" a="1"/>
  <c r="K289" i="5" s="1"/>
  <c r="K290" i="5" a="1"/>
  <c r="K290" i="5" s="1"/>
  <c r="K291" i="5" a="1"/>
  <c r="K291" i="5" s="1"/>
  <c r="K292" i="5" a="1"/>
  <c r="K292" i="5" s="1"/>
  <c r="K275" i="5" a="1"/>
  <c r="K275" i="5" s="1"/>
  <c r="K274" i="5" a="1"/>
  <c r="K274" i="5"/>
  <c r="E274" i="5" a="1"/>
  <c r="E274" i="5" s="1"/>
  <c r="E275" i="5" a="1"/>
  <c r="E275" i="5" s="1"/>
  <c r="E276" i="5" a="1"/>
  <c r="E276" i="5" s="1"/>
  <c r="E277" i="5" a="1"/>
  <c r="E277" i="5" s="1"/>
  <c r="E278" i="5" a="1"/>
  <c r="E278" i="5"/>
  <c r="E279" i="5" a="1"/>
  <c r="E279" i="5" s="1"/>
  <c r="E280" i="5" a="1"/>
  <c r="E280" i="5"/>
  <c r="E281" i="5" a="1"/>
  <c r="E281" i="5" s="1"/>
  <c r="E282" i="5" a="1"/>
  <c r="E282" i="5" s="1"/>
  <c r="E283" i="5" a="1"/>
  <c r="E283" i="5" s="1"/>
  <c r="E284" i="5" a="1"/>
  <c r="E284" i="5" s="1"/>
  <c r="E285" i="5" a="1"/>
  <c r="E285" i="5" s="1"/>
  <c r="E286" i="5" a="1"/>
  <c r="E286" i="5"/>
  <c r="E287" i="5" a="1"/>
  <c r="E287" i="5" s="1"/>
  <c r="E288" i="5" a="1"/>
  <c r="E288" i="5" s="1"/>
  <c r="E289" i="5" a="1"/>
  <c r="E289" i="5" s="1"/>
  <c r="E290" i="5" a="1"/>
  <c r="E290" i="5" s="1"/>
  <c r="E291" i="5" a="1"/>
  <c r="E291" i="5" s="1"/>
  <c r="E292" i="5" a="1"/>
  <c r="E292" i="5"/>
  <c r="E250" i="5" a="1"/>
  <c r="E250" i="5" s="1"/>
  <c r="E251" i="5" a="1"/>
  <c r="E251" i="5" s="1"/>
  <c r="E252" i="5" a="1"/>
  <c r="E252" i="5" s="1"/>
  <c r="E253" i="5" a="1"/>
  <c r="E253" i="5" s="1"/>
  <c r="E254" i="5" a="1"/>
  <c r="E254" i="5"/>
  <c r="E255" i="5" a="1"/>
  <c r="E255" i="5" s="1"/>
  <c r="E256" i="5" a="1"/>
  <c r="E256" i="5" s="1"/>
  <c r="E257" i="5" a="1"/>
  <c r="E257" i="5" s="1"/>
  <c r="E258" i="5" a="1"/>
  <c r="E258" i="5" s="1"/>
  <c r="E259" i="5" a="1"/>
  <c r="E259" i="5" s="1"/>
  <c r="E260" i="5" a="1"/>
  <c r="E260" i="5" s="1"/>
  <c r="E261" i="5" a="1"/>
  <c r="E261" i="5" s="1"/>
  <c r="E262" i="5" a="1"/>
  <c r="E262" i="5" s="1"/>
  <c r="E263" i="5" a="1"/>
  <c r="E263" i="5" s="1"/>
  <c r="E264" i="5" a="1"/>
  <c r="E264" i="5" s="1"/>
  <c r="E265" i="5" a="1"/>
  <c r="E265" i="5" s="1"/>
  <c r="E266" i="5" a="1"/>
  <c r="E266" i="5" s="1"/>
  <c r="E267" i="5" a="1"/>
  <c r="E267" i="5" s="1"/>
  <c r="E249" i="5" a="1"/>
  <c r="E249" i="5" s="1"/>
  <c r="K228" i="5" a="1"/>
  <c r="K228" i="5" s="1"/>
  <c r="K229" i="5" a="1"/>
  <c r="K229" i="5" s="1"/>
  <c r="K230" i="5" a="1"/>
  <c r="K230" i="5" s="1"/>
  <c r="K231" i="5" a="1"/>
  <c r="K231" i="5" s="1"/>
  <c r="K232" i="5" a="1"/>
  <c r="K232" i="5" s="1"/>
  <c r="K233" i="5" a="1"/>
  <c r="K233" i="5" s="1"/>
  <c r="K234" i="5" a="1"/>
  <c r="K234" i="5" s="1"/>
  <c r="K235" i="5" a="1"/>
  <c r="K235" i="5" s="1"/>
  <c r="K236" i="5" a="1"/>
  <c r="K236" i="5" s="1"/>
  <c r="K237" i="5" a="1"/>
  <c r="K237" i="5" s="1"/>
  <c r="K238" i="5" a="1"/>
  <c r="K238" i="5" s="1"/>
  <c r="K239" i="5" a="1"/>
  <c r="K239" i="5" s="1"/>
  <c r="K240" i="5" a="1"/>
  <c r="K240" i="5" s="1"/>
  <c r="K241" i="5" a="1"/>
  <c r="K241" i="5" s="1"/>
  <c r="K242" i="5" a="1"/>
  <c r="K242" i="5" s="1"/>
  <c r="K243" i="5" a="1"/>
  <c r="K243" i="5" s="1"/>
  <c r="K244" i="5" a="1"/>
  <c r="K244" i="5" s="1"/>
  <c r="K227" i="5" a="1"/>
  <c r="K227" i="5"/>
  <c r="K226" i="5" a="1"/>
  <c r="K226" i="5" s="1"/>
  <c r="E226" i="5" a="1"/>
  <c r="E226" i="5" s="1"/>
  <c r="E227" i="5" a="1"/>
  <c r="E227" i="5" s="1"/>
  <c r="E228" i="5" a="1"/>
  <c r="E228" i="5" s="1"/>
  <c r="E229" i="5" a="1"/>
  <c r="E229" i="5" s="1"/>
  <c r="E230" i="5" a="1"/>
  <c r="E230" i="5" s="1"/>
  <c r="E231" i="5" a="1"/>
  <c r="E231" i="5" s="1"/>
  <c r="E232" i="5" a="1"/>
  <c r="E232" i="5" s="1"/>
  <c r="E233" i="5" a="1"/>
  <c r="E233" i="5" s="1"/>
  <c r="E234" i="5" a="1"/>
  <c r="E234" i="5" s="1"/>
  <c r="E235" i="5" a="1"/>
  <c r="E235" i="5" s="1"/>
  <c r="E236" i="5" a="1"/>
  <c r="E236" i="5" s="1"/>
  <c r="E237" i="5" a="1"/>
  <c r="E237" i="5" s="1"/>
  <c r="E238" i="5" a="1"/>
  <c r="E238" i="5" s="1"/>
  <c r="E239" i="5" a="1"/>
  <c r="E239" i="5" s="1"/>
  <c r="E240" i="5" a="1"/>
  <c r="E240" i="5" s="1"/>
  <c r="E241" i="5" a="1"/>
  <c r="E241" i="5" s="1"/>
  <c r="E242" i="5" a="1"/>
  <c r="E242" i="5" s="1"/>
  <c r="E243" i="5" a="1"/>
  <c r="E243" i="5" s="1"/>
  <c r="E244" i="5" a="1"/>
  <c r="E244" i="5" s="1"/>
  <c r="C198" i="5"/>
  <c r="K204" i="5" a="1"/>
  <c r="K204" i="5" s="1"/>
  <c r="K205" i="5" a="1"/>
  <c r="K205" i="5"/>
  <c r="K206" i="5" a="1"/>
  <c r="K206" i="5" s="1"/>
  <c r="K207" i="5" a="1"/>
  <c r="K207" i="5" s="1"/>
  <c r="K208" i="5" a="1"/>
  <c r="K208" i="5" s="1"/>
  <c r="K209" i="5" a="1"/>
  <c r="K209" i="5" s="1"/>
  <c r="K210" i="5" a="1"/>
  <c r="K210" i="5" s="1"/>
  <c r="K211" i="5" a="1"/>
  <c r="K211" i="5" s="1"/>
  <c r="K212" i="5" a="1"/>
  <c r="K212" i="5" s="1"/>
  <c r="K213" i="5" a="1"/>
  <c r="K213" i="5" s="1"/>
  <c r="K214" i="5" a="1"/>
  <c r="K214" i="5" s="1"/>
  <c r="K215" i="5" a="1"/>
  <c r="K215" i="5" s="1"/>
  <c r="K216" i="5" a="1"/>
  <c r="K216" i="5" s="1"/>
  <c r="K217" i="5" a="1"/>
  <c r="K217" i="5" s="1"/>
  <c r="K218" i="5" a="1"/>
  <c r="K218" i="5" s="1"/>
  <c r="K219" i="5" a="1"/>
  <c r="K219" i="5" s="1"/>
  <c r="K220" i="5" a="1"/>
  <c r="K220" i="5" s="1"/>
  <c r="K203" i="5" a="1"/>
  <c r="K203" i="5" s="1"/>
  <c r="K202" i="5" a="1"/>
  <c r="K202" i="5" s="1"/>
  <c r="F202" i="5" a="1"/>
  <c r="F202" i="5" s="1"/>
  <c r="F203" i="5" a="1"/>
  <c r="F203" i="5" s="1"/>
  <c r="F204" i="5" a="1"/>
  <c r="F204" i="5"/>
  <c r="F205" i="5" a="1"/>
  <c r="F205" i="5" s="1"/>
  <c r="F206" i="5" a="1"/>
  <c r="F206" i="5"/>
  <c r="F207" i="5" a="1"/>
  <c r="F207" i="5" s="1"/>
  <c r="F208" i="5" a="1"/>
  <c r="F208" i="5" s="1"/>
  <c r="F209" i="5" a="1"/>
  <c r="F209" i="5" s="1"/>
  <c r="F210" i="5" a="1"/>
  <c r="F210" i="5" s="1"/>
  <c r="F211" i="5" a="1"/>
  <c r="F211" i="5" s="1"/>
  <c r="F212" i="5" a="1"/>
  <c r="F212" i="5" s="1"/>
  <c r="F213" i="5" a="1"/>
  <c r="F213" i="5" s="1"/>
  <c r="F214" i="5" a="1"/>
  <c r="F214" i="5" s="1"/>
  <c r="F215" i="5" a="1"/>
  <c r="F215" i="5" s="1"/>
  <c r="F216" i="5" a="1"/>
  <c r="F216" i="5" s="1"/>
  <c r="F217" i="5" a="1"/>
  <c r="F217" i="5" s="1"/>
  <c r="F218" i="5" a="1"/>
  <c r="F218" i="5" s="1"/>
  <c r="F219" i="5" a="1"/>
  <c r="F219" i="5" s="1"/>
  <c r="F220" i="5" a="1"/>
  <c r="F220" i="5" s="1"/>
  <c r="K178" i="5" a="1"/>
  <c r="K178" i="5" s="1"/>
  <c r="K179" i="5" a="1"/>
  <c r="K179" i="5" s="1"/>
  <c r="K180" i="5" a="1"/>
  <c r="K180" i="5" s="1"/>
  <c r="K181" i="5" a="1"/>
  <c r="K181" i="5" s="1"/>
  <c r="K182" i="5" a="1"/>
  <c r="K182" i="5" s="1"/>
  <c r="K183" i="5" a="1"/>
  <c r="K183" i="5"/>
  <c r="K184" i="5" a="1"/>
  <c r="K184" i="5" s="1"/>
  <c r="K185" i="5" a="1"/>
  <c r="K185" i="5" s="1"/>
  <c r="K186" i="5" a="1"/>
  <c r="K186" i="5" s="1"/>
  <c r="K187" i="5" a="1"/>
  <c r="K187" i="5" s="1"/>
  <c r="K188" i="5" a="1"/>
  <c r="K188" i="5" s="1"/>
  <c r="K189" i="5" a="1"/>
  <c r="K189" i="5"/>
  <c r="K190" i="5" a="1"/>
  <c r="K190" i="5" s="1"/>
  <c r="K191" i="5" a="1"/>
  <c r="K191" i="5" s="1"/>
  <c r="K192" i="5" a="1"/>
  <c r="K192" i="5" s="1"/>
  <c r="K193" i="5" a="1"/>
  <c r="K193" i="5" s="1"/>
  <c r="K194" i="5" a="1"/>
  <c r="K194" i="5" s="1"/>
  <c r="K177" i="5" a="1"/>
  <c r="K177" i="5"/>
  <c r="K176" i="5" a="1"/>
  <c r="K176" i="5" s="1"/>
  <c r="E176" i="5" a="1"/>
  <c r="E176" i="5"/>
  <c r="E177" i="5" a="1"/>
  <c r="E177" i="5"/>
  <c r="E178" i="5" a="1"/>
  <c r="E178" i="5" s="1"/>
  <c r="E179" i="5" a="1"/>
  <c r="E179" i="5" s="1"/>
  <c r="E180" i="5" a="1"/>
  <c r="E180" i="5" s="1"/>
  <c r="E181" i="5" a="1"/>
  <c r="E181" i="5"/>
  <c r="E182" i="5" a="1"/>
  <c r="E182" i="5" s="1"/>
  <c r="E183" i="5" a="1"/>
  <c r="E183" i="5" s="1"/>
  <c r="E184" i="5" a="1"/>
  <c r="E184" i="5" s="1"/>
  <c r="E185" i="5" a="1"/>
  <c r="E185" i="5" s="1"/>
  <c r="E186" i="5" a="1"/>
  <c r="E186" i="5" s="1"/>
  <c r="E187" i="5" a="1"/>
  <c r="E187" i="5"/>
  <c r="E188" i="5" a="1"/>
  <c r="E188" i="5" s="1"/>
  <c r="E189" i="5" a="1"/>
  <c r="E189" i="5" s="1"/>
  <c r="E190" i="5" a="1"/>
  <c r="E190" i="5" s="1"/>
  <c r="E191" i="5" a="1"/>
  <c r="E191" i="5" s="1"/>
  <c r="E192" i="5" a="1"/>
  <c r="E192" i="5" s="1"/>
  <c r="E193" i="5" a="1"/>
  <c r="E193" i="5"/>
  <c r="E194" i="5" a="1"/>
  <c r="E194" i="5" s="1"/>
  <c r="B133" i="5"/>
  <c r="B132" i="5"/>
  <c r="B33" i="5"/>
  <c r="B34" i="5"/>
  <c r="B32" i="5"/>
  <c r="E2" i="5"/>
  <c r="J292" i="5"/>
  <c r="I292" i="5"/>
  <c r="D292" i="5"/>
  <c r="C292" i="5"/>
  <c r="J291" i="5"/>
  <c r="I291" i="5"/>
  <c r="D291" i="5"/>
  <c r="C291" i="5"/>
  <c r="J290" i="5"/>
  <c r="I290" i="5"/>
  <c r="D290" i="5"/>
  <c r="C290" i="5"/>
  <c r="J289" i="5"/>
  <c r="I289" i="5"/>
  <c r="D289" i="5"/>
  <c r="C289" i="5"/>
  <c r="J288" i="5"/>
  <c r="I288" i="5"/>
  <c r="D288" i="5"/>
  <c r="C288" i="5"/>
  <c r="J287" i="5"/>
  <c r="I287" i="5"/>
  <c r="D287" i="5"/>
  <c r="C287" i="5"/>
  <c r="J286" i="5"/>
  <c r="I286" i="5"/>
  <c r="D286" i="5"/>
  <c r="C286" i="5"/>
  <c r="J285" i="5"/>
  <c r="I285" i="5"/>
  <c r="D285" i="5"/>
  <c r="C285" i="5"/>
  <c r="J284" i="5"/>
  <c r="I284" i="5"/>
  <c r="D284" i="5"/>
  <c r="C284" i="5"/>
  <c r="J283" i="5"/>
  <c r="I283" i="5"/>
  <c r="D283" i="5"/>
  <c r="C283" i="5"/>
  <c r="J282" i="5"/>
  <c r="I282" i="5"/>
  <c r="D282" i="5"/>
  <c r="C282" i="5"/>
  <c r="J281" i="5"/>
  <c r="I281" i="5"/>
  <c r="D281" i="5"/>
  <c r="C281" i="5"/>
  <c r="J280" i="5"/>
  <c r="I280" i="5"/>
  <c r="D280" i="5"/>
  <c r="C280" i="5"/>
  <c r="J279" i="5"/>
  <c r="I279" i="5"/>
  <c r="D279" i="5"/>
  <c r="C279" i="5"/>
  <c r="J278" i="5"/>
  <c r="I278" i="5"/>
  <c r="D278" i="5"/>
  <c r="C278" i="5"/>
  <c r="J277" i="5"/>
  <c r="I277" i="5"/>
  <c r="D277" i="5"/>
  <c r="C277" i="5"/>
  <c r="J276" i="5"/>
  <c r="I276" i="5"/>
  <c r="D276" i="5"/>
  <c r="C276" i="5"/>
  <c r="J275" i="5"/>
  <c r="I275" i="5"/>
  <c r="D275" i="5"/>
  <c r="C275" i="5"/>
  <c r="B275" i="5"/>
  <c r="B276" i="5" s="1"/>
  <c r="J274" i="5"/>
  <c r="I274" i="5"/>
  <c r="H274" i="5"/>
  <c r="H275" i="5" s="1"/>
  <c r="H276" i="5" s="1"/>
  <c r="H277" i="5" s="1"/>
  <c r="H278" i="5" s="1"/>
  <c r="H279" i="5" s="1"/>
  <c r="H280" i="5" s="1"/>
  <c r="H281" i="5" s="1"/>
  <c r="H282" i="5" s="1"/>
  <c r="H283" i="5" s="1"/>
  <c r="H284" i="5" s="1"/>
  <c r="H285" i="5" s="1"/>
  <c r="H286" i="5" s="1"/>
  <c r="H287" i="5" s="1"/>
  <c r="H288" i="5" s="1"/>
  <c r="H289" i="5" s="1"/>
  <c r="H290" i="5" s="1"/>
  <c r="H291" i="5" s="1"/>
  <c r="H292" i="5" s="1"/>
  <c r="D274" i="5"/>
  <c r="C274" i="5"/>
  <c r="B274" i="5"/>
  <c r="B249" i="5"/>
  <c r="B250" i="5" s="1"/>
  <c r="J244" i="5"/>
  <c r="I244" i="5"/>
  <c r="D244" i="5"/>
  <c r="C244" i="5"/>
  <c r="J243" i="5"/>
  <c r="I243" i="5"/>
  <c r="D243" i="5"/>
  <c r="C243" i="5"/>
  <c r="J242" i="5"/>
  <c r="I242" i="5"/>
  <c r="D242" i="5"/>
  <c r="C242" i="5"/>
  <c r="J241" i="5"/>
  <c r="I241" i="5"/>
  <c r="D241" i="5"/>
  <c r="C241" i="5"/>
  <c r="J240" i="5"/>
  <c r="I240" i="5"/>
  <c r="D240" i="5"/>
  <c r="C240" i="5"/>
  <c r="J239" i="5"/>
  <c r="I239" i="5"/>
  <c r="D239" i="5"/>
  <c r="C239" i="5"/>
  <c r="J238" i="5"/>
  <c r="I238" i="5"/>
  <c r="D238" i="5"/>
  <c r="C238" i="5"/>
  <c r="J237" i="5"/>
  <c r="I237" i="5"/>
  <c r="D237" i="5"/>
  <c r="C237" i="5"/>
  <c r="J236" i="5"/>
  <c r="I236" i="5"/>
  <c r="D236" i="5"/>
  <c r="C236" i="5"/>
  <c r="J235" i="5"/>
  <c r="I235" i="5"/>
  <c r="D235" i="5"/>
  <c r="C235" i="5"/>
  <c r="J234" i="5"/>
  <c r="I234" i="5"/>
  <c r="D234" i="5"/>
  <c r="C234" i="5"/>
  <c r="J233" i="5"/>
  <c r="I233" i="5"/>
  <c r="D233" i="5"/>
  <c r="C233" i="5"/>
  <c r="J232" i="5"/>
  <c r="I232" i="5"/>
  <c r="D232" i="5"/>
  <c r="C232" i="5"/>
  <c r="J231" i="5"/>
  <c r="I231" i="5"/>
  <c r="D231" i="5"/>
  <c r="C231" i="5"/>
  <c r="J230" i="5"/>
  <c r="I230" i="5"/>
  <c r="D230" i="5"/>
  <c r="C230" i="5"/>
  <c r="J229" i="5"/>
  <c r="I229" i="5"/>
  <c r="D229" i="5"/>
  <c r="C229" i="5"/>
  <c r="J228" i="5"/>
  <c r="I228" i="5"/>
  <c r="H228" i="5"/>
  <c r="H229" i="5" s="1"/>
  <c r="D228" i="5"/>
  <c r="C228" i="5"/>
  <c r="B228" i="5"/>
  <c r="B229" i="5" s="1"/>
  <c r="J227" i="5"/>
  <c r="I227" i="5"/>
  <c r="H227" i="5"/>
  <c r="D227" i="5"/>
  <c r="C227" i="5"/>
  <c r="B227" i="5"/>
  <c r="J226" i="5"/>
  <c r="I226" i="5"/>
  <c r="H226" i="5"/>
  <c r="D226" i="5"/>
  <c r="C226" i="5"/>
  <c r="B226" i="5"/>
  <c r="L202" i="5"/>
  <c r="H202" i="5"/>
  <c r="H203" i="5" s="1"/>
  <c r="G202" i="5"/>
  <c r="B202" i="5"/>
  <c r="B177" i="5"/>
  <c r="L176" i="5"/>
  <c r="J176" i="5"/>
  <c r="I176" i="5"/>
  <c r="H176" i="5"/>
  <c r="H177" i="5" s="1"/>
  <c r="D176" i="5"/>
  <c r="C176" i="5"/>
  <c r="B176" i="5"/>
  <c r="D154" i="5"/>
  <c r="E154" i="5" s="1"/>
  <c r="E153" i="5"/>
  <c r="D153" i="5"/>
  <c r="B136" i="5"/>
  <c r="B134" i="5"/>
  <c r="D129" i="5"/>
  <c r="D130" i="5" s="1"/>
  <c r="D131" i="5" s="1"/>
  <c r="D132" i="5" s="1"/>
  <c r="D133" i="5" s="1"/>
  <c r="D134" i="5" s="1"/>
  <c r="D135" i="5" s="1"/>
  <c r="D136" i="5" s="1"/>
  <c r="D137" i="5" s="1"/>
  <c r="D138" i="5" s="1"/>
  <c r="D139" i="5" s="1"/>
  <c r="D140" i="5" s="1"/>
  <c r="D141" i="5" s="1"/>
  <c r="D142" i="5" s="1"/>
  <c r="D143" i="5" s="1"/>
  <c r="D144" i="5" s="1"/>
  <c r="D145" i="5" s="1"/>
  <c r="D146" i="5" s="1"/>
  <c r="D128" i="5"/>
  <c r="D109" i="5"/>
  <c r="E109" i="5" s="1"/>
  <c r="D107" i="5"/>
  <c r="D108" i="5" s="1"/>
  <c r="E108" i="5" s="1"/>
  <c r="E106" i="5"/>
  <c r="J111" i="5" s="1"/>
  <c r="J114" i="5" s="1"/>
  <c r="D106" i="5"/>
  <c r="D83" i="5"/>
  <c r="D84" i="5" s="1"/>
  <c r="D85" i="5" s="1"/>
  <c r="D86" i="5" s="1"/>
  <c r="D87" i="5" s="1"/>
  <c r="D88" i="5" s="1"/>
  <c r="D89" i="5" s="1"/>
  <c r="D90" i="5" s="1"/>
  <c r="D56" i="5"/>
  <c r="D55" i="5"/>
  <c r="D54" i="5"/>
  <c r="H154" i="5" s="1"/>
  <c r="F53" i="5"/>
  <c r="E53" i="5"/>
  <c r="B53" i="5"/>
  <c r="C34" i="5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33" i="5"/>
  <c r="C32" i="5"/>
  <c r="G9" i="5"/>
  <c r="F9" i="5"/>
  <c r="E9" i="5"/>
  <c r="G6" i="5"/>
  <c r="F6" i="5"/>
  <c r="E6" i="5"/>
  <c r="K5" i="5"/>
  <c r="L5" i="5" s="1"/>
  <c r="J5" i="5"/>
  <c r="H2" i="5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03" i="1"/>
  <c r="I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02" i="1"/>
  <c r="K176" i="3" a="1"/>
  <c r="K176" i="3" s="1"/>
  <c r="E177" i="3" a="1"/>
  <c r="E177" i="3" s="1"/>
  <c r="E178" i="3" a="1"/>
  <c r="E178" i="3"/>
  <c r="E153" i="3"/>
  <c r="E106" i="3"/>
  <c r="E107" i="3"/>
  <c r="L5" i="3"/>
  <c r="E2" i="3"/>
  <c r="J292" i="3"/>
  <c r="I292" i="3"/>
  <c r="D292" i="3"/>
  <c r="C292" i="3"/>
  <c r="J291" i="3"/>
  <c r="I291" i="3"/>
  <c r="D291" i="3"/>
  <c r="C291" i="3"/>
  <c r="J290" i="3"/>
  <c r="I290" i="3"/>
  <c r="D290" i="3"/>
  <c r="C290" i="3"/>
  <c r="J289" i="3"/>
  <c r="I289" i="3"/>
  <c r="D289" i="3"/>
  <c r="C289" i="3"/>
  <c r="J288" i="3"/>
  <c r="I288" i="3"/>
  <c r="D288" i="3"/>
  <c r="C288" i="3"/>
  <c r="J287" i="3"/>
  <c r="I287" i="3"/>
  <c r="D287" i="3"/>
  <c r="C287" i="3"/>
  <c r="J286" i="3"/>
  <c r="I286" i="3"/>
  <c r="D286" i="3"/>
  <c r="C286" i="3"/>
  <c r="J285" i="3"/>
  <c r="I285" i="3"/>
  <c r="D285" i="3"/>
  <c r="C285" i="3"/>
  <c r="J284" i="3"/>
  <c r="I284" i="3"/>
  <c r="D284" i="3"/>
  <c r="C284" i="3"/>
  <c r="J283" i="3"/>
  <c r="I283" i="3"/>
  <c r="D283" i="3"/>
  <c r="C283" i="3"/>
  <c r="J282" i="3"/>
  <c r="I282" i="3"/>
  <c r="D282" i="3"/>
  <c r="C282" i="3"/>
  <c r="J281" i="3"/>
  <c r="I281" i="3"/>
  <c r="D281" i="3"/>
  <c r="C281" i="3"/>
  <c r="J280" i="3"/>
  <c r="I280" i="3"/>
  <c r="D280" i="3"/>
  <c r="C280" i="3"/>
  <c r="J279" i="3"/>
  <c r="I279" i="3"/>
  <c r="D279" i="3"/>
  <c r="C279" i="3"/>
  <c r="J278" i="3"/>
  <c r="I278" i="3"/>
  <c r="D278" i="3"/>
  <c r="C278" i="3"/>
  <c r="J277" i="3"/>
  <c r="I277" i="3"/>
  <c r="D277" i="3"/>
  <c r="C277" i="3"/>
  <c r="J276" i="3"/>
  <c r="I276" i="3"/>
  <c r="D276" i="3"/>
  <c r="C276" i="3"/>
  <c r="J275" i="3"/>
  <c r="I275" i="3"/>
  <c r="H275" i="3"/>
  <c r="D275" i="3"/>
  <c r="C275" i="3"/>
  <c r="J274" i="3"/>
  <c r="I274" i="3"/>
  <c r="H274" i="3"/>
  <c r="D274" i="3"/>
  <c r="C274" i="3"/>
  <c r="B274" i="3"/>
  <c r="B275" i="3" s="1"/>
  <c r="K275" i="3" s="1" a="1"/>
  <c r="K275" i="3" s="1"/>
  <c r="B249" i="3"/>
  <c r="B250" i="3" s="1"/>
  <c r="E250" i="3" s="1" a="1"/>
  <c r="E250" i="3" s="1"/>
  <c r="J244" i="3"/>
  <c r="I244" i="3"/>
  <c r="D244" i="3"/>
  <c r="C244" i="3"/>
  <c r="J243" i="3"/>
  <c r="I243" i="3"/>
  <c r="D243" i="3"/>
  <c r="C243" i="3"/>
  <c r="J242" i="3"/>
  <c r="I242" i="3"/>
  <c r="D242" i="3"/>
  <c r="C242" i="3"/>
  <c r="J241" i="3"/>
  <c r="I241" i="3"/>
  <c r="D241" i="3"/>
  <c r="C241" i="3"/>
  <c r="J240" i="3"/>
  <c r="I240" i="3"/>
  <c r="D240" i="3"/>
  <c r="C240" i="3"/>
  <c r="J239" i="3"/>
  <c r="I239" i="3"/>
  <c r="D239" i="3"/>
  <c r="C239" i="3"/>
  <c r="J238" i="3"/>
  <c r="I238" i="3"/>
  <c r="D238" i="3"/>
  <c r="C238" i="3"/>
  <c r="J237" i="3"/>
  <c r="I237" i="3"/>
  <c r="D237" i="3"/>
  <c r="C237" i="3"/>
  <c r="J236" i="3"/>
  <c r="I236" i="3"/>
  <c r="D236" i="3"/>
  <c r="C236" i="3"/>
  <c r="J235" i="3"/>
  <c r="I235" i="3"/>
  <c r="D235" i="3"/>
  <c r="C235" i="3"/>
  <c r="J234" i="3"/>
  <c r="I234" i="3"/>
  <c r="D234" i="3"/>
  <c r="C234" i="3"/>
  <c r="J233" i="3"/>
  <c r="I233" i="3"/>
  <c r="D233" i="3"/>
  <c r="C233" i="3"/>
  <c r="J232" i="3"/>
  <c r="I232" i="3"/>
  <c r="D232" i="3"/>
  <c r="C232" i="3"/>
  <c r="J231" i="3"/>
  <c r="I231" i="3"/>
  <c r="D231" i="3"/>
  <c r="C231" i="3"/>
  <c r="J230" i="3"/>
  <c r="I230" i="3"/>
  <c r="D230" i="3"/>
  <c r="C230" i="3"/>
  <c r="J229" i="3"/>
  <c r="I229" i="3"/>
  <c r="D229" i="3"/>
  <c r="C229" i="3"/>
  <c r="J228" i="3"/>
  <c r="I228" i="3"/>
  <c r="D228" i="3"/>
  <c r="C228" i="3"/>
  <c r="J227" i="3"/>
  <c r="I227" i="3"/>
  <c r="D227" i="3"/>
  <c r="C227" i="3"/>
  <c r="B227" i="3"/>
  <c r="E227" i="3" s="1" a="1"/>
  <c r="E227" i="3" s="1"/>
  <c r="J226" i="3"/>
  <c r="I226" i="3"/>
  <c r="H226" i="3"/>
  <c r="H227" i="3" s="1"/>
  <c r="K227" i="3" s="1" a="1"/>
  <c r="K227" i="3" s="1"/>
  <c r="D226" i="3"/>
  <c r="C226" i="3"/>
  <c r="B226" i="3"/>
  <c r="K226" i="3" s="1" a="1"/>
  <c r="K226" i="3" s="1"/>
  <c r="N239" i="3" s="1"/>
  <c r="L202" i="3"/>
  <c r="H202" i="3"/>
  <c r="H203" i="3" s="1"/>
  <c r="K203" i="3" s="1" a="1"/>
  <c r="K203" i="3" s="1"/>
  <c r="G202" i="3"/>
  <c r="B202" i="3"/>
  <c r="K202" i="3" s="1" a="1"/>
  <c r="K202" i="3" s="1"/>
  <c r="B177" i="3"/>
  <c r="B178" i="3" s="1"/>
  <c r="L176" i="3"/>
  <c r="H176" i="3"/>
  <c r="C176" i="3"/>
  <c r="B176" i="3"/>
  <c r="D176" i="3" s="1"/>
  <c r="D153" i="3"/>
  <c r="D154" i="3" s="1"/>
  <c r="E154" i="3" s="1"/>
  <c r="B133" i="3"/>
  <c r="B134" i="3" s="1"/>
  <c r="D128" i="3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07" i="3"/>
  <c r="D108" i="3" s="1"/>
  <c r="D109" i="3" s="1"/>
  <c r="D110" i="3" s="1"/>
  <c r="E110" i="3" s="1"/>
  <c r="D106" i="3"/>
  <c r="D83" i="3"/>
  <c r="D84" i="3" s="1"/>
  <c r="D85" i="3" s="1"/>
  <c r="D86" i="3" s="1"/>
  <c r="D87" i="3" s="1"/>
  <c r="D88" i="3" s="1"/>
  <c r="D89" i="3" s="1"/>
  <c r="D90" i="3" s="1"/>
  <c r="D91" i="3" s="1"/>
  <c r="D92" i="3" s="1"/>
  <c r="D62" i="3"/>
  <c r="E62" i="3" s="1"/>
  <c r="D61" i="3"/>
  <c r="K61" i="3" s="1"/>
  <c r="D60" i="3"/>
  <c r="D59" i="3"/>
  <c r="B58" i="3" s="1"/>
  <c r="D58" i="3"/>
  <c r="E58" i="3" s="1"/>
  <c r="D57" i="3"/>
  <c r="K57" i="3" s="1"/>
  <c r="D56" i="3"/>
  <c r="D55" i="3"/>
  <c r="B54" i="3" s="1"/>
  <c r="D54" i="3"/>
  <c r="B53" i="3" s="1"/>
  <c r="E53" i="3"/>
  <c r="B40" i="3"/>
  <c r="B39" i="3"/>
  <c r="B38" i="3"/>
  <c r="B37" i="3"/>
  <c r="B36" i="3"/>
  <c r="B35" i="3"/>
  <c r="B34" i="3"/>
  <c r="B33" i="3"/>
  <c r="C32" i="3"/>
  <c r="C33" i="3" s="1"/>
  <c r="B32" i="3"/>
  <c r="G9" i="3"/>
  <c r="F9" i="3"/>
  <c r="E9" i="3"/>
  <c r="G6" i="3"/>
  <c r="F6" i="3"/>
  <c r="E6" i="3"/>
  <c r="K5" i="3"/>
  <c r="J5" i="3"/>
  <c r="H2" i="3"/>
  <c r="L161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53" i="1"/>
  <c r="E106" i="1"/>
  <c r="J111" i="1" s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N239" i="1"/>
  <c r="N215" i="1"/>
  <c r="N189" i="1"/>
  <c r="K275" i="1" a="1"/>
  <c r="K275" i="1" s="1"/>
  <c r="K276" i="1" a="1"/>
  <c r="K276" i="1" s="1"/>
  <c r="K277" i="1" a="1"/>
  <c r="K277" i="1"/>
  <c r="K278" i="1" a="1"/>
  <c r="K278" i="1" s="1"/>
  <c r="K279" i="1" a="1"/>
  <c r="K279" i="1" s="1"/>
  <c r="K280" i="1" a="1"/>
  <c r="K280" i="1" s="1"/>
  <c r="K281" i="1" a="1"/>
  <c r="K281" i="1" s="1"/>
  <c r="K282" i="1" a="1"/>
  <c r="K282" i="1" s="1"/>
  <c r="K283" i="1" a="1"/>
  <c r="K283" i="1"/>
  <c r="K284" i="1" a="1"/>
  <c r="K284" i="1" s="1"/>
  <c r="K285" i="1" a="1"/>
  <c r="K285" i="1" s="1"/>
  <c r="K286" i="1" a="1"/>
  <c r="K286" i="1" s="1"/>
  <c r="K287" i="1" a="1"/>
  <c r="K287" i="1" s="1"/>
  <c r="K288" i="1" a="1"/>
  <c r="K288" i="1" s="1"/>
  <c r="K289" i="1" a="1"/>
  <c r="K289" i="1" s="1"/>
  <c r="K290" i="1" a="1"/>
  <c r="K290" i="1" s="1"/>
  <c r="K291" i="1" a="1"/>
  <c r="K291" i="1" s="1"/>
  <c r="K292" i="1" a="1"/>
  <c r="K292" i="1" s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K274" i="1" a="1"/>
  <c r="K274" i="1" s="1"/>
  <c r="J274" i="1"/>
  <c r="I274" i="1"/>
  <c r="E275" i="1" a="1"/>
  <c r="E275" i="1" s="1"/>
  <c r="E276" i="1" a="1"/>
  <c r="E276" i="1"/>
  <c r="E277" i="1" a="1"/>
  <c r="E277" i="1" s="1"/>
  <c r="E278" i="1" a="1"/>
  <c r="E278" i="1" s="1"/>
  <c r="E279" i="1" a="1"/>
  <c r="E279" i="1"/>
  <c r="E280" i="1" a="1"/>
  <c r="E280" i="1"/>
  <c r="E281" i="1" a="1"/>
  <c r="E281" i="1" s="1"/>
  <c r="E282" i="1" a="1"/>
  <c r="E282" i="1"/>
  <c r="E283" i="1" a="1"/>
  <c r="E283" i="1" s="1"/>
  <c r="E284" i="1" a="1"/>
  <c r="E284" i="1" s="1"/>
  <c r="E285" i="1" a="1"/>
  <c r="E285" i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1" i="1" a="1"/>
  <c r="E291" i="1" s="1"/>
  <c r="E292" i="1" a="1"/>
  <c r="E292" i="1" s="1"/>
  <c r="E274" i="1" a="1"/>
  <c r="E274" i="1" s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74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H277" i="1"/>
  <c r="H278" i="1" s="1"/>
  <c r="H276" i="1"/>
  <c r="H275" i="1"/>
  <c r="B275" i="1"/>
  <c r="B276" i="1" s="1"/>
  <c r="H274" i="1"/>
  <c r="B274" i="1"/>
  <c r="K227" i="1" a="1"/>
  <c r="K227" i="1" s="1"/>
  <c r="K228" i="1" a="1"/>
  <c r="K228" i="1"/>
  <c r="K229" i="1" a="1"/>
  <c r="K229" i="1"/>
  <c r="K230" i="1" a="1"/>
  <c r="K230" i="1" s="1"/>
  <c r="K231" i="1" a="1"/>
  <c r="K231" i="1"/>
  <c r="K232" i="1" a="1"/>
  <c r="K232" i="1" s="1"/>
  <c r="K233" i="1" a="1"/>
  <c r="K233" i="1" s="1"/>
  <c r="K234" i="1" a="1"/>
  <c r="K234" i="1"/>
  <c r="K235" i="1" a="1"/>
  <c r="K235" i="1" s="1"/>
  <c r="K236" i="1" a="1"/>
  <c r="K236" i="1" s="1"/>
  <c r="K237" i="1" a="1"/>
  <c r="K237" i="1"/>
  <c r="K238" i="1" a="1"/>
  <c r="K238" i="1" s="1"/>
  <c r="K239" i="1" a="1"/>
  <c r="K239" i="1" s="1"/>
  <c r="K240" i="1" a="1"/>
  <c r="K240" i="1" s="1"/>
  <c r="K241" i="1" a="1"/>
  <c r="K241" i="1" s="1"/>
  <c r="K242" i="1" a="1"/>
  <c r="K242" i="1" s="1"/>
  <c r="K243" i="1" a="1"/>
  <c r="K243" i="1"/>
  <c r="K244" i="1" a="1"/>
  <c r="K244" i="1" s="1"/>
  <c r="K226" i="1" a="1"/>
  <c r="K226" i="1" s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26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H226" i="1"/>
  <c r="G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02" i="1"/>
  <c r="L176" i="1"/>
  <c r="L202" i="1"/>
  <c r="H202" i="1"/>
  <c r="H203" i="1" s="1"/>
  <c r="K203" i="1" s="1" a="1"/>
  <c r="K203" i="1" s="1"/>
  <c r="K180" i="1" a="1"/>
  <c r="K180" i="1"/>
  <c r="K181" i="1" a="1"/>
  <c r="K181" i="1" s="1"/>
  <c r="K176" i="1" a="1"/>
  <c r="K176" i="1" s="1"/>
  <c r="J177" i="1"/>
  <c r="J178" i="1"/>
  <c r="H176" i="1"/>
  <c r="J176" i="1" s="1"/>
  <c r="H177" i="1"/>
  <c r="K177" i="1" s="1" a="1"/>
  <c r="K177" i="1" s="1"/>
  <c r="H178" i="1"/>
  <c r="K178" i="1" s="1" a="1"/>
  <c r="K178" i="1" s="1"/>
  <c r="H179" i="1"/>
  <c r="I179" i="1" s="1"/>
  <c r="H180" i="1"/>
  <c r="J180" i="1" s="1"/>
  <c r="H181" i="1"/>
  <c r="J181" i="1" s="1"/>
  <c r="H182" i="1"/>
  <c r="I182" i="1" s="1"/>
  <c r="H183" i="1"/>
  <c r="I176" i="1"/>
  <c r="F249" i="1"/>
  <c r="E249" i="1" a="1"/>
  <c r="E249" i="1" s="1"/>
  <c r="B249" i="1"/>
  <c r="G202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26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B226" i="1"/>
  <c r="E226" i="1" s="1" a="1"/>
  <c r="E226" i="1" s="1"/>
  <c r="B202" i="1"/>
  <c r="E187" i="1" a="1"/>
  <c r="E187" i="1" s="1"/>
  <c r="B176" i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C194" i="1" s="1"/>
  <c r="H164" i="1"/>
  <c r="D153" i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28" i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B133" i="1"/>
  <c r="B134" i="1" s="1"/>
  <c r="F6" i="1"/>
  <c r="G6" i="1"/>
  <c r="E6" i="1"/>
  <c r="H198" i="1" s="1"/>
  <c r="C198" i="1" s="1"/>
  <c r="F9" i="1"/>
  <c r="G9" i="1"/>
  <c r="E9" i="1"/>
  <c r="D106" i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83" i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54" i="1"/>
  <c r="H155" i="1" s="1"/>
  <c r="E2" i="1"/>
  <c r="G160" i="1" s="1"/>
  <c r="E53" i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R53" i="1" s="1"/>
  <c r="S53" i="1" s="1"/>
  <c r="T53" i="1" s="1"/>
  <c r="U53" i="1" s="1"/>
  <c r="V53" i="1" s="1"/>
  <c r="W53" i="1" s="1"/>
  <c r="C32" i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32" i="1"/>
  <c r="K5" i="1"/>
  <c r="L5" i="1" s="1"/>
  <c r="J5" i="1"/>
  <c r="H2" i="1"/>
  <c r="L161" i="3" l="1"/>
  <c r="J163" i="3"/>
  <c r="E132" i="3"/>
  <c r="E84" i="3"/>
  <c r="C202" i="3"/>
  <c r="B57" i="3"/>
  <c r="B73" i="3" s="1"/>
  <c r="A80" i="3" s="1"/>
  <c r="D202" i="3"/>
  <c r="E226" i="3" a="1"/>
  <c r="E226" i="3" s="1"/>
  <c r="E275" i="3" a="1"/>
  <c r="E275" i="3" s="1"/>
  <c r="B136" i="3"/>
  <c r="B203" i="3"/>
  <c r="F203" i="3" s="1" a="1"/>
  <c r="F203" i="3" s="1"/>
  <c r="F202" i="3" a="1"/>
  <c r="F202" i="3" s="1"/>
  <c r="E274" i="3" a="1"/>
  <c r="E274" i="3" s="1"/>
  <c r="B251" i="3"/>
  <c r="E251" i="3" s="1" a="1"/>
  <c r="E251" i="3" s="1"/>
  <c r="E176" i="3" a="1"/>
  <c r="E176" i="3" s="1"/>
  <c r="K274" i="3" a="1"/>
  <c r="K274" i="3" s="1"/>
  <c r="E54" i="3"/>
  <c r="E109" i="3"/>
  <c r="E249" i="3" a="1"/>
  <c r="E249" i="3" s="1"/>
  <c r="I202" i="3"/>
  <c r="E108" i="3"/>
  <c r="B61" i="3"/>
  <c r="E54" i="7"/>
  <c r="N189" i="7"/>
  <c r="B276" i="7"/>
  <c r="K275" i="7" a="1"/>
  <c r="K275" i="7" s="1"/>
  <c r="E275" i="7" a="1"/>
  <c r="E275" i="7" s="1"/>
  <c r="D90" i="7"/>
  <c r="D91" i="7" s="1"/>
  <c r="D178" i="7"/>
  <c r="B250" i="7"/>
  <c r="D203" i="7"/>
  <c r="G154" i="7"/>
  <c r="I154" i="7" s="1"/>
  <c r="E87" i="7"/>
  <c r="D204" i="7"/>
  <c r="D202" i="7"/>
  <c r="E86" i="7"/>
  <c r="E84" i="7"/>
  <c r="E85" i="7"/>
  <c r="I203" i="7"/>
  <c r="G153" i="7"/>
  <c r="I153" i="7" s="1"/>
  <c r="L158" i="7" s="1"/>
  <c r="E83" i="7"/>
  <c r="I204" i="7"/>
  <c r="G2" i="7"/>
  <c r="C249" i="7" s="1"/>
  <c r="B205" i="7"/>
  <c r="D205" i="7" s="1"/>
  <c r="C204" i="7"/>
  <c r="B179" i="7"/>
  <c r="B136" i="7"/>
  <c r="C203" i="7"/>
  <c r="H209" i="7"/>
  <c r="B227" i="7"/>
  <c r="B72" i="7"/>
  <c r="C178" i="7"/>
  <c r="H53" i="7"/>
  <c r="J86" i="7"/>
  <c r="J89" i="7" s="1"/>
  <c r="H198" i="7"/>
  <c r="C198" i="7" s="1"/>
  <c r="J207" i="7" s="1"/>
  <c r="H154" i="7"/>
  <c r="F54" i="7"/>
  <c r="H153" i="7"/>
  <c r="B134" i="7"/>
  <c r="E274" i="7" a="1"/>
  <c r="E274" i="7" s="1"/>
  <c r="J111" i="7"/>
  <c r="J114" i="7" s="1"/>
  <c r="D155" i="7"/>
  <c r="N239" i="7"/>
  <c r="B73" i="7"/>
  <c r="D75" i="7" s="1"/>
  <c r="H177" i="7"/>
  <c r="J111" i="3"/>
  <c r="J114" i="3" s="1"/>
  <c r="H198" i="6"/>
  <c r="C198" i="6" s="1"/>
  <c r="E203" i="6" s="1"/>
  <c r="E94" i="6"/>
  <c r="D95" i="6"/>
  <c r="D96" i="6" s="1"/>
  <c r="D97" i="6" s="1"/>
  <c r="D98" i="6" s="1"/>
  <c r="D99" i="6" s="1"/>
  <c r="D100" i="6" s="1"/>
  <c r="B178" i="6"/>
  <c r="K177" i="6" a="1"/>
  <c r="K177" i="6" s="1"/>
  <c r="C177" i="6"/>
  <c r="E177" i="6" a="1"/>
  <c r="E177" i="6" s="1"/>
  <c r="D177" i="6"/>
  <c r="C205" i="6"/>
  <c r="B276" i="6"/>
  <c r="K275" i="6" a="1"/>
  <c r="K275" i="6" s="1"/>
  <c r="E275" i="6" a="1"/>
  <c r="E275" i="6" s="1"/>
  <c r="E137" i="6"/>
  <c r="D155" i="6"/>
  <c r="E85" i="6"/>
  <c r="D108" i="6"/>
  <c r="E107" i="6"/>
  <c r="I203" i="6"/>
  <c r="K226" i="6" a="1"/>
  <c r="K226" i="6" s="1"/>
  <c r="N239" i="6" s="1"/>
  <c r="B227" i="6"/>
  <c r="B206" i="6"/>
  <c r="B73" i="6"/>
  <c r="D75" i="6" s="1"/>
  <c r="J202" i="6"/>
  <c r="N215" i="6" s="1"/>
  <c r="E136" i="6"/>
  <c r="F53" i="6"/>
  <c r="F55" i="6" s="1"/>
  <c r="K56" i="6"/>
  <c r="B55" i="6"/>
  <c r="E106" i="6"/>
  <c r="J111" i="6" s="1"/>
  <c r="J114" i="6" s="1"/>
  <c r="E143" i="6"/>
  <c r="J203" i="6"/>
  <c r="E99" i="6"/>
  <c r="E93" i="6"/>
  <c r="D203" i="6"/>
  <c r="G154" i="6"/>
  <c r="I154" i="6" s="1"/>
  <c r="E87" i="6"/>
  <c r="D204" i="6"/>
  <c r="D202" i="6"/>
  <c r="E98" i="6"/>
  <c r="E92" i="6"/>
  <c r="E84" i="6"/>
  <c r="D206" i="6"/>
  <c r="E90" i="6"/>
  <c r="E97" i="6"/>
  <c r="E83" i="6"/>
  <c r="E88" i="6"/>
  <c r="G2" i="6"/>
  <c r="C249" i="6" s="1"/>
  <c r="I204" i="6"/>
  <c r="G153" i="6"/>
  <c r="E96" i="6"/>
  <c r="E89" i="6"/>
  <c r="E95" i="6"/>
  <c r="E86" i="6"/>
  <c r="E130" i="6"/>
  <c r="N189" i="6"/>
  <c r="B250" i="6"/>
  <c r="J204" i="6"/>
  <c r="J86" i="6"/>
  <c r="J89" i="6" s="1"/>
  <c r="E144" i="6"/>
  <c r="E138" i="6"/>
  <c r="E133" i="6"/>
  <c r="H128" i="6"/>
  <c r="E128" i="6"/>
  <c r="E142" i="6"/>
  <c r="E135" i="6"/>
  <c r="E129" i="6"/>
  <c r="F249" i="6"/>
  <c r="E139" i="6"/>
  <c r="E141" i="6"/>
  <c r="E134" i="6"/>
  <c r="E140" i="6"/>
  <c r="E132" i="6"/>
  <c r="H205" i="6"/>
  <c r="I205" i="6"/>
  <c r="E91" i="6"/>
  <c r="E131" i="6"/>
  <c r="E146" i="6"/>
  <c r="F204" i="6" a="1"/>
  <c r="F204" i="6" s="1"/>
  <c r="C204" i="6"/>
  <c r="K204" i="6" a="1"/>
  <c r="K204" i="6" s="1"/>
  <c r="E249" i="6" a="1"/>
  <c r="E249" i="6" s="1"/>
  <c r="E153" i="6"/>
  <c r="E55" i="6"/>
  <c r="H153" i="6"/>
  <c r="C176" i="6"/>
  <c r="C203" i="6"/>
  <c r="E274" i="6" a="1"/>
  <c r="E274" i="6" s="1"/>
  <c r="D176" i="6"/>
  <c r="F203" i="6" a="1"/>
  <c r="F203" i="6" s="1"/>
  <c r="B54" i="6"/>
  <c r="B72" i="6" s="1"/>
  <c r="F202" i="6" a="1"/>
  <c r="F202" i="6" s="1"/>
  <c r="E202" i="6"/>
  <c r="H154" i="6"/>
  <c r="H177" i="6"/>
  <c r="E128" i="3"/>
  <c r="E131" i="3"/>
  <c r="E54" i="5"/>
  <c r="N239" i="5"/>
  <c r="H198" i="5"/>
  <c r="D249" i="5" s="1"/>
  <c r="E144" i="5"/>
  <c r="E138" i="5"/>
  <c r="E133" i="5"/>
  <c r="E128" i="5"/>
  <c r="F249" i="5"/>
  <c r="E131" i="5"/>
  <c r="E135" i="5"/>
  <c r="E130" i="5"/>
  <c r="E146" i="5"/>
  <c r="E140" i="5"/>
  <c r="E145" i="5"/>
  <c r="E139" i="5"/>
  <c r="E136" i="5"/>
  <c r="E134" i="5"/>
  <c r="E143" i="5"/>
  <c r="E132" i="5"/>
  <c r="E142" i="5"/>
  <c r="E141" i="5"/>
  <c r="E129" i="5"/>
  <c r="E137" i="5"/>
  <c r="H128" i="5"/>
  <c r="D91" i="5"/>
  <c r="E90" i="5"/>
  <c r="K55" i="5"/>
  <c r="E202" i="5"/>
  <c r="B203" i="5"/>
  <c r="C202" i="5"/>
  <c r="G53" i="5"/>
  <c r="D155" i="5"/>
  <c r="I177" i="5"/>
  <c r="H178" i="5"/>
  <c r="K54" i="5"/>
  <c r="E56" i="5"/>
  <c r="E107" i="5"/>
  <c r="N189" i="5"/>
  <c r="H204" i="5"/>
  <c r="D250" i="5"/>
  <c r="B251" i="5"/>
  <c r="F56" i="5"/>
  <c r="B230" i="5"/>
  <c r="G56" i="5"/>
  <c r="E84" i="5"/>
  <c r="D110" i="5"/>
  <c r="E85" i="5"/>
  <c r="D203" i="5"/>
  <c r="G154" i="5"/>
  <c r="I154" i="5" s="1"/>
  <c r="D202" i="5"/>
  <c r="J86" i="5"/>
  <c r="J89" i="5" s="1"/>
  <c r="G153" i="5"/>
  <c r="I203" i="5"/>
  <c r="I202" i="5"/>
  <c r="E89" i="5"/>
  <c r="E83" i="5"/>
  <c r="F55" i="5"/>
  <c r="C177" i="5"/>
  <c r="B178" i="5"/>
  <c r="H230" i="5"/>
  <c r="G2" i="5"/>
  <c r="C249" i="5" s="1"/>
  <c r="G55" i="5"/>
  <c r="E86" i="5"/>
  <c r="D177" i="5"/>
  <c r="K56" i="5"/>
  <c r="E87" i="5"/>
  <c r="F54" i="5"/>
  <c r="E88" i="5"/>
  <c r="H153" i="5"/>
  <c r="J177" i="5"/>
  <c r="B277" i="5"/>
  <c r="D93" i="3"/>
  <c r="D94" i="3" s="1"/>
  <c r="D95" i="3" s="1"/>
  <c r="D96" i="3" s="1"/>
  <c r="E92" i="3"/>
  <c r="C34" i="3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D142" i="3"/>
  <c r="D143" i="3" s="1"/>
  <c r="E141" i="3"/>
  <c r="D111" i="3"/>
  <c r="E111" i="3" s="1"/>
  <c r="E86" i="3"/>
  <c r="H204" i="3"/>
  <c r="K204" i="3" s="1" a="1"/>
  <c r="K204" i="3" s="1"/>
  <c r="C178" i="3"/>
  <c r="B179" i="3"/>
  <c r="E179" i="3" s="1" a="1"/>
  <c r="E179" i="3" s="1"/>
  <c r="G154" i="3"/>
  <c r="C177" i="3"/>
  <c r="E88" i="3"/>
  <c r="E135" i="3"/>
  <c r="E130" i="3"/>
  <c r="E140" i="3"/>
  <c r="F249" i="3"/>
  <c r="E139" i="3"/>
  <c r="H128" i="3"/>
  <c r="D155" i="3"/>
  <c r="E155" i="3" s="1"/>
  <c r="D177" i="3"/>
  <c r="E55" i="3"/>
  <c r="K60" i="3"/>
  <c r="E133" i="3"/>
  <c r="H228" i="3"/>
  <c r="K228" i="3" s="1" a="1"/>
  <c r="K228" i="3" s="1"/>
  <c r="G155" i="3"/>
  <c r="E89" i="3"/>
  <c r="E94" i="3"/>
  <c r="E83" i="3"/>
  <c r="E87" i="3"/>
  <c r="J86" i="3"/>
  <c r="J89" i="3" s="1"/>
  <c r="E134" i="3"/>
  <c r="K56" i="3"/>
  <c r="G2" i="3"/>
  <c r="E90" i="3"/>
  <c r="E59" i="3"/>
  <c r="K55" i="3"/>
  <c r="E57" i="3"/>
  <c r="K59" i="3"/>
  <c r="E61" i="3"/>
  <c r="F53" i="3"/>
  <c r="F61" i="3"/>
  <c r="E91" i="3"/>
  <c r="E136" i="3"/>
  <c r="D178" i="3"/>
  <c r="B228" i="3"/>
  <c r="E228" i="3" s="1" a="1"/>
  <c r="E228" i="3" s="1"/>
  <c r="B276" i="3"/>
  <c r="K54" i="3"/>
  <c r="K66" i="3" s="1"/>
  <c r="E56" i="3"/>
  <c r="K58" i="3"/>
  <c r="E60" i="3"/>
  <c r="K62" i="3"/>
  <c r="E129" i="3"/>
  <c r="E137" i="3"/>
  <c r="G153" i="3"/>
  <c r="J176" i="3"/>
  <c r="I176" i="3"/>
  <c r="H177" i="3"/>
  <c r="K177" i="3" s="1" a="1"/>
  <c r="K177" i="3" s="1"/>
  <c r="H198" i="3"/>
  <c r="C198" i="3" s="1"/>
  <c r="E202" i="3" s="1"/>
  <c r="F56" i="3"/>
  <c r="F60" i="3"/>
  <c r="E85" i="3"/>
  <c r="E138" i="3"/>
  <c r="B204" i="3"/>
  <c r="D204" i="3" s="1"/>
  <c r="C203" i="3"/>
  <c r="H276" i="3"/>
  <c r="B277" i="1"/>
  <c r="H279" i="1"/>
  <c r="H227" i="1"/>
  <c r="C186" i="1"/>
  <c r="C181" i="1"/>
  <c r="K179" i="1" a="1"/>
  <c r="K179" i="1" s="1"/>
  <c r="D185" i="1"/>
  <c r="D184" i="1"/>
  <c r="H166" i="1"/>
  <c r="E186" i="1" a="1"/>
  <c r="E186" i="1" s="1"/>
  <c r="C185" i="1"/>
  <c r="E179" i="1" a="1"/>
  <c r="E179" i="1" s="1"/>
  <c r="E178" i="1" a="1"/>
  <c r="E178" i="1" s="1"/>
  <c r="C180" i="1"/>
  <c r="E177" i="1" a="1"/>
  <c r="E177" i="1" s="1"/>
  <c r="D187" i="1"/>
  <c r="D186" i="1"/>
  <c r="E189" i="1" a="1"/>
  <c r="E189" i="1" s="1"/>
  <c r="K202" i="1" a="1"/>
  <c r="K202" i="1" s="1"/>
  <c r="H165" i="1"/>
  <c r="E188" i="1" a="1"/>
  <c r="E188" i="1" s="1"/>
  <c r="J179" i="1"/>
  <c r="J203" i="1"/>
  <c r="D249" i="1"/>
  <c r="I183" i="1"/>
  <c r="H184" i="1"/>
  <c r="K183" i="1" a="1"/>
  <c r="K183" i="1" s="1"/>
  <c r="J183" i="1"/>
  <c r="H154" i="1"/>
  <c r="D181" i="1"/>
  <c r="I178" i="1"/>
  <c r="C191" i="1"/>
  <c r="D176" i="1"/>
  <c r="D180" i="1"/>
  <c r="E183" i="1" a="1"/>
  <c r="E183" i="1" s="1"/>
  <c r="I177" i="1"/>
  <c r="I181" i="1"/>
  <c r="C179" i="1"/>
  <c r="I180" i="1"/>
  <c r="E185" i="1" a="1"/>
  <c r="E185" i="1" s="1"/>
  <c r="C192" i="1"/>
  <c r="C177" i="1"/>
  <c r="G171" i="1"/>
  <c r="C190" i="1"/>
  <c r="D194" i="1"/>
  <c r="E193" i="1" a="1"/>
  <c r="E193" i="1" s="1"/>
  <c r="E202" i="1"/>
  <c r="J182" i="1"/>
  <c r="D183" i="1"/>
  <c r="C178" i="1"/>
  <c r="C189" i="1"/>
  <c r="D193" i="1"/>
  <c r="E182" i="1" a="1"/>
  <c r="E182" i="1" s="1"/>
  <c r="G159" i="1"/>
  <c r="C188" i="1"/>
  <c r="D192" i="1"/>
  <c r="E191" i="1" a="1"/>
  <c r="E191" i="1" s="1"/>
  <c r="E181" i="1" a="1"/>
  <c r="E181" i="1" s="1"/>
  <c r="E176" i="1" a="1"/>
  <c r="E176" i="1" s="1"/>
  <c r="K182" i="1" a="1"/>
  <c r="K182" i="1" s="1"/>
  <c r="J202" i="1"/>
  <c r="C193" i="1"/>
  <c r="D182" i="1"/>
  <c r="E184" i="1" a="1"/>
  <c r="E184" i="1" s="1"/>
  <c r="G170" i="1"/>
  <c r="E192" i="1" a="1"/>
  <c r="E192" i="1" s="1"/>
  <c r="G158" i="1"/>
  <c r="C187" i="1"/>
  <c r="D188" i="1"/>
  <c r="E190" i="1" a="1"/>
  <c r="E190" i="1" s="1"/>
  <c r="E180" i="1" a="1"/>
  <c r="E180" i="1" s="1"/>
  <c r="F202" i="1" a="1"/>
  <c r="F202" i="1" s="1"/>
  <c r="H204" i="1"/>
  <c r="B250" i="1"/>
  <c r="B227" i="1"/>
  <c r="E227" i="1" s="1" a="1"/>
  <c r="E227" i="1" s="1"/>
  <c r="B203" i="1"/>
  <c r="H162" i="1"/>
  <c r="H160" i="1"/>
  <c r="G164" i="1"/>
  <c r="G163" i="1"/>
  <c r="G169" i="1"/>
  <c r="B136" i="1"/>
  <c r="G156" i="1"/>
  <c r="H163" i="1"/>
  <c r="G167" i="1"/>
  <c r="G166" i="1"/>
  <c r="H161" i="1"/>
  <c r="H153" i="1"/>
  <c r="H159" i="1"/>
  <c r="C184" i="1"/>
  <c r="D179" i="1"/>
  <c r="G161" i="1"/>
  <c r="H168" i="1"/>
  <c r="H156" i="1"/>
  <c r="C176" i="1"/>
  <c r="C183" i="1"/>
  <c r="D190" i="1"/>
  <c r="D178" i="1"/>
  <c r="G157" i="1"/>
  <c r="G168" i="1"/>
  <c r="G155" i="1"/>
  <c r="G154" i="1"/>
  <c r="G165" i="1"/>
  <c r="H171" i="1"/>
  <c r="I171" i="1" s="1"/>
  <c r="H170" i="1"/>
  <c r="H158" i="1"/>
  <c r="G162" i="1"/>
  <c r="H169" i="1"/>
  <c r="H157" i="1"/>
  <c r="D191" i="1"/>
  <c r="G153" i="1"/>
  <c r="H167" i="1"/>
  <c r="C182" i="1"/>
  <c r="D189" i="1"/>
  <c r="D177" i="1"/>
  <c r="E133" i="1"/>
  <c r="E145" i="1"/>
  <c r="E138" i="1"/>
  <c r="E139" i="1"/>
  <c r="E140" i="1"/>
  <c r="E129" i="1"/>
  <c r="E141" i="1"/>
  <c r="E131" i="1"/>
  <c r="E143" i="1"/>
  <c r="E132" i="1"/>
  <c r="E134" i="1"/>
  <c r="E146" i="1"/>
  <c r="E135" i="1"/>
  <c r="E136" i="1"/>
  <c r="H128" i="1"/>
  <c r="E128" i="1"/>
  <c r="E137" i="1"/>
  <c r="E130" i="1"/>
  <c r="E142" i="1"/>
  <c r="E144" i="1"/>
  <c r="P62" i="1"/>
  <c r="M54" i="1"/>
  <c r="V60" i="1"/>
  <c r="I154" i="1"/>
  <c r="E98" i="1"/>
  <c r="E86" i="1"/>
  <c r="E87" i="1"/>
  <c r="V61" i="1"/>
  <c r="E62" i="1"/>
  <c r="K55" i="1"/>
  <c r="E97" i="1"/>
  <c r="J66" i="1"/>
  <c r="P61" i="1"/>
  <c r="F58" i="1"/>
  <c r="L69" i="1"/>
  <c r="H70" i="1"/>
  <c r="F57" i="1"/>
  <c r="L68" i="1"/>
  <c r="U56" i="1"/>
  <c r="L57" i="1"/>
  <c r="F56" i="1"/>
  <c r="L67" i="1"/>
  <c r="M57" i="1"/>
  <c r="R63" i="1"/>
  <c r="U55" i="1"/>
  <c r="E93" i="1"/>
  <c r="K56" i="1"/>
  <c r="K67" i="1"/>
  <c r="R61" i="1"/>
  <c r="W62" i="1"/>
  <c r="E63" i="1"/>
  <c r="I61" i="1"/>
  <c r="K61" i="1"/>
  <c r="L55" i="1"/>
  <c r="O60" i="1"/>
  <c r="T61" i="1"/>
  <c r="J67" i="1"/>
  <c r="M63" i="1"/>
  <c r="U63" i="1"/>
  <c r="E85" i="1"/>
  <c r="E61" i="1"/>
  <c r="L70" i="1"/>
  <c r="M62" i="1"/>
  <c r="U62" i="1"/>
  <c r="E96" i="1"/>
  <c r="E84" i="1"/>
  <c r="M59" i="1"/>
  <c r="J65" i="1"/>
  <c r="M61" i="1"/>
  <c r="P55" i="1"/>
  <c r="U61" i="1"/>
  <c r="E95" i="1"/>
  <c r="E83" i="1"/>
  <c r="J58" i="1"/>
  <c r="J64" i="1"/>
  <c r="M58" i="1"/>
  <c r="Q63" i="1"/>
  <c r="E94" i="1"/>
  <c r="J86" i="1"/>
  <c r="J89" i="1" s="1"/>
  <c r="H69" i="1"/>
  <c r="K68" i="1"/>
  <c r="F55" i="1"/>
  <c r="L66" i="1"/>
  <c r="M56" i="1"/>
  <c r="R62" i="1"/>
  <c r="E92" i="1"/>
  <c r="E67" i="1"/>
  <c r="E55" i="1"/>
  <c r="G61" i="1"/>
  <c r="K66" i="1"/>
  <c r="L65" i="1"/>
  <c r="M55" i="1"/>
  <c r="W61" i="1"/>
  <c r="E91" i="1"/>
  <c r="S66" i="1"/>
  <c r="H64" i="1"/>
  <c r="K65" i="1"/>
  <c r="L64" i="1"/>
  <c r="N61" i="1"/>
  <c r="S65" i="1"/>
  <c r="E90" i="1"/>
  <c r="I65" i="1"/>
  <c r="E66" i="1"/>
  <c r="I64" i="1"/>
  <c r="K64" i="1"/>
  <c r="L63" i="1"/>
  <c r="N57" i="1"/>
  <c r="S64" i="1"/>
  <c r="E101" i="1"/>
  <c r="E89" i="1"/>
  <c r="U64" i="1"/>
  <c r="E65" i="1"/>
  <c r="I63" i="1"/>
  <c r="K63" i="1"/>
  <c r="L62" i="1"/>
  <c r="N56" i="1"/>
  <c r="S63" i="1"/>
  <c r="E100" i="1"/>
  <c r="E88" i="1"/>
  <c r="T63" i="1"/>
  <c r="E64" i="1"/>
  <c r="I62" i="1"/>
  <c r="K62" i="1"/>
  <c r="L56" i="1"/>
  <c r="N55" i="1"/>
  <c r="T62" i="1"/>
  <c r="E99" i="1"/>
  <c r="L54" i="1"/>
  <c r="W54" i="1"/>
  <c r="J54" i="1"/>
  <c r="I54" i="1"/>
  <c r="V54" i="1"/>
  <c r="T54" i="1"/>
  <c r="H54" i="1"/>
  <c r="R54" i="1"/>
  <c r="F54" i="1"/>
  <c r="K54" i="1"/>
  <c r="U54" i="1"/>
  <c r="S54" i="1"/>
  <c r="Q54" i="1"/>
  <c r="G54" i="1"/>
  <c r="K60" i="1"/>
  <c r="T60" i="1"/>
  <c r="H60" i="1"/>
  <c r="M60" i="1"/>
  <c r="F60" i="1"/>
  <c r="E60" i="1"/>
  <c r="J60" i="1"/>
  <c r="R60" i="1"/>
  <c r="P60" i="1"/>
  <c r="G60" i="1"/>
  <c r="I60" i="1"/>
  <c r="W60" i="1"/>
  <c r="K71" i="1"/>
  <c r="J71" i="1"/>
  <c r="I71" i="1"/>
  <c r="W71" i="1"/>
  <c r="Q71" i="1"/>
  <c r="F71" i="1"/>
  <c r="P71" i="1"/>
  <c r="V71" i="1"/>
  <c r="H71" i="1"/>
  <c r="T71" i="1"/>
  <c r="R71" i="1"/>
  <c r="E71" i="1"/>
  <c r="G71" i="1"/>
  <c r="O71" i="1"/>
  <c r="L71" i="1"/>
  <c r="N68" i="1"/>
  <c r="Q70" i="1"/>
  <c r="R58" i="1"/>
  <c r="F67" i="1"/>
  <c r="N67" i="1"/>
  <c r="Q69" i="1"/>
  <c r="S55" i="1"/>
  <c r="O68" i="1"/>
  <c r="U68" i="1"/>
  <c r="V69" i="1"/>
  <c r="E70" i="1"/>
  <c r="H68" i="1"/>
  <c r="P66" i="1"/>
  <c r="R70" i="1"/>
  <c r="T70" i="1"/>
  <c r="V68" i="1"/>
  <c r="W65" i="1"/>
  <c r="N64" i="1"/>
  <c r="O66" i="1"/>
  <c r="P65" i="1"/>
  <c r="Q66" i="1"/>
  <c r="R69" i="1"/>
  <c r="S68" i="1"/>
  <c r="T69" i="1"/>
  <c r="U66" i="1"/>
  <c r="V67" i="1"/>
  <c r="W64" i="1"/>
  <c r="V59" i="1"/>
  <c r="G59" i="1"/>
  <c r="H59" i="1"/>
  <c r="Q58" i="1"/>
  <c r="V58" i="1"/>
  <c r="H58" i="1"/>
  <c r="M70" i="1"/>
  <c r="P59" i="1"/>
  <c r="Q57" i="1"/>
  <c r="S58" i="1"/>
  <c r="T59" i="1"/>
  <c r="V57" i="1"/>
  <c r="F69" i="1"/>
  <c r="H57" i="1"/>
  <c r="M69" i="1"/>
  <c r="N69" i="1"/>
  <c r="O56" i="1"/>
  <c r="R59" i="1"/>
  <c r="V56" i="1"/>
  <c r="F68" i="1"/>
  <c r="H56" i="1"/>
  <c r="I59" i="1"/>
  <c r="J59" i="1"/>
  <c r="M68" i="1"/>
  <c r="O55" i="1"/>
  <c r="Q55" i="1"/>
  <c r="S56" i="1"/>
  <c r="T57" i="1"/>
  <c r="M67" i="1"/>
  <c r="R57" i="1"/>
  <c r="T56" i="1"/>
  <c r="V70" i="1"/>
  <c r="F66" i="1"/>
  <c r="P67" i="1"/>
  <c r="S70" i="1"/>
  <c r="E58" i="1"/>
  <c r="O67" i="1"/>
  <c r="Q67" i="1"/>
  <c r="S69" i="1"/>
  <c r="U67" i="1"/>
  <c r="E69" i="1"/>
  <c r="E57" i="1"/>
  <c r="F64" i="1"/>
  <c r="G64" i="1"/>
  <c r="H67" i="1"/>
  <c r="I70" i="1"/>
  <c r="J70" i="1"/>
  <c r="J55" i="1"/>
  <c r="K70" i="1"/>
  <c r="K58" i="1"/>
  <c r="W55" i="1"/>
  <c r="E68" i="1"/>
  <c r="E56" i="1"/>
  <c r="G63" i="1"/>
  <c r="H66" i="1"/>
  <c r="I66" i="1"/>
  <c r="J69" i="1"/>
  <c r="K69" i="1"/>
  <c r="K57" i="1"/>
  <c r="L58" i="1"/>
  <c r="N63" i="1"/>
  <c r="O62" i="1"/>
  <c r="P64" i="1"/>
  <c r="Q65" i="1"/>
  <c r="R65" i="1"/>
  <c r="S67" i="1"/>
  <c r="T68" i="1"/>
  <c r="U65" i="1"/>
  <c r="V66" i="1"/>
  <c r="W63" i="1"/>
  <c r="O59" i="1"/>
  <c r="Q59" i="1"/>
  <c r="O58" i="1"/>
  <c r="W59" i="1"/>
  <c r="F70" i="1"/>
  <c r="G58" i="1"/>
  <c r="O57" i="1"/>
  <c r="Q56" i="1"/>
  <c r="S57" i="1"/>
  <c r="T58" i="1"/>
  <c r="O70" i="1"/>
  <c r="V55" i="1"/>
  <c r="G70" i="1"/>
  <c r="H55" i="1"/>
  <c r="I58" i="1"/>
  <c r="O69" i="1"/>
  <c r="E59" i="1"/>
  <c r="G66" i="1"/>
  <c r="J57" i="1"/>
  <c r="N66" i="1"/>
  <c r="Q68" i="1"/>
  <c r="W66" i="1"/>
  <c r="F65" i="1"/>
  <c r="G65" i="1"/>
  <c r="J56" i="1"/>
  <c r="K59" i="1"/>
  <c r="N65" i="1"/>
  <c r="F59" i="1"/>
  <c r="G62" i="1"/>
  <c r="H65" i="1"/>
  <c r="J68" i="1"/>
  <c r="N62" i="1"/>
  <c r="O61" i="1"/>
  <c r="P63" i="1"/>
  <c r="Q64" i="1"/>
  <c r="R64" i="1"/>
  <c r="S62" i="1"/>
  <c r="T67" i="1"/>
  <c r="T55" i="1"/>
  <c r="U60" i="1"/>
  <c r="V65" i="1"/>
  <c r="W70" i="1"/>
  <c r="W58" i="1"/>
  <c r="G69" i="1"/>
  <c r="H63" i="1"/>
  <c r="I57" i="1"/>
  <c r="J63" i="1"/>
  <c r="L61" i="1"/>
  <c r="M71" i="1"/>
  <c r="O65" i="1"/>
  <c r="P58" i="1"/>
  <c r="R68" i="1"/>
  <c r="S61" i="1"/>
  <c r="U71" i="1"/>
  <c r="V64" i="1"/>
  <c r="W57" i="1"/>
  <c r="F62" i="1"/>
  <c r="G68" i="1"/>
  <c r="G56" i="1"/>
  <c r="H62" i="1"/>
  <c r="I68" i="1"/>
  <c r="I56" i="1"/>
  <c r="J62" i="1"/>
  <c r="O54" i="1"/>
  <c r="L60" i="1"/>
  <c r="M65" i="1"/>
  <c r="N71" i="1"/>
  <c r="N59" i="1"/>
  <c r="O64" i="1"/>
  <c r="P69" i="1"/>
  <c r="P57" i="1"/>
  <c r="Q61" i="1"/>
  <c r="R67" i="1"/>
  <c r="R55" i="1"/>
  <c r="S60" i="1"/>
  <c r="T65" i="1"/>
  <c r="U70" i="1"/>
  <c r="U58" i="1"/>
  <c r="V63" i="1"/>
  <c r="W68" i="1"/>
  <c r="W56" i="1"/>
  <c r="F63" i="1"/>
  <c r="G57" i="1"/>
  <c r="I69" i="1"/>
  <c r="N54" i="1"/>
  <c r="M66" i="1"/>
  <c r="N60" i="1"/>
  <c r="P70" i="1"/>
  <c r="Q62" i="1"/>
  <c r="R56" i="1"/>
  <c r="T66" i="1"/>
  <c r="U59" i="1"/>
  <c r="W69" i="1"/>
  <c r="F61" i="1"/>
  <c r="G67" i="1"/>
  <c r="G55" i="1"/>
  <c r="H61" i="1"/>
  <c r="I67" i="1"/>
  <c r="I55" i="1"/>
  <c r="J61" i="1"/>
  <c r="P54" i="1"/>
  <c r="L59" i="1"/>
  <c r="M64" i="1"/>
  <c r="N70" i="1"/>
  <c r="N58" i="1"/>
  <c r="O63" i="1"/>
  <c r="P68" i="1"/>
  <c r="P56" i="1"/>
  <c r="Q60" i="1"/>
  <c r="R66" i="1"/>
  <c r="S71" i="1"/>
  <c r="S59" i="1"/>
  <c r="T64" i="1"/>
  <c r="U69" i="1"/>
  <c r="U57" i="1"/>
  <c r="V62" i="1"/>
  <c r="W67" i="1"/>
  <c r="C249" i="1"/>
  <c r="C251" i="3" l="1"/>
  <c r="B252" i="3"/>
  <c r="E252" i="3" s="1" a="1"/>
  <c r="E252" i="3" s="1"/>
  <c r="K276" i="3" a="1"/>
  <c r="K276" i="3" s="1"/>
  <c r="E276" i="3" a="1"/>
  <c r="E276" i="3" s="1"/>
  <c r="F204" i="3" a="1"/>
  <c r="F204" i="3" s="1"/>
  <c r="I204" i="3"/>
  <c r="E93" i="3"/>
  <c r="D203" i="3"/>
  <c r="E95" i="3"/>
  <c r="I203" i="3"/>
  <c r="J163" i="7"/>
  <c r="I53" i="7"/>
  <c r="E203" i="7"/>
  <c r="J204" i="7"/>
  <c r="J202" i="7"/>
  <c r="N215" i="7" s="1"/>
  <c r="I205" i="7"/>
  <c r="D156" i="7"/>
  <c r="H155" i="7"/>
  <c r="B180" i="7"/>
  <c r="D179" i="7"/>
  <c r="C179" i="7"/>
  <c r="J177" i="7"/>
  <c r="I177" i="7"/>
  <c r="H178" i="7"/>
  <c r="B228" i="7"/>
  <c r="E205" i="7"/>
  <c r="C205" i="7"/>
  <c r="B206" i="7"/>
  <c r="J209" i="7"/>
  <c r="H210" i="7"/>
  <c r="J208" i="7"/>
  <c r="D92" i="7"/>
  <c r="E91" i="7"/>
  <c r="E202" i="7"/>
  <c r="H54" i="7"/>
  <c r="D249" i="7"/>
  <c r="K276" i="7" a="1"/>
  <c r="K276" i="7" s="1"/>
  <c r="E276" i="7" a="1"/>
  <c r="E276" i="7" s="1"/>
  <c r="B277" i="7"/>
  <c r="J206" i="7"/>
  <c r="G155" i="7"/>
  <c r="E144" i="7"/>
  <c r="E138" i="7"/>
  <c r="E133" i="7"/>
  <c r="H128" i="7"/>
  <c r="E128" i="7"/>
  <c r="E142" i="7"/>
  <c r="E136" i="7"/>
  <c r="E134" i="7"/>
  <c r="E141" i="7"/>
  <c r="E137" i="7"/>
  <c r="F249" i="7"/>
  <c r="E143" i="7"/>
  <c r="E130" i="7"/>
  <c r="E139" i="7"/>
  <c r="E135" i="7"/>
  <c r="E132" i="7"/>
  <c r="E129" i="7"/>
  <c r="E146" i="7"/>
  <c r="E131" i="7"/>
  <c r="E145" i="7"/>
  <c r="E140" i="7"/>
  <c r="E90" i="7"/>
  <c r="E204" i="7"/>
  <c r="J203" i="7"/>
  <c r="J205" i="7"/>
  <c r="D250" i="7"/>
  <c r="C250" i="7"/>
  <c r="B251" i="7"/>
  <c r="E205" i="6"/>
  <c r="E204" i="6"/>
  <c r="D249" i="6"/>
  <c r="D109" i="6"/>
  <c r="E108" i="6"/>
  <c r="D156" i="6"/>
  <c r="E155" i="6"/>
  <c r="G155" i="6"/>
  <c r="H155" i="6"/>
  <c r="H206" i="6"/>
  <c r="J205" i="6"/>
  <c r="K178" i="6" a="1"/>
  <c r="K178" i="6" s="1"/>
  <c r="B179" i="6"/>
  <c r="E178" i="6" a="1"/>
  <c r="E178" i="6" s="1"/>
  <c r="D178" i="6"/>
  <c r="C178" i="6"/>
  <c r="E250" i="6" a="1"/>
  <c r="E250" i="6" s="1"/>
  <c r="D250" i="6"/>
  <c r="C250" i="6"/>
  <c r="B251" i="6"/>
  <c r="K205" i="6" a="1"/>
  <c r="K205" i="6" s="1"/>
  <c r="E206" i="6"/>
  <c r="C206" i="6"/>
  <c r="B207" i="6"/>
  <c r="I206" i="6"/>
  <c r="K206" i="6" a="1"/>
  <c r="K206" i="6" s="1"/>
  <c r="G53" i="6"/>
  <c r="F56" i="6"/>
  <c r="F54" i="6"/>
  <c r="D101" i="6"/>
  <c r="E101" i="6" s="1"/>
  <c r="E100" i="6"/>
  <c r="E276" i="6" a="1"/>
  <c r="E276" i="6" s="1"/>
  <c r="K276" i="6" a="1"/>
  <c r="K276" i="6" s="1"/>
  <c r="B277" i="6"/>
  <c r="J177" i="6"/>
  <c r="I177" i="6"/>
  <c r="H178" i="6"/>
  <c r="I153" i="6"/>
  <c r="L158" i="6" s="1"/>
  <c r="B228" i="6"/>
  <c r="K227" i="6" a="1"/>
  <c r="K227" i="6" s="1"/>
  <c r="E227" i="6" a="1"/>
  <c r="E227" i="6" s="1"/>
  <c r="B72" i="5"/>
  <c r="J203" i="5"/>
  <c r="J202" i="5"/>
  <c r="N215" i="5"/>
  <c r="J204" i="5"/>
  <c r="H205" i="5"/>
  <c r="J178" i="5"/>
  <c r="I178" i="5"/>
  <c r="H179" i="5"/>
  <c r="C203" i="5"/>
  <c r="B204" i="5"/>
  <c r="E203" i="5"/>
  <c r="D111" i="5"/>
  <c r="E110" i="5"/>
  <c r="H231" i="5"/>
  <c r="E155" i="5"/>
  <c r="D156" i="5"/>
  <c r="H155" i="5"/>
  <c r="B278" i="5"/>
  <c r="C178" i="5"/>
  <c r="B179" i="5"/>
  <c r="D178" i="5"/>
  <c r="I153" i="5"/>
  <c r="L158" i="5" s="1"/>
  <c r="B231" i="5"/>
  <c r="D92" i="5"/>
  <c r="E91" i="5"/>
  <c r="B252" i="5"/>
  <c r="D251" i="5"/>
  <c r="C251" i="5"/>
  <c r="H53" i="5"/>
  <c r="G54" i="5"/>
  <c r="C250" i="5"/>
  <c r="G155" i="5"/>
  <c r="N189" i="3"/>
  <c r="D249" i="3"/>
  <c r="E203" i="3"/>
  <c r="G53" i="3"/>
  <c r="F54" i="3"/>
  <c r="F62" i="3"/>
  <c r="F58" i="3"/>
  <c r="D250" i="3"/>
  <c r="B277" i="3"/>
  <c r="D144" i="3"/>
  <c r="E143" i="3"/>
  <c r="H277" i="3"/>
  <c r="B229" i="3"/>
  <c r="E229" i="3" s="1" a="1"/>
  <c r="E229" i="3" s="1"/>
  <c r="J204" i="3"/>
  <c r="H205" i="3"/>
  <c r="K205" i="3" s="1" a="1"/>
  <c r="K205" i="3" s="1"/>
  <c r="C249" i="3"/>
  <c r="D156" i="3"/>
  <c r="E156" i="3" s="1"/>
  <c r="F59" i="3"/>
  <c r="J203" i="3"/>
  <c r="D251" i="3"/>
  <c r="E142" i="3"/>
  <c r="D97" i="3"/>
  <c r="E96" i="3"/>
  <c r="J177" i="3"/>
  <c r="H178" i="3"/>
  <c r="K178" i="3" s="1" a="1"/>
  <c r="K178" i="3" s="1"/>
  <c r="I177" i="3"/>
  <c r="F57" i="3"/>
  <c r="B253" i="3"/>
  <c r="E253" i="3" s="1" a="1"/>
  <c r="E253" i="3" s="1"/>
  <c r="D252" i="3"/>
  <c r="C252" i="3"/>
  <c r="H229" i="3"/>
  <c r="K229" i="3" s="1" a="1"/>
  <c r="K229" i="3" s="1"/>
  <c r="B205" i="3"/>
  <c r="E204" i="3"/>
  <c r="C204" i="3"/>
  <c r="J202" i="3"/>
  <c r="F55" i="3"/>
  <c r="C250" i="3"/>
  <c r="D179" i="3"/>
  <c r="B180" i="3"/>
  <c r="E180" i="3" s="1" a="1"/>
  <c r="E180" i="3" s="1"/>
  <c r="C179" i="3"/>
  <c r="D112" i="3"/>
  <c r="E112" i="3" s="1"/>
  <c r="H280" i="1"/>
  <c r="B278" i="1"/>
  <c r="H228" i="1"/>
  <c r="I170" i="1"/>
  <c r="I166" i="1"/>
  <c r="E203" i="1"/>
  <c r="F203" i="1" a="1"/>
  <c r="F203" i="1" s="1"/>
  <c r="I153" i="1"/>
  <c r="L158" i="1" s="1"/>
  <c r="J114" i="1"/>
  <c r="I164" i="1"/>
  <c r="I165" i="1"/>
  <c r="I160" i="1"/>
  <c r="K204" i="1" a="1"/>
  <c r="K204" i="1" s="1"/>
  <c r="J204" i="1"/>
  <c r="I157" i="1"/>
  <c r="C250" i="1"/>
  <c r="D250" i="1"/>
  <c r="E250" i="1" a="1"/>
  <c r="E250" i="1" s="1"/>
  <c r="I184" i="1"/>
  <c r="H185" i="1"/>
  <c r="K184" i="1" a="1"/>
  <c r="K184" i="1" s="1"/>
  <c r="J184" i="1"/>
  <c r="H205" i="1"/>
  <c r="B251" i="1"/>
  <c r="B228" i="1"/>
  <c r="E228" i="1" s="1" a="1"/>
  <c r="E228" i="1" s="1"/>
  <c r="B204" i="1"/>
  <c r="I163" i="1"/>
  <c r="I159" i="1"/>
  <c r="I156" i="1"/>
  <c r="I162" i="1"/>
  <c r="I161" i="1"/>
  <c r="I158" i="1"/>
  <c r="I167" i="1"/>
  <c r="I168" i="1"/>
  <c r="I169" i="1"/>
  <c r="I155" i="1"/>
  <c r="B72" i="1"/>
  <c r="I205" i="3" l="1"/>
  <c r="F205" i="3" a="1"/>
  <c r="F205" i="3" s="1"/>
  <c r="D205" i="3"/>
  <c r="E277" i="3" a="1"/>
  <c r="E277" i="3" s="1"/>
  <c r="K277" i="3" a="1"/>
  <c r="K277" i="3" s="1"/>
  <c r="F66" i="3"/>
  <c r="B229" i="7"/>
  <c r="J210" i="7"/>
  <c r="H211" i="7"/>
  <c r="C180" i="7"/>
  <c r="B181" i="7"/>
  <c r="D180" i="7"/>
  <c r="J178" i="7"/>
  <c r="H179" i="7"/>
  <c r="I178" i="7"/>
  <c r="E277" i="7" a="1"/>
  <c r="E277" i="7" s="1"/>
  <c r="B278" i="7"/>
  <c r="K277" i="7" a="1"/>
  <c r="K277" i="7" s="1"/>
  <c r="J53" i="7"/>
  <c r="I54" i="7"/>
  <c r="D157" i="7"/>
  <c r="I156" i="7"/>
  <c r="G156" i="7"/>
  <c r="H156" i="7"/>
  <c r="C206" i="7"/>
  <c r="B207" i="7"/>
  <c r="E206" i="7"/>
  <c r="D206" i="7"/>
  <c r="I206" i="7"/>
  <c r="B252" i="7"/>
  <c r="D251" i="7"/>
  <c r="C251" i="7"/>
  <c r="I155" i="7"/>
  <c r="D93" i="7"/>
  <c r="E92" i="7"/>
  <c r="J163" i="6"/>
  <c r="E251" i="6" a="1"/>
  <c r="E251" i="6" s="1"/>
  <c r="D251" i="6"/>
  <c r="C251" i="6"/>
  <c r="B252" i="6"/>
  <c r="E277" i="6" a="1"/>
  <c r="E277" i="6" s="1"/>
  <c r="K277" i="6" a="1"/>
  <c r="K277" i="6" s="1"/>
  <c r="B278" i="6"/>
  <c r="H207" i="6"/>
  <c r="J206" i="6"/>
  <c r="I155" i="6"/>
  <c r="J178" i="6"/>
  <c r="H179" i="6"/>
  <c r="I178" i="6"/>
  <c r="B180" i="6"/>
  <c r="K207" i="6" s="1" a="1"/>
  <c r="K207" i="6" s="1"/>
  <c r="E179" i="6" a="1"/>
  <c r="E179" i="6" s="1"/>
  <c r="D179" i="6"/>
  <c r="C179" i="6"/>
  <c r="K179" i="6" a="1"/>
  <c r="K179" i="6" s="1"/>
  <c r="F205" i="6" a="1"/>
  <c r="F205" i="6" s="1"/>
  <c r="D157" i="6"/>
  <c r="E156" i="6"/>
  <c r="H156" i="6"/>
  <c r="G156" i="6"/>
  <c r="C207" i="6"/>
  <c r="E207" i="6"/>
  <c r="B208" i="6"/>
  <c r="D207" i="6"/>
  <c r="I207" i="6"/>
  <c r="B229" i="6"/>
  <c r="E228" i="6" a="1"/>
  <c r="E228" i="6" s="1"/>
  <c r="K228" i="6" a="1"/>
  <c r="K228" i="6" s="1"/>
  <c r="H53" i="6"/>
  <c r="G54" i="6"/>
  <c r="G55" i="6"/>
  <c r="G56" i="6"/>
  <c r="E109" i="6"/>
  <c r="D110" i="6"/>
  <c r="H180" i="5"/>
  <c r="J179" i="5"/>
  <c r="I179" i="5"/>
  <c r="B279" i="5"/>
  <c r="B253" i="5"/>
  <c r="D252" i="5"/>
  <c r="C252" i="5"/>
  <c r="D93" i="5"/>
  <c r="E92" i="5"/>
  <c r="D157" i="5"/>
  <c r="E156" i="5"/>
  <c r="H156" i="5"/>
  <c r="G156" i="5"/>
  <c r="B232" i="5"/>
  <c r="I155" i="5"/>
  <c r="E204" i="5"/>
  <c r="C204" i="5"/>
  <c r="B205" i="5"/>
  <c r="I204" i="5"/>
  <c r="D204" i="5"/>
  <c r="I53" i="5"/>
  <c r="H54" i="5"/>
  <c r="H56" i="5"/>
  <c r="H55" i="5"/>
  <c r="J163" i="5"/>
  <c r="H232" i="5"/>
  <c r="J205" i="5"/>
  <c r="H206" i="5"/>
  <c r="B180" i="5"/>
  <c r="D179" i="5"/>
  <c r="C179" i="5"/>
  <c r="D112" i="5"/>
  <c r="E111" i="5"/>
  <c r="H230" i="3"/>
  <c r="K230" i="3" s="1" a="1"/>
  <c r="K230" i="3" s="1"/>
  <c r="H206" i="3"/>
  <c r="K206" i="3" s="1" a="1"/>
  <c r="K206" i="3" s="1"/>
  <c r="J205" i="3"/>
  <c r="D180" i="3"/>
  <c r="C180" i="3"/>
  <c r="B181" i="3"/>
  <c r="E181" i="3" s="1" a="1"/>
  <c r="E181" i="3" s="1"/>
  <c r="D98" i="3"/>
  <c r="E97" i="3"/>
  <c r="B230" i="3"/>
  <c r="E230" i="3" s="1" a="1"/>
  <c r="E230" i="3" s="1"/>
  <c r="N215" i="3"/>
  <c r="B254" i="3"/>
  <c r="E254" i="3" s="1" a="1"/>
  <c r="E254" i="3" s="1"/>
  <c r="C253" i="3"/>
  <c r="D253" i="3"/>
  <c r="H278" i="3"/>
  <c r="C205" i="3"/>
  <c r="B206" i="3"/>
  <c r="E205" i="3"/>
  <c r="G61" i="3"/>
  <c r="G57" i="3"/>
  <c r="H53" i="3"/>
  <c r="G55" i="3"/>
  <c r="G54" i="3"/>
  <c r="G62" i="3"/>
  <c r="G60" i="3"/>
  <c r="G59" i="3"/>
  <c r="G58" i="3"/>
  <c r="G56" i="3"/>
  <c r="D113" i="3"/>
  <c r="E113" i="3" s="1"/>
  <c r="D157" i="3"/>
  <c r="E157" i="3" s="1"/>
  <c r="G156" i="3"/>
  <c r="D145" i="3"/>
  <c r="E144" i="3"/>
  <c r="J178" i="3"/>
  <c r="H179" i="3"/>
  <c r="K179" i="3" s="1" a="1"/>
  <c r="K179" i="3" s="1"/>
  <c r="I178" i="3"/>
  <c r="B278" i="3"/>
  <c r="B279" i="1"/>
  <c r="H281" i="1"/>
  <c r="H229" i="1"/>
  <c r="F204" i="1" a="1"/>
  <c r="F204" i="1" s="1"/>
  <c r="E204" i="1"/>
  <c r="J205" i="1"/>
  <c r="K205" i="1" a="1"/>
  <c r="K205" i="1" s="1"/>
  <c r="I185" i="1"/>
  <c r="K185" i="1" a="1"/>
  <c r="K185" i="1" s="1"/>
  <c r="H186" i="1"/>
  <c r="J185" i="1"/>
  <c r="J163" i="1"/>
  <c r="E251" i="1" a="1"/>
  <c r="E251" i="1" s="1"/>
  <c r="D251" i="1"/>
  <c r="C251" i="1"/>
  <c r="H206" i="1"/>
  <c r="B252" i="1"/>
  <c r="B229" i="1"/>
  <c r="E229" i="1" s="1" a="1"/>
  <c r="E229" i="1" s="1"/>
  <c r="B205" i="1"/>
  <c r="E278" i="3" l="1" a="1"/>
  <c r="E278" i="3" s="1"/>
  <c r="K278" i="3" a="1"/>
  <c r="K278" i="3" s="1"/>
  <c r="G66" i="3"/>
  <c r="F206" i="3" a="1"/>
  <c r="F206" i="3" s="1"/>
  <c r="I206" i="3"/>
  <c r="D206" i="3"/>
  <c r="B253" i="7"/>
  <c r="D252" i="7"/>
  <c r="C252" i="7"/>
  <c r="D181" i="7"/>
  <c r="C181" i="7"/>
  <c r="B182" i="7"/>
  <c r="J211" i="7"/>
  <c r="H212" i="7"/>
  <c r="D158" i="7"/>
  <c r="H157" i="7"/>
  <c r="G157" i="7"/>
  <c r="J54" i="7"/>
  <c r="K53" i="7"/>
  <c r="L53" i="7" s="1"/>
  <c r="E278" i="7" a="1"/>
  <c r="E278" i="7" s="1"/>
  <c r="B279" i="7"/>
  <c r="K278" i="7" a="1"/>
  <c r="K278" i="7" s="1"/>
  <c r="D94" i="7"/>
  <c r="E93" i="7"/>
  <c r="B230" i="7"/>
  <c r="I179" i="7"/>
  <c r="J179" i="7"/>
  <c r="H180" i="7"/>
  <c r="C207" i="7"/>
  <c r="E207" i="7"/>
  <c r="B208" i="7"/>
  <c r="I207" i="7"/>
  <c r="D207" i="7"/>
  <c r="I53" i="6"/>
  <c r="H54" i="6"/>
  <c r="H56" i="6"/>
  <c r="H55" i="6"/>
  <c r="E278" i="6" a="1"/>
  <c r="E278" i="6" s="1"/>
  <c r="B279" i="6"/>
  <c r="K278" i="6" a="1"/>
  <c r="K278" i="6" s="1"/>
  <c r="B209" i="6"/>
  <c r="C208" i="6"/>
  <c r="E208" i="6"/>
  <c r="D208" i="6"/>
  <c r="I208" i="6"/>
  <c r="B253" i="6"/>
  <c r="E252" i="6" a="1"/>
  <c r="E252" i="6" s="1"/>
  <c r="D252" i="6"/>
  <c r="C252" i="6"/>
  <c r="I156" i="6"/>
  <c r="E157" i="6"/>
  <c r="D158" i="6"/>
  <c r="G157" i="6"/>
  <c r="H157" i="6"/>
  <c r="B230" i="6"/>
  <c r="K229" i="6" a="1"/>
  <c r="K229" i="6" s="1"/>
  <c r="E229" i="6" a="1"/>
  <c r="E229" i="6" s="1"/>
  <c r="D111" i="6"/>
  <c r="E110" i="6"/>
  <c r="H180" i="6"/>
  <c r="J179" i="6"/>
  <c r="I179" i="6"/>
  <c r="H208" i="6"/>
  <c r="J207" i="6"/>
  <c r="C180" i="6"/>
  <c r="B181" i="6"/>
  <c r="K180" i="6" a="1"/>
  <c r="K180" i="6" s="1"/>
  <c r="E180" i="6" a="1"/>
  <c r="E180" i="6" s="1"/>
  <c r="D180" i="6"/>
  <c r="F206" i="6" a="1"/>
  <c r="F206" i="6" s="1"/>
  <c r="D94" i="5"/>
  <c r="E93" i="5"/>
  <c r="D113" i="5"/>
  <c r="E112" i="5"/>
  <c r="B254" i="5"/>
  <c r="D253" i="5"/>
  <c r="C253" i="5"/>
  <c r="B280" i="5"/>
  <c r="J53" i="5"/>
  <c r="I54" i="5"/>
  <c r="I55" i="5"/>
  <c r="I56" i="5"/>
  <c r="H233" i="5"/>
  <c r="I156" i="5"/>
  <c r="E205" i="5"/>
  <c r="B206" i="5"/>
  <c r="C205" i="5"/>
  <c r="D205" i="5"/>
  <c r="I205" i="5"/>
  <c r="B233" i="5"/>
  <c r="E157" i="5"/>
  <c r="D158" i="5"/>
  <c r="G157" i="5"/>
  <c r="H157" i="5"/>
  <c r="J180" i="5"/>
  <c r="I180" i="5"/>
  <c r="H181" i="5"/>
  <c r="B181" i="5"/>
  <c r="D180" i="5"/>
  <c r="C180" i="5"/>
  <c r="H207" i="5"/>
  <c r="J206" i="5"/>
  <c r="D99" i="3"/>
  <c r="E98" i="3"/>
  <c r="D114" i="3"/>
  <c r="E114" i="3" s="1"/>
  <c r="C181" i="3"/>
  <c r="B182" i="3"/>
  <c r="E182" i="3" s="1" a="1"/>
  <c r="E182" i="3" s="1"/>
  <c r="D181" i="3"/>
  <c r="H180" i="3"/>
  <c r="K180" i="3" s="1" a="1"/>
  <c r="K180" i="3" s="1"/>
  <c r="J179" i="3"/>
  <c r="I179" i="3"/>
  <c r="B255" i="3"/>
  <c r="E255" i="3" s="1" a="1"/>
  <c r="E255" i="3" s="1"/>
  <c r="D254" i="3"/>
  <c r="C254" i="3"/>
  <c r="J206" i="3"/>
  <c r="H207" i="3"/>
  <c r="K207" i="3" s="1" a="1"/>
  <c r="K207" i="3" s="1"/>
  <c r="H279" i="3"/>
  <c r="H231" i="3"/>
  <c r="K231" i="3" s="1" a="1"/>
  <c r="K231" i="3" s="1"/>
  <c r="I53" i="3"/>
  <c r="H57" i="3"/>
  <c r="H60" i="3"/>
  <c r="H58" i="3"/>
  <c r="H59" i="3"/>
  <c r="H56" i="3"/>
  <c r="H54" i="3"/>
  <c r="H62" i="3"/>
  <c r="H61" i="3"/>
  <c r="H55" i="3"/>
  <c r="D146" i="3"/>
  <c r="E146" i="3" s="1"/>
  <c r="E145" i="3"/>
  <c r="D158" i="3"/>
  <c r="E158" i="3" s="1"/>
  <c r="G157" i="3"/>
  <c r="C206" i="3"/>
  <c r="B207" i="3"/>
  <c r="E206" i="3"/>
  <c r="B279" i="3"/>
  <c r="B231" i="3"/>
  <c r="E231" i="3" s="1" a="1"/>
  <c r="E231" i="3" s="1"/>
  <c r="H282" i="1"/>
  <c r="B280" i="1"/>
  <c r="H230" i="1"/>
  <c r="J206" i="1"/>
  <c r="K206" i="1" a="1"/>
  <c r="K206" i="1" s="1"/>
  <c r="F205" i="1" a="1"/>
  <c r="F205" i="1" s="1"/>
  <c r="E205" i="1"/>
  <c r="I186" i="1"/>
  <c r="H187" i="1"/>
  <c r="J186" i="1"/>
  <c r="K186" i="1" a="1"/>
  <c r="K186" i="1" s="1"/>
  <c r="E252" i="1" a="1"/>
  <c r="E252" i="1" s="1"/>
  <c r="D252" i="1"/>
  <c r="C252" i="1"/>
  <c r="H207" i="1"/>
  <c r="B253" i="1"/>
  <c r="B230" i="1"/>
  <c r="E230" i="1" s="1" a="1"/>
  <c r="E230" i="1" s="1"/>
  <c r="B206" i="1"/>
  <c r="H66" i="3" l="1"/>
  <c r="E279" i="3" a="1"/>
  <c r="E279" i="3" s="1"/>
  <c r="K279" i="3" a="1"/>
  <c r="K279" i="3" s="1"/>
  <c r="D207" i="3"/>
  <c r="I207" i="3"/>
  <c r="F207" i="3" a="1"/>
  <c r="F207" i="3" s="1"/>
  <c r="I157" i="7"/>
  <c r="E208" i="7"/>
  <c r="C208" i="7"/>
  <c r="B209" i="7"/>
  <c r="I208" i="7"/>
  <c r="D208" i="7"/>
  <c r="D159" i="7"/>
  <c r="G158" i="7"/>
  <c r="H158" i="7"/>
  <c r="D95" i="7"/>
  <c r="E94" i="7"/>
  <c r="H181" i="7"/>
  <c r="I180" i="7"/>
  <c r="J180" i="7"/>
  <c r="L54" i="7"/>
  <c r="M53" i="7"/>
  <c r="H213" i="7"/>
  <c r="J212" i="7"/>
  <c r="B183" i="7"/>
  <c r="C182" i="7"/>
  <c r="D182" i="7"/>
  <c r="B231" i="7"/>
  <c r="E279" i="7" a="1"/>
  <c r="E279" i="7" s="1"/>
  <c r="B280" i="7"/>
  <c r="K279" i="7" a="1"/>
  <c r="K279" i="7" s="1"/>
  <c r="D253" i="7"/>
  <c r="C253" i="7"/>
  <c r="B254" i="7"/>
  <c r="E230" i="6" a="1"/>
  <c r="E230" i="6" s="1"/>
  <c r="K230" i="6" a="1"/>
  <c r="K230" i="6" s="1"/>
  <c r="B231" i="6"/>
  <c r="E181" i="6" a="1"/>
  <c r="E181" i="6" s="1"/>
  <c r="D181" i="6"/>
  <c r="C181" i="6"/>
  <c r="B182" i="6"/>
  <c r="K209" i="6" s="1" a="1"/>
  <c r="K209" i="6" s="1"/>
  <c r="K181" i="6" a="1"/>
  <c r="K181" i="6" s="1"/>
  <c r="F207" i="6" a="1"/>
  <c r="F207" i="6" s="1"/>
  <c r="D159" i="6"/>
  <c r="H158" i="6"/>
  <c r="E158" i="6"/>
  <c r="G158" i="6"/>
  <c r="K208" i="6" a="1"/>
  <c r="K208" i="6" s="1"/>
  <c r="J208" i="6"/>
  <c r="H209" i="6"/>
  <c r="I157" i="6"/>
  <c r="E209" i="6"/>
  <c r="C209" i="6"/>
  <c r="B210" i="6"/>
  <c r="I209" i="6"/>
  <c r="D209" i="6"/>
  <c r="E111" i="6"/>
  <c r="D112" i="6"/>
  <c r="B254" i="6"/>
  <c r="D253" i="6"/>
  <c r="E253" i="6" a="1"/>
  <c r="E253" i="6" s="1"/>
  <c r="C253" i="6"/>
  <c r="E279" i="6" a="1"/>
  <c r="E279" i="6" s="1"/>
  <c r="B280" i="6"/>
  <c r="K279" i="6" a="1"/>
  <c r="K279" i="6" s="1"/>
  <c r="J180" i="6"/>
  <c r="I180" i="6"/>
  <c r="H181" i="6"/>
  <c r="J53" i="6"/>
  <c r="I54" i="6"/>
  <c r="I55" i="6"/>
  <c r="I56" i="6"/>
  <c r="H234" i="5"/>
  <c r="B234" i="5"/>
  <c r="D181" i="5"/>
  <c r="C181" i="5"/>
  <c r="B182" i="5"/>
  <c r="B255" i="5"/>
  <c r="D254" i="5"/>
  <c r="C254" i="5"/>
  <c r="I157" i="5"/>
  <c r="J181" i="5"/>
  <c r="I181" i="5"/>
  <c r="H182" i="5"/>
  <c r="E206" i="5"/>
  <c r="B207" i="5"/>
  <c r="C206" i="5"/>
  <c r="I206" i="5"/>
  <c r="D206" i="5"/>
  <c r="D114" i="5"/>
  <c r="E113" i="5"/>
  <c r="D159" i="5"/>
  <c r="E158" i="5"/>
  <c r="H158" i="5"/>
  <c r="G158" i="5"/>
  <c r="B281" i="5"/>
  <c r="H208" i="5"/>
  <c r="J207" i="5"/>
  <c r="K53" i="5"/>
  <c r="L53" i="5" s="1"/>
  <c r="J54" i="5"/>
  <c r="J55" i="5"/>
  <c r="J56" i="5"/>
  <c r="D95" i="5"/>
  <c r="E94" i="5"/>
  <c r="H232" i="3"/>
  <c r="K232" i="3" s="1" a="1"/>
  <c r="K232" i="3" s="1"/>
  <c r="H280" i="3"/>
  <c r="J180" i="3"/>
  <c r="I180" i="3"/>
  <c r="H181" i="3"/>
  <c r="K181" i="3" s="1" a="1"/>
  <c r="K181" i="3" s="1"/>
  <c r="B280" i="3"/>
  <c r="J207" i="3"/>
  <c r="H208" i="3"/>
  <c r="K208" i="3" s="1" a="1"/>
  <c r="K208" i="3" s="1"/>
  <c r="D182" i="3"/>
  <c r="C182" i="3"/>
  <c r="B183" i="3"/>
  <c r="E183" i="3" s="1" a="1"/>
  <c r="E183" i="3" s="1"/>
  <c r="D115" i="3"/>
  <c r="E115" i="3" s="1"/>
  <c r="E207" i="3"/>
  <c r="C207" i="3"/>
  <c r="B208" i="3"/>
  <c r="B232" i="3"/>
  <c r="E232" i="3" s="1" a="1"/>
  <c r="E232" i="3" s="1"/>
  <c r="D159" i="3"/>
  <c r="E159" i="3" s="1"/>
  <c r="G158" i="3"/>
  <c r="J53" i="3"/>
  <c r="I54" i="3"/>
  <c r="I62" i="3"/>
  <c r="I55" i="3"/>
  <c r="I59" i="3"/>
  <c r="I56" i="3"/>
  <c r="I57" i="3"/>
  <c r="I58" i="3"/>
  <c r="I60" i="3"/>
  <c r="I61" i="3"/>
  <c r="D255" i="3"/>
  <c r="C255" i="3"/>
  <c r="B256" i="3"/>
  <c r="E256" i="3" s="1" a="1"/>
  <c r="E256" i="3" s="1"/>
  <c r="D100" i="3"/>
  <c r="E99" i="3"/>
  <c r="B281" i="1"/>
  <c r="H283" i="1"/>
  <c r="H231" i="1"/>
  <c r="H188" i="1"/>
  <c r="J187" i="1"/>
  <c r="K187" i="1" a="1"/>
  <c r="K187" i="1" s="1"/>
  <c r="I187" i="1"/>
  <c r="D253" i="1"/>
  <c r="E253" i="1" a="1"/>
  <c r="E253" i="1" s="1"/>
  <c r="C253" i="1"/>
  <c r="F206" i="1" a="1"/>
  <c r="F206" i="1" s="1"/>
  <c r="E206" i="1"/>
  <c r="K207" i="1" a="1"/>
  <c r="K207" i="1" s="1"/>
  <c r="J207" i="1"/>
  <c r="H208" i="1"/>
  <c r="B254" i="1"/>
  <c r="B231" i="1"/>
  <c r="E231" i="1" s="1" a="1"/>
  <c r="E231" i="1" s="1"/>
  <c r="B207" i="1"/>
  <c r="D208" i="3" l="1"/>
  <c r="I208" i="3"/>
  <c r="F208" i="3" a="1"/>
  <c r="F208" i="3" s="1"/>
  <c r="I66" i="3"/>
  <c r="E280" i="3" a="1"/>
  <c r="E280" i="3" s="1"/>
  <c r="K280" i="3" a="1"/>
  <c r="K280" i="3" s="1"/>
  <c r="B210" i="7"/>
  <c r="C209" i="7"/>
  <c r="E209" i="7"/>
  <c r="I209" i="7"/>
  <c r="D209" i="7"/>
  <c r="D96" i="7"/>
  <c r="E95" i="7"/>
  <c r="J213" i="7"/>
  <c r="H214" i="7"/>
  <c r="K280" i="7" a="1"/>
  <c r="K280" i="7" s="1"/>
  <c r="E280" i="7" a="1"/>
  <c r="E280" i="7" s="1"/>
  <c r="B281" i="7"/>
  <c r="I158" i="7"/>
  <c r="D183" i="7"/>
  <c r="C183" i="7"/>
  <c r="B184" i="7"/>
  <c r="I159" i="7"/>
  <c r="D160" i="7"/>
  <c r="H159" i="7"/>
  <c r="G159" i="7"/>
  <c r="N53" i="7"/>
  <c r="M54" i="7"/>
  <c r="B255" i="7"/>
  <c r="D254" i="7"/>
  <c r="C254" i="7"/>
  <c r="H182" i="7"/>
  <c r="I181" i="7"/>
  <c r="J181" i="7"/>
  <c r="B232" i="7"/>
  <c r="I158" i="6"/>
  <c r="K280" i="6" a="1"/>
  <c r="K280" i="6" s="1"/>
  <c r="E280" i="6" a="1"/>
  <c r="E280" i="6" s="1"/>
  <c r="B281" i="6"/>
  <c r="E159" i="6"/>
  <c r="D160" i="6"/>
  <c r="H159" i="6"/>
  <c r="G159" i="6"/>
  <c r="J209" i="6"/>
  <c r="H210" i="6"/>
  <c r="B255" i="6"/>
  <c r="E254" i="6" a="1"/>
  <c r="E254" i="6" s="1"/>
  <c r="D254" i="6"/>
  <c r="C254" i="6"/>
  <c r="E231" i="6" a="1"/>
  <c r="E231" i="6" s="1"/>
  <c r="B232" i="6"/>
  <c r="K231" i="6" a="1"/>
  <c r="K231" i="6" s="1"/>
  <c r="H182" i="6"/>
  <c r="I181" i="6"/>
  <c r="J181" i="6"/>
  <c r="E182" i="6" a="1"/>
  <c r="E182" i="6" s="1"/>
  <c r="K182" i="6" a="1"/>
  <c r="K182" i="6" s="1"/>
  <c r="D182" i="6"/>
  <c r="C182" i="6"/>
  <c r="B183" i="6"/>
  <c r="F208" i="6" a="1"/>
  <c r="F208" i="6" s="1"/>
  <c r="E210" i="6"/>
  <c r="C210" i="6"/>
  <c r="B211" i="6"/>
  <c r="I210" i="6"/>
  <c r="D210" i="6"/>
  <c r="E112" i="6"/>
  <c r="D113" i="6"/>
  <c r="J54" i="6"/>
  <c r="K53" i="6"/>
  <c r="L53" i="6" s="1"/>
  <c r="J55" i="6"/>
  <c r="J56" i="6"/>
  <c r="E114" i="5"/>
  <c r="D115" i="5"/>
  <c r="H209" i="5"/>
  <c r="J208" i="5"/>
  <c r="D255" i="5"/>
  <c r="C255" i="5"/>
  <c r="B256" i="5"/>
  <c r="D182" i="5"/>
  <c r="B183" i="5"/>
  <c r="C182" i="5"/>
  <c r="C207" i="5"/>
  <c r="B208" i="5"/>
  <c r="E207" i="5"/>
  <c r="I207" i="5"/>
  <c r="D207" i="5"/>
  <c r="I158" i="5"/>
  <c r="B235" i="5"/>
  <c r="D96" i="5"/>
  <c r="E95" i="5"/>
  <c r="H183" i="5"/>
  <c r="I182" i="5"/>
  <c r="J182" i="5"/>
  <c r="M53" i="5"/>
  <c r="L54" i="5"/>
  <c r="L55" i="5"/>
  <c r="L56" i="5"/>
  <c r="D160" i="5"/>
  <c r="H159" i="5"/>
  <c r="E159" i="5"/>
  <c r="G159" i="5"/>
  <c r="H235" i="5"/>
  <c r="B282" i="5"/>
  <c r="D116" i="3"/>
  <c r="E116" i="3" s="1"/>
  <c r="B281" i="3"/>
  <c r="D101" i="3"/>
  <c r="E101" i="3" s="1"/>
  <c r="E100" i="3"/>
  <c r="B257" i="3"/>
  <c r="E257" i="3" s="1" a="1"/>
  <c r="E257" i="3" s="1"/>
  <c r="D256" i="3"/>
  <c r="C256" i="3"/>
  <c r="D160" i="3"/>
  <c r="E160" i="3" s="1"/>
  <c r="G159" i="3"/>
  <c r="J181" i="3"/>
  <c r="I181" i="3"/>
  <c r="H182" i="3"/>
  <c r="K182" i="3" s="1" a="1"/>
  <c r="K182" i="3" s="1"/>
  <c r="B233" i="3"/>
  <c r="E233" i="3" s="1" a="1"/>
  <c r="E233" i="3" s="1"/>
  <c r="B184" i="3"/>
  <c r="E184" i="3" s="1" a="1"/>
  <c r="E184" i="3" s="1"/>
  <c r="C183" i="3"/>
  <c r="D183" i="3"/>
  <c r="H281" i="3"/>
  <c r="J58" i="3"/>
  <c r="J54" i="3"/>
  <c r="J62" i="3"/>
  <c r="K53" i="3"/>
  <c r="L53" i="3" s="1"/>
  <c r="J61" i="3"/>
  <c r="J57" i="3"/>
  <c r="J59" i="3"/>
  <c r="J56" i="3"/>
  <c r="J55" i="3"/>
  <c r="J60" i="3"/>
  <c r="E208" i="3"/>
  <c r="C208" i="3"/>
  <c r="B209" i="3"/>
  <c r="J208" i="3"/>
  <c r="H209" i="3"/>
  <c r="K209" i="3" s="1" a="1"/>
  <c r="K209" i="3" s="1"/>
  <c r="H233" i="3"/>
  <c r="K233" i="3" s="1" a="1"/>
  <c r="K233" i="3" s="1"/>
  <c r="H284" i="1"/>
  <c r="B282" i="1"/>
  <c r="H232" i="1"/>
  <c r="C254" i="1"/>
  <c r="E254" i="1" a="1"/>
  <c r="E254" i="1" s="1"/>
  <c r="D254" i="1"/>
  <c r="E207" i="1"/>
  <c r="F207" i="1" a="1"/>
  <c r="F207" i="1" s="1"/>
  <c r="J208" i="1"/>
  <c r="K208" i="1" a="1"/>
  <c r="K208" i="1" s="1"/>
  <c r="K188" i="1" a="1"/>
  <c r="K188" i="1" s="1"/>
  <c r="J188" i="1"/>
  <c r="I188" i="1"/>
  <c r="H189" i="1"/>
  <c r="H209" i="1"/>
  <c r="B255" i="1"/>
  <c r="B232" i="1"/>
  <c r="E232" i="1" s="1" a="1"/>
  <c r="E232" i="1" s="1"/>
  <c r="B208" i="1"/>
  <c r="E281" i="3" l="1" a="1"/>
  <c r="E281" i="3" s="1"/>
  <c r="K281" i="3" a="1"/>
  <c r="K281" i="3" s="1"/>
  <c r="J66" i="3"/>
  <c r="F209" i="3" a="1"/>
  <c r="F209" i="3" s="1"/>
  <c r="D209" i="3"/>
  <c r="I209" i="3"/>
  <c r="D161" i="7"/>
  <c r="G160" i="7"/>
  <c r="H160" i="7"/>
  <c r="H183" i="7"/>
  <c r="I182" i="7"/>
  <c r="J182" i="7"/>
  <c r="H215" i="7"/>
  <c r="J214" i="7"/>
  <c r="D97" i="7"/>
  <c r="E96" i="7"/>
  <c r="D255" i="7"/>
  <c r="C255" i="7"/>
  <c r="B256" i="7"/>
  <c r="B233" i="7"/>
  <c r="O53" i="7"/>
  <c r="N54" i="7"/>
  <c r="C210" i="7"/>
  <c r="E210" i="7"/>
  <c r="B211" i="7"/>
  <c r="I210" i="7"/>
  <c r="D210" i="7"/>
  <c r="B282" i="7"/>
  <c r="K281" i="7" a="1"/>
  <c r="K281" i="7" s="1"/>
  <c r="E281" i="7" a="1"/>
  <c r="E281" i="7" s="1"/>
  <c r="B185" i="7"/>
  <c r="D184" i="7"/>
  <c r="C184" i="7"/>
  <c r="H183" i="6"/>
  <c r="J182" i="6"/>
  <c r="I182" i="6"/>
  <c r="E160" i="6"/>
  <c r="D161" i="6"/>
  <c r="H160" i="6"/>
  <c r="G160" i="6"/>
  <c r="B212" i="6"/>
  <c r="E211" i="6"/>
  <c r="C211" i="6"/>
  <c r="D211" i="6"/>
  <c r="I211" i="6"/>
  <c r="I159" i="6"/>
  <c r="D114" i="6"/>
  <c r="E113" i="6"/>
  <c r="D255" i="6"/>
  <c r="C255" i="6"/>
  <c r="E255" i="6" a="1"/>
  <c r="E255" i="6" s="1"/>
  <c r="B256" i="6"/>
  <c r="J210" i="6"/>
  <c r="H211" i="6"/>
  <c r="K232" i="6" a="1"/>
  <c r="K232" i="6" s="1"/>
  <c r="E232" i="6" a="1"/>
  <c r="E232" i="6" s="1"/>
  <c r="B233" i="6"/>
  <c r="B282" i="6"/>
  <c r="K281" i="6" a="1"/>
  <c r="K281" i="6" s="1"/>
  <c r="E281" i="6" a="1"/>
  <c r="E281" i="6" s="1"/>
  <c r="M53" i="6"/>
  <c r="L54" i="6"/>
  <c r="L55" i="6"/>
  <c r="L56" i="6"/>
  <c r="B184" i="6"/>
  <c r="K211" i="6" s="1" a="1"/>
  <c r="K211" i="6" s="1"/>
  <c r="K183" i="6" a="1"/>
  <c r="K183" i="6" s="1"/>
  <c r="E183" i="6" a="1"/>
  <c r="E183" i="6" s="1"/>
  <c r="D183" i="6"/>
  <c r="C183" i="6"/>
  <c r="F209" i="6" a="1"/>
  <c r="F209" i="6" s="1"/>
  <c r="K210" i="6" a="1"/>
  <c r="K210" i="6" s="1"/>
  <c r="C183" i="5"/>
  <c r="B184" i="5"/>
  <c r="D183" i="5"/>
  <c r="B236" i="5"/>
  <c r="B257" i="5"/>
  <c r="D256" i="5"/>
  <c r="C256" i="5"/>
  <c r="B283" i="5"/>
  <c r="N53" i="5"/>
  <c r="M54" i="5"/>
  <c r="M55" i="5"/>
  <c r="M56" i="5"/>
  <c r="D97" i="5"/>
  <c r="E96" i="5"/>
  <c r="H236" i="5"/>
  <c r="I159" i="5"/>
  <c r="B209" i="5"/>
  <c r="E208" i="5"/>
  <c r="C208" i="5"/>
  <c r="D208" i="5"/>
  <c r="I208" i="5"/>
  <c r="D161" i="5"/>
  <c r="H160" i="5"/>
  <c r="E160" i="5"/>
  <c r="G160" i="5"/>
  <c r="J209" i="5"/>
  <c r="H210" i="5"/>
  <c r="D116" i="5"/>
  <c r="E115" i="5"/>
  <c r="I183" i="5"/>
  <c r="H184" i="5"/>
  <c r="J183" i="5"/>
  <c r="B234" i="3"/>
  <c r="E234" i="3" s="1" a="1"/>
  <c r="E234" i="3" s="1"/>
  <c r="D257" i="3"/>
  <c r="C257" i="3"/>
  <c r="B258" i="3"/>
  <c r="E258" i="3" s="1" a="1"/>
  <c r="E258" i="3" s="1"/>
  <c r="H210" i="3"/>
  <c r="K210" i="3" s="1" a="1"/>
  <c r="K210" i="3" s="1"/>
  <c r="J209" i="3"/>
  <c r="I182" i="3"/>
  <c r="H183" i="3"/>
  <c r="K183" i="3" s="1" a="1"/>
  <c r="K183" i="3" s="1"/>
  <c r="J182" i="3"/>
  <c r="H234" i="3"/>
  <c r="K234" i="3" s="1" a="1"/>
  <c r="K234" i="3" s="1"/>
  <c r="H282" i="3"/>
  <c r="B282" i="3"/>
  <c r="E209" i="3"/>
  <c r="C209" i="3"/>
  <c r="B210" i="3"/>
  <c r="M53" i="3"/>
  <c r="L61" i="3"/>
  <c r="L57" i="3"/>
  <c r="L62" i="3"/>
  <c r="L58" i="3"/>
  <c r="L56" i="3"/>
  <c r="L55" i="3"/>
  <c r="L60" i="3"/>
  <c r="L54" i="3"/>
  <c r="L59" i="3"/>
  <c r="D117" i="3"/>
  <c r="E117" i="3" s="1"/>
  <c r="C184" i="3"/>
  <c r="B185" i="3"/>
  <c r="E185" i="3" s="1" a="1"/>
  <c r="E185" i="3" s="1"/>
  <c r="D184" i="3"/>
  <c r="D161" i="3"/>
  <c r="E161" i="3" s="1"/>
  <c r="G160" i="3"/>
  <c r="B283" i="1"/>
  <c r="H285" i="1"/>
  <c r="H233" i="1"/>
  <c r="C255" i="1"/>
  <c r="E255" i="1" a="1"/>
  <c r="E255" i="1" s="1"/>
  <c r="D255" i="1"/>
  <c r="F208" i="1" a="1"/>
  <c r="F208" i="1" s="1"/>
  <c r="E208" i="1"/>
  <c r="J209" i="1"/>
  <c r="K209" i="1" a="1"/>
  <c r="K209" i="1" s="1"/>
  <c r="K189" i="1" a="1"/>
  <c r="K189" i="1" s="1"/>
  <c r="J189" i="1"/>
  <c r="I189" i="1"/>
  <c r="H190" i="1"/>
  <c r="H210" i="1"/>
  <c r="B256" i="1"/>
  <c r="B233" i="1"/>
  <c r="E233" i="1" s="1" a="1"/>
  <c r="E233" i="1" s="1"/>
  <c r="B209" i="1"/>
  <c r="F210" i="3" l="1" a="1"/>
  <c r="F210" i="3" s="1"/>
  <c r="D210" i="3"/>
  <c r="I210" i="3"/>
  <c r="L66" i="3"/>
  <c r="E282" i="3" a="1"/>
  <c r="E282" i="3" s="1"/>
  <c r="K282" i="3" a="1"/>
  <c r="K282" i="3" s="1"/>
  <c r="K282" i="7" a="1"/>
  <c r="K282" i="7" s="1"/>
  <c r="E282" i="7" a="1"/>
  <c r="E282" i="7" s="1"/>
  <c r="B283" i="7"/>
  <c r="J183" i="7"/>
  <c r="I183" i="7"/>
  <c r="H184" i="7"/>
  <c r="B186" i="7"/>
  <c r="C185" i="7"/>
  <c r="D185" i="7"/>
  <c r="P53" i="7"/>
  <c r="O54" i="7"/>
  <c r="B234" i="7"/>
  <c r="H216" i="7"/>
  <c r="J215" i="7"/>
  <c r="B212" i="7"/>
  <c r="E211" i="7"/>
  <c r="C211" i="7"/>
  <c r="D211" i="7"/>
  <c r="I211" i="7"/>
  <c r="D256" i="7"/>
  <c r="C256" i="7"/>
  <c r="B257" i="7"/>
  <c r="D98" i="7"/>
  <c r="E97" i="7"/>
  <c r="I160" i="7"/>
  <c r="D162" i="7"/>
  <c r="G161" i="7"/>
  <c r="H161" i="7"/>
  <c r="J211" i="6"/>
  <c r="H212" i="6"/>
  <c r="B213" i="6"/>
  <c r="E212" i="6"/>
  <c r="K212" i="6" a="1"/>
  <c r="K212" i="6" s="1"/>
  <c r="C212" i="6"/>
  <c r="I212" i="6"/>
  <c r="D212" i="6"/>
  <c r="K184" i="6" a="1"/>
  <c r="K184" i="6" s="1"/>
  <c r="E184" i="6" a="1"/>
  <c r="E184" i="6" s="1"/>
  <c r="D184" i="6"/>
  <c r="C184" i="6"/>
  <c r="B185" i="6"/>
  <c r="F210" i="6" a="1"/>
  <c r="F210" i="6" s="1"/>
  <c r="E114" i="6"/>
  <c r="D115" i="6"/>
  <c r="I160" i="6"/>
  <c r="D256" i="6"/>
  <c r="B257" i="6"/>
  <c r="E256" i="6" a="1"/>
  <c r="E256" i="6" s="1"/>
  <c r="C256" i="6"/>
  <c r="E282" i="6" a="1"/>
  <c r="E282" i="6" s="1"/>
  <c r="B283" i="6"/>
  <c r="K282" i="6" a="1"/>
  <c r="K282" i="6" s="1"/>
  <c r="N53" i="6"/>
  <c r="M55" i="6"/>
  <c r="M56" i="6"/>
  <c r="M54" i="6"/>
  <c r="B234" i="6"/>
  <c r="K233" i="6" a="1"/>
  <c r="K233" i="6" s="1"/>
  <c r="E233" i="6" a="1"/>
  <c r="E233" i="6" s="1"/>
  <c r="E161" i="6"/>
  <c r="D162" i="6"/>
  <c r="H161" i="6"/>
  <c r="G161" i="6"/>
  <c r="J183" i="6"/>
  <c r="I183" i="6"/>
  <c r="H184" i="6"/>
  <c r="E161" i="5"/>
  <c r="D162" i="5"/>
  <c r="H161" i="5"/>
  <c r="G161" i="5"/>
  <c r="B284" i="5"/>
  <c r="J184" i="5"/>
  <c r="I184" i="5"/>
  <c r="H185" i="5"/>
  <c r="D257" i="5"/>
  <c r="C257" i="5"/>
  <c r="B258" i="5"/>
  <c r="B237" i="5"/>
  <c r="D98" i="5"/>
  <c r="E97" i="5"/>
  <c r="E209" i="5"/>
  <c r="C209" i="5"/>
  <c r="B210" i="5"/>
  <c r="D209" i="5"/>
  <c r="I209" i="5"/>
  <c r="J210" i="5"/>
  <c r="H211" i="5"/>
  <c r="D117" i="5"/>
  <c r="E116" i="5"/>
  <c r="H237" i="5"/>
  <c r="O53" i="5"/>
  <c r="N54" i="5"/>
  <c r="N56" i="5"/>
  <c r="N55" i="5"/>
  <c r="C184" i="5"/>
  <c r="B185" i="5"/>
  <c r="D184" i="5"/>
  <c r="I160" i="5"/>
  <c r="D258" i="3"/>
  <c r="C258" i="3"/>
  <c r="B259" i="3"/>
  <c r="E259" i="3" s="1" a="1"/>
  <c r="E259" i="3" s="1"/>
  <c r="D118" i="3"/>
  <c r="E118" i="3" s="1"/>
  <c r="H283" i="3"/>
  <c r="B283" i="3"/>
  <c r="D162" i="3"/>
  <c r="E162" i="3" s="1"/>
  <c r="G161" i="3"/>
  <c r="H211" i="3"/>
  <c r="K211" i="3" s="1" a="1"/>
  <c r="K211" i="3" s="1"/>
  <c r="J210" i="3"/>
  <c r="E210" i="3"/>
  <c r="C210" i="3"/>
  <c r="B211" i="3"/>
  <c r="B235" i="3"/>
  <c r="E235" i="3" s="1" a="1"/>
  <c r="E235" i="3" s="1"/>
  <c r="H235" i="3"/>
  <c r="K235" i="3" s="1" a="1"/>
  <c r="K235" i="3" s="1"/>
  <c r="J183" i="3"/>
  <c r="H184" i="3"/>
  <c r="K184" i="3" s="1" a="1"/>
  <c r="K184" i="3" s="1"/>
  <c r="I183" i="3"/>
  <c r="M59" i="3"/>
  <c r="N53" i="3"/>
  <c r="M61" i="3"/>
  <c r="M57" i="3"/>
  <c r="M62" i="3"/>
  <c r="M58" i="3"/>
  <c r="M54" i="3"/>
  <c r="M60" i="3"/>
  <c r="M55" i="3"/>
  <c r="M56" i="3"/>
  <c r="D185" i="3"/>
  <c r="B186" i="3"/>
  <c r="E186" i="3" s="1" a="1"/>
  <c r="E186" i="3" s="1"/>
  <c r="C185" i="3"/>
  <c r="H286" i="1"/>
  <c r="B284" i="1"/>
  <c r="H234" i="1"/>
  <c r="F209" i="1" a="1"/>
  <c r="F209" i="1" s="1"/>
  <c r="E209" i="1"/>
  <c r="C256" i="1"/>
  <c r="E256" i="1" a="1"/>
  <c r="E256" i="1" s="1"/>
  <c r="D256" i="1"/>
  <c r="K210" i="1" a="1"/>
  <c r="K210" i="1" s="1"/>
  <c r="J210" i="1"/>
  <c r="J190" i="1"/>
  <c r="K190" i="1" a="1"/>
  <c r="K190" i="1" s="1"/>
  <c r="I190" i="1"/>
  <c r="H191" i="1"/>
  <c r="H211" i="1"/>
  <c r="B257" i="1"/>
  <c r="B234" i="1"/>
  <c r="E234" i="1" s="1" a="1"/>
  <c r="E234" i="1" s="1"/>
  <c r="B210" i="1"/>
  <c r="M66" i="3" l="1"/>
  <c r="F211" i="3" a="1"/>
  <c r="F211" i="3" s="1"/>
  <c r="D211" i="3"/>
  <c r="I211" i="3"/>
  <c r="K283" i="3" a="1"/>
  <c r="K283" i="3" s="1"/>
  <c r="E283" i="3" a="1"/>
  <c r="E283" i="3" s="1"/>
  <c r="E283" i="7" a="1"/>
  <c r="E283" i="7" s="1"/>
  <c r="B284" i="7"/>
  <c r="K283" i="7" a="1"/>
  <c r="K283" i="7" s="1"/>
  <c r="D99" i="7"/>
  <c r="E98" i="7"/>
  <c r="D257" i="7"/>
  <c r="C257" i="7"/>
  <c r="B258" i="7"/>
  <c r="J216" i="7"/>
  <c r="H217" i="7"/>
  <c r="C186" i="7"/>
  <c r="D186" i="7"/>
  <c r="B187" i="7"/>
  <c r="B213" i="7"/>
  <c r="C212" i="7"/>
  <c r="E212" i="7"/>
  <c r="I212" i="7"/>
  <c r="D212" i="7"/>
  <c r="J184" i="7"/>
  <c r="I184" i="7"/>
  <c r="H185" i="7"/>
  <c r="B235" i="7"/>
  <c r="D163" i="7"/>
  <c r="G162" i="7"/>
  <c r="H162" i="7"/>
  <c r="Q53" i="7"/>
  <c r="P54" i="7"/>
  <c r="I161" i="7"/>
  <c r="D163" i="6"/>
  <c r="E162" i="6"/>
  <c r="H162" i="6"/>
  <c r="G162" i="6"/>
  <c r="I161" i="6"/>
  <c r="B235" i="6"/>
  <c r="E234" i="6" a="1"/>
  <c r="E234" i="6" s="1"/>
  <c r="K234" i="6" a="1"/>
  <c r="K234" i="6" s="1"/>
  <c r="C213" i="6"/>
  <c r="B214" i="6"/>
  <c r="E213" i="6"/>
  <c r="D213" i="6"/>
  <c r="I213" i="6"/>
  <c r="E257" i="6" a="1"/>
  <c r="E257" i="6" s="1"/>
  <c r="D257" i="6"/>
  <c r="B258" i="6"/>
  <c r="C257" i="6"/>
  <c r="D116" i="6"/>
  <c r="E115" i="6"/>
  <c r="J184" i="6"/>
  <c r="H185" i="6"/>
  <c r="I184" i="6"/>
  <c r="O53" i="6"/>
  <c r="N55" i="6"/>
  <c r="N54" i="6"/>
  <c r="N56" i="6"/>
  <c r="B186" i="6"/>
  <c r="K185" i="6" a="1"/>
  <c r="K185" i="6" s="1"/>
  <c r="D185" i="6"/>
  <c r="E185" i="6" a="1"/>
  <c r="E185" i="6" s="1"/>
  <c r="C185" i="6"/>
  <c r="F211" i="6" a="1"/>
  <c r="F211" i="6" s="1"/>
  <c r="H213" i="6"/>
  <c r="J212" i="6"/>
  <c r="E283" i="6" a="1"/>
  <c r="E283" i="6" s="1"/>
  <c r="K283" i="6" a="1"/>
  <c r="K283" i="6" s="1"/>
  <c r="B284" i="6"/>
  <c r="H186" i="5"/>
  <c r="J185" i="5"/>
  <c r="I185" i="5"/>
  <c r="O54" i="5"/>
  <c r="O55" i="5"/>
  <c r="O56" i="5"/>
  <c r="P53" i="5"/>
  <c r="H238" i="5"/>
  <c r="D99" i="5"/>
  <c r="E98" i="5"/>
  <c r="B285" i="5"/>
  <c r="B186" i="5"/>
  <c r="D185" i="5"/>
  <c r="C185" i="5"/>
  <c r="C210" i="5"/>
  <c r="B211" i="5"/>
  <c r="E210" i="5"/>
  <c r="I210" i="5"/>
  <c r="D210" i="5"/>
  <c r="B238" i="5"/>
  <c r="B259" i="5"/>
  <c r="D258" i="5"/>
  <c r="C258" i="5"/>
  <c r="E162" i="5"/>
  <c r="D163" i="5"/>
  <c r="H162" i="5"/>
  <c r="G162" i="5"/>
  <c r="D118" i="5"/>
  <c r="E117" i="5"/>
  <c r="J211" i="5"/>
  <c r="H212" i="5"/>
  <c r="I161" i="5"/>
  <c r="N57" i="3"/>
  <c r="O53" i="3"/>
  <c r="N61" i="3"/>
  <c r="N58" i="3"/>
  <c r="N54" i="3"/>
  <c r="N62" i="3"/>
  <c r="N59" i="3"/>
  <c r="N60" i="3"/>
  <c r="N55" i="3"/>
  <c r="N56" i="3"/>
  <c r="D163" i="3"/>
  <c r="E163" i="3" s="1"/>
  <c r="G162" i="3"/>
  <c r="B284" i="3"/>
  <c r="H284" i="3"/>
  <c r="E211" i="3"/>
  <c r="B212" i="3"/>
  <c r="C211" i="3"/>
  <c r="B236" i="3"/>
  <c r="E236" i="3" s="1" a="1"/>
  <c r="E236" i="3" s="1"/>
  <c r="D119" i="3"/>
  <c r="E119" i="3" s="1"/>
  <c r="H212" i="3"/>
  <c r="K212" i="3" s="1" a="1"/>
  <c r="K212" i="3" s="1"/>
  <c r="J211" i="3"/>
  <c r="B260" i="3"/>
  <c r="E260" i="3" s="1" a="1"/>
  <c r="E260" i="3" s="1"/>
  <c r="D259" i="3"/>
  <c r="C259" i="3"/>
  <c r="J184" i="3"/>
  <c r="I184" i="3"/>
  <c r="H185" i="3"/>
  <c r="K185" i="3" s="1" a="1"/>
  <c r="K185" i="3" s="1"/>
  <c r="D186" i="3"/>
  <c r="C186" i="3"/>
  <c r="B187" i="3"/>
  <c r="E187" i="3" s="1" a="1"/>
  <c r="E187" i="3" s="1"/>
  <c r="H236" i="3"/>
  <c r="K236" i="3" s="1" a="1"/>
  <c r="K236" i="3" s="1"/>
  <c r="B285" i="1"/>
  <c r="H287" i="1"/>
  <c r="H235" i="1"/>
  <c r="F210" i="1" a="1"/>
  <c r="F210" i="1" s="1"/>
  <c r="E210" i="1"/>
  <c r="E257" i="1" a="1"/>
  <c r="E257" i="1" s="1"/>
  <c r="C257" i="1"/>
  <c r="D257" i="1"/>
  <c r="J211" i="1"/>
  <c r="K211" i="1" a="1"/>
  <c r="K211" i="1" s="1"/>
  <c r="K191" i="1" a="1"/>
  <c r="K191" i="1" s="1"/>
  <c r="J191" i="1"/>
  <c r="H192" i="1"/>
  <c r="I191" i="1"/>
  <c r="H212" i="1"/>
  <c r="B258" i="1"/>
  <c r="B235" i="1"/>
  <c r="E235" i="1" s="1" a="1"/>
  <c r="E235" i="1" s="1"/>
  <c r="B211" i="1"/>
  <c r="F212" i="3" l="1" a="1"/>
  <c r="F212" i="3" s="1"/>
  <c r="D212" i="3"/>
  <c r="I212" i="3"/>
  <c r="K284" i="3" a="1"/>
  <c r="K284" i="3" s="1"/>
  <c r="E284" i="3" a="1"/>
  <c r="E284" i="3" s="1"/>
  <c r="N66" i="3"/>
  <c r="C213" i="7"/>
  <c r="B214" i="7"/>
  <c r="E213" i="7"/>
  <c r="D213" i="7"/>
  <c r="I213" i="7"/>
  <c r="D100" i="7"/>
  <c r="E99" i="7"/>
  <c r="H218" i="7"/>
  <c r="J217" i="7"/>
  <c r="D258" i="7"/>
  <c r="C258" i="7"/>
  <c r="B259" i="7"/>
  <c r="D187" i="7"/>
  <c r="C187" i="7"/>
  <c r="B188" i="7"/>
  <c r="B236" i="7"/>
  <c r="I185" i="7"/>
  <c r="H186" i="7"/>
  <c r="J185" i="7"/>
  <c r="E284" i="7" a="1"/>
  <c r="E284" i="7" s="1"/>
  <c r="B285" i="7"/>
  <c r="K284" i="7" a="1"/>
  <c r="K284" i="7" s="1"/>
  <c r="R53" i="7"/>
  <c r="Q54" i="7"/>
  <c r="D164" i="7"/>
  <c r="G163" i="7"/>
  <c r="H163" i="7"/>
  <c r="I162" i="7"/>
  <c r="D117" i="6"/>
  <c r="E116" i="6"/>
  <c r="J185" i="6"/>
  <c r="I185" i="6"/>
  <c r="H186" i="6"/>
  <c r="C214" i="6"/>
  <c r="B215" i="6"/>
  <c r="K214" i="6" a="1"/>
  <c r="K214" i="6" s="1"/>
  <c r="E214" i="6"/>
  <c r="D214" i="6"/>
  <c r="I214" i="6"/>
  <c r="E284" i="6" a="1"/>
  <c r="E284" i="6" s="1"/>
  <c r="B285" i="6"/>
  <c r="K284" i="6" a="1"/>
  <c r="K284" i="6" s="1"/>
  <c r="I162" i="6"/>
  <c r="H214" i="6"/>
  <c r="J213" i="6"/>
  <c r="B259" i="6"/>
  <c r="E258" i="6" a="1"/>
  <c r="E258" i="6" s="1"/>
  <c r="D258" i="6"/>
  <c r="C258" i="6"/>
  <c r="E235" i="6" a="1"/>
  <c r="E235" i="6" s="1"/>
  <c r="B236" i="6"/>
  <c r="K235" i="6" a="1"/>
  <c r="K235" i="6" s="1"/>
  <c r="C186" i="6"/>
  <c r="B187" i="6"/>
  <c r="K186" i="6" a="1"/>
  <c r="K186" i="6" s="1"/>
  <c r="D186" i="6"/>
  <c r="E186" i="6" a="1"/>
  <c r="E186" i="6" s="1"/>
  <c r="F212" i="6" a="1"/>
  <c r="F212" i="6" s="1"/>
  <c r="O55" i="6"/>
  <c r="P53" i="6"/>
  <c r="O54" i="6"/>
  <c r="O56" i="6"/>
  <c r="K213" i="6" a="1"/>
  <c r="K213" i="6" s="1"/>
  <c r="E163" i="6"/>
  <c r="I163" i="6" s="1"/>
  <c r="D164" i="6"/>
  <c r="H163" i="6"/>
  <c r="G163" i="6"/>
  <c r="I162" i="5"/>
  <c r="B260" i="5"/>
  <c r="D259" i="5"/>
  <c r="C259" i="5"/>
  <c r="Q53" i="5"/>
  <c r="P56" i="5"/>
  <c r="P54" i="5"/>
  <c r="P55" i="5"/>
  <c r="B239" i="5"/>
  <c r="D100" i="5"/>
  <c r="E99" i="5"/>
  <c r="H213" i="5"/>
  <c r="J212" i="5"/>
  <c r="B187" i="5"/>
  <c r="D186" i="5"/>
  <c r="C186" i="5"/>
  <c r="B286" i="5"/>
  <c r="E211" i="5"/>
  <c r="C211" i="5"/>
  <c r="B212" i="5"/>
  <c r="D211" i="5"/>
  <c r="I211" i="5"/>
  <c r="D164" i="5"/>
  <c r="E163" i="5"/>
  <c r="G163" i="5"/>
  <c r="H163" i="5"/>
  <c r="H239" i="5"/>
  <c r="J186" i="5"/>
  <c r="H187" i="5"/>
  <c r="I186" i="5"/>
  <c r="D119" i="5"/>
  <c r="E118" i="5"/>
  <c r="B72" i="3"/>
  <c r="H213" i="3"/>
  <c r="K213" i="3" s="1" a="1"/>
  <c r="K213" i="3" s="1"/>
  <c r="J212" i="3"/>
  <c r="D120" i="3"/>
  <c r="E120" i="3" s="1"/>
  <c r="D164" i="3"/>
  <c r="E164" i="3" s="1"/>
  <c r="G163" i="3"/>
  <c r="B237" i="3"/>
  <c r="E237" i="3" s="1" a="1"/>
  <c r="E237" i="3" s="1"/>
  <c r="H237" i="3"/>
  <c r="K237" i="3" s="1" a="1"/>
  <c r="K237" i="3" s="1"/>
  <c r="C187" i="3"/>
  <c r="B188" i="3"/>
  <c r="E188" i="3" s="1" a="1"/>
  <c r="E188" i="3" s="1"/>
  <c r="D187" i="3"/>
  <c r="E212" i="3"/>
  <c r="C212" i="3"/>
  <c r="B213" i="3"/>
  <c r="P53" i="3"/>
  <c r="O61" i="3"/>
  <c r="O57" i="3"/>
  <c r="O54" i="3"/>
  <c r="O59" i="3"/>
  <c r="O56" i="3"/>
  <c r="O60" i="3"/>
  <c r="O58" i="3"/>
  <c r="O55" i="3"/>
  <c r="O62" i="3"/>
  <c r="H285" i="3"/>
  <c r="C260" i="3"/>
  <c r="B261" i="3"/>
  <c r="E261" i="3" s="1" a="1"/>
  <c r="E261" i="3" s="1"/>
  <c r="D260" i="3"/>
  <c r="H186" i="3"/>
  <c r="K186" i="3" s="1" a="1"/>
  <c r="K186" i="3" s="1"/>
  <c r="J185" i="3"/>
  <c r="I185" i="3"/>
  <c r="B285" i="3"/>
  <c r="H288" i="1"/>
  <c r="B286" i="1"/>
  <c r="H236" i="1"/>
  <c r="E258" i="1" a="1"/>
  <c r="E258" i="1" s="1"/>
  <c r="C258" i="1"/>
  <c r="D258" i="1"/>
  <c r="F211" i="1" a="1"/>
  <c r="F211" i="1" s="1"/>
  <c r="E211" i="1"/>
  <c r="K212" i="1" a="1"/>
  <c r="K212" i="1" s="1"/>
  <c r="J212" i="1"/>
  <c r="J192" i="1"/>
  <c r="K192" i="1" a="1"/>
  <c r="K192" i="1" s="1"/>
  <c r="H193" i="1"/>
  <c r="I192" i="1"/>
  <c r="H213" i="1"/>
  <c r="B259" i="1"/>
  <c r="B236" i="1"/>
  <c r="E236" i="1" s="1" a="1"/>
  <c r="E236" i="1" s="1"/>
  <c r="B212" i="1"/>
  <c r="F213" i="3" l="1" a="1"/>
  <c r="F213" i="3" s="1"/>
  <c r="I213" i="3"/>
  <c r="D213" i="3"/>
  <c r="O66" i="3"/>
  <c r="K285" i="3" a="1"/>
  <c r="K285" i="3" s="1"/>
  <c r="E285" i="3" a="1"/>
  <c r="E285" i="3" s="1"/>
  <c r="B237" i="7"/>
  <c r="D101" i="7"/>
  <c r="E101" i="7" s="1"/>
  <c r="E100" i="7"/>
  <c r="D188" i="7"/>
  <c r="C188" i="7"/>
  <c r="B189" i="7"/>
  <c r="E285" i="7" a="1"/>
  <c r="E285" i="7" s="1"/>
  <c r="B286" i="7"/>
  <c r="K285" i="7" a="1"/>
  <c r="K285" i="7" s="1"/>
  <c r="J186" i="7"/>
  <c r="I186" i="7"/>
  <c r="H187" i="7"/>
  <c r="B260" i="7"/>
  <c r="C259" i="7"/>
  <c r="D259" i="7"/>
  <c r="C214" i="7"/>
  <c r="B215" i="7"/>
  <c r="E214" i="7"/>
  <c r="D214" i="7"/>
  <c r="I214" i="7"/>
  <c r="D165" i="7"/>
  <c r="G164" i="7"/>
  <c r="H164" i="7"/>
  <c r="H219" i="7"/>
  <c r="J218" i="7"/>
  <c r="S53" i="7"/>
  <c r="R54" i="7"/>
  <c r="I163" i="7"/>
  <c r="B260" i="6"/>
  <c r="E259" i="6" a="1"/>
  <c r="E259" i="6" s="1"/>
  <c r="D259" i="6"/>
  <c r="C259" i="6"/>
  <c r="J214" i="6"/>
  <c r="H215" i="6"/>
  <c r="P55" i="6"/>
  <c r="Q53" i="6"/>
  <c r="P56" i="6"/>
  <c r="P54" i="6"/>
  <c r="E215" i="6"/>
  <c r="C215" i="6"/>
  <c r="B216" i="6"/>
  <c r="I215" i="6"/>
  <c r="D215" i="6"/>
  <c r="E236" i="6" a="1"/>
  <c r="E236" i="6" s="1"/>
  <c r="B237" i="6"/>
  <c r="K236" i="6" a="1"/>
  <c r="K236" i="6" s="1"/>
  <c r="H187" i="6"/>
  <c r="J186" i="6"/>
  <c r="I186" i="6"/>
  <c r="E187" i="6" a="1"/>
  <c r="E187" i="6" s="1"/>
  <c r="D187" i="6"/>
  <c r="C187" i="6"/>
  <c r="B188" i="6"/>
  <c r="K187" i="6" a="1"/>
  <c r="K187" i="6" s="1"/>
  <c r="F213" i="6" a="1"/>
  <c r="F213" i="6" s="1"/>
  <c r="D165" i="6"/>
  <c r="E164" i="6"/>
  <c r="H164" i="6"/>
  <c r="G164" i="6"/>
  <c r="E285" i="6" a="1"/>
  <c r="E285" i="6" s="1"/>
  <c r="B286" i="6"/>
  <c r="K285" i="6" a="1"/>
  <c r="K285" i="6" s="1"/>
  <c r="D118" i="6"/>
  <c r="E117" i="6"/>
  <c r="I163" i="5"/>
  <c r="E164" i="5"/>
  <c r="D165" i="5"/>
  <c r="H164" i="5"/>
  <c r="G164" i="5"/>
  <c r="D187" i="5"/>
  <c r="C187" i="5"/>
  <c r="B188" i="5"/>
  <c r="H214" i="5"/>
  <c r="J213" i="5"/>
  <c r="Q54" i="5"/>
  <c r="R53" i="5"/>
  <c r="Q56" i="5"/>
  <c r="Q55" i="5"/>
  <c r="J187" i="5"/>
  <c r="I187" i="5"/>
  <c r="H188" i="5"/>
  <c r="D101" i="5"/>
  <c r="E101" i="5" s="1"/>
  <c r="E100" i="5"/>
  <c r="E119" i="5"/>
  <c r="D120" i="5"/>
  <c r="B240" i="5"/>
  <c r="B213" i="5"/>
  <c r="E212" i="5"/>
  <c r="C212" i="5"/>
  <c r="I212" i="5"/>
  <c r="D212" i="5"/>
  <c r="H240" i="5"/>
  <c r="B287" i="5"/>
  <c r="C260" i="5"/>
  <c r="B261" i="5"/>
  <c r="D260" i="5"/>
  <c r="B189" i="3"/>
  <c r="E189" i="3" s="1" a="1"/>
  <c r="E189" i="3" s="1"/>
  <c r="D188" i="3"/>
  <c r="C188" i="3"/>
  <c r="D165" i="3"/>
  <c r="E165" i="3" s="1"/>
  <c r="G164" i="3"/>
  <c r="D121" i="3"/>
  <c r="E121" i="3" s="1"/>
  <c r="H286" i="3"/>
  <c r="J213" i="3"/>
  <c r="H214" i="3"/>
  <c r="K214" i="3" s="1" a="1"/>
  <c r="K214" i="3" s="1"/>
  <c r="B286" i="3"/>
  <c r="H238" i="3"/>
  <c r="K238" i="3" s="1" a="1"/>
  <c r="K238" i="3" s="1"/>
  <c r="J186" i="3"/>
  <c r="I186" i="3"/>
  <c r="H187" i="3"/>
  <c r="K187" i="3" s="1" a="1"/>
  <c r="K187" i="3" s="1"/>
  <c r="Q53" i="3"/>
  <c r="P62" i="3"/>
  <c r="P54" i="3"/>
  <c r="P66" i="3" s="1"/>
  <c r="P55" i="3"/>
  <c r="P61" i="3"/>
  <c r="P56" i="3"/>
  <c r="P59" i="3"/>
  <c r="P60" i="3"/>
  <c r="P58" i="3"/>
  <c r="P57" i="3"/>
  <c r="C213" i="3"/>
  <c r="B214" i="3"/>
  <c r="E213" i="3"/>
  <c r="B238" i="3"/>
  <c r="E238" i="3" s="1" a="1"/>
  <c r="E238" i="3" s="1"/>
  <c r="B262" i="3"/>
  <c r="E262" i="3" s="1" a="1"/>
  <c r="E262" i="3" s="1"/>
  <c r="C261" i="3"/>
  <c r="D261" i="3"/>
  <c r="B287" i="1"/>
  <c r="H289" i="1"/>
  <c r="H237" i="1"/>
  <c r="J193" i="1"/>
  <c r="K193" i="1" a="1"/>
  <c r="K193" i="1" s="1"/>
  <c r="H194" i="1"/>
  <c r="I193" i="1"/>
  <c r="E259" i="1" a="1"/>
  <c r="E259" i="1" s="1"/>
  <c r="D259" i="1"/>
  <c r="C259" i="1"/>
  <c r="J213" i="1"/>
  <c r="K213" i="1" a="1"/>
  <c r="K213" i="1" s="1"/>
  <c r="E212" i="1"/>
  <c r="F212" i="1" a="1"/>
  <c r="F212" i="1" s="1"/>
  <c r="H214" i="1"/>
  <c r="B260" i="1"/>
  <c r="B237" i="1"/>
  <c r="E237" i="1" s="1" a="1"/>
  <c r="E237" i="1" s="1"/>
  <c r="B213" i="1"/>
  <c r="F214" i="3" l="1" a="1"/>
  <c r="F214" i="3" s="1"/>
  <c r="I214" i="3"/>
  <c r="D214" i="3"/>
  <c r="E286" i="3" a="1"/>
  <c r="E286" i="3" s="1"/>
  <c r="K286" i="3" a="1"/>
  <c r="K286" i="3" s="1"/>
  <c r="I164" i="7"/>
  <c r="D166" i="7"/>
  <c r="H165" i="7"/>
  <c r="G165" i="7"/>
  <c r="H188" i="7"/>
  <c r="I187" i="7"/>
  <c r="J187" i="7"/>
  <c r="T53" i="7"/>
  <c r="S54" i="7"/>
  <c r="D189" i="7"/>
  <c r="B190" i="7"/>
  <c r="C189" i="7"/>
  <c r="H220" i="7"/>
  <c r="J220" i="7" s="1"/>
  <c r="J219" i="7"/>
  <c r="C260" i="7"/>
  <c r="B261" i="7"/>
  <c r="D260" i="7"/>
  <c r="K286" i="7" a="1"/>
  <c r="K286" i="7" s="1"/>
  <c r="E286" i="7" a="1"/>
  <c r="E286" i="7" s="1"/>
  <c r="B287" i="7"/>
  <c r="B238" i="7"/>
  <c r="E215" i="7"/>
  <c r="C215" i="7"/>
  <c r="B216" i="7"/>
  <c r="I215" i="7"/>
  <c r="D215" i="7"/>
  <c r="H188" i="6"/>
  <c r="I187" i="6"/>
  <c r="J187" i="6"/>
  <c r="Q54" i="6"/>
  <c r="Q56" i="6"/>
  <c r="R53" i="6"/>
  <c r="Q55" i="6"/>
  <c r="K286" i="6" a="1"/>
  <c r="K286" i="6" s="1"/>
  <c r="E286" i="6" a="1"/>
  <c r="E286" i="6" s="1"/>
  <c r="B287" i="6"/>
  <c r="I164" i="6"/>
  <c r="B238" i="6"/>
  <c r="K237" i="6" a="1"/>
  <c r="K237" i="6" s="1"/>
  <c r="E237" i="6" a="1"/>
  <c r="E237" i="6" s="1"/>
  <c r="D166" i="6"/>
  <c r="E165" i="6"/>
  <c r="H165" i="6"/>
  <c r="G165" i="6"/>
  <c r="H216" i="6"/>
  <c r="J215" i="6"/>
  <c r="E188" i="6" a="1"/>
  <c r="E188" i="6" s="1"/>
  <c r="B189" i="6"/>
  <c r="K188" i="6" a="1"/>
  <c r="K188" i="6" s="1"/>
  <c r="D188" i="6"/>
  <c r="C188" i="6"/>
  <c r="F214" i="6" a="1"/>
  <c r="F214" i="6" s="1"/>
  <c r="K215" i="6" a="1"/>
  <c r="K215" i="6" s="1"/>
  <c r="D119" i="6"/>
  <c r="E118" i="6"/>
  <c r="E216" i="6"/>
  <c r="C216" i="6"/>
  <c r="B217" i="6"/>
  <c r="K216" i="6" a="1"/>
  <c r="K216" i="6" s="1"/>
  <c r="I216" i="6"/>
  <c r="D216" i="6"/>
  <c r="C260" i="6"/>
  <c r="E260" i="6" a="1"/>
  <c r="E260" i="6" s="1"/>
  <c r="B261" i="6"/>
  <c r="D260" i="6"/>
  <c r="B214" i="5"/>
  <c r="E213" i="5"/>
  <c r="C213" i="5"/>
  <c r="D213" i="5"/>
  <c r="I213" i="5"/>
  <c r="H189" i="5"/>
  <c r="I188" i="5"/>
  <c r="J188" i="5"/>
  <c r="D188" i="5"/>
  <c r="B189" i="5"/>
  <c r="C188" i="5"/>
  <c r="E120" i="5"/>
  <c r="D121" i="5"/>
  <c r="B262" i="5"/>
  <c r="D261" i="5"/>
  <c r="C261" i="5"/>
  <c r="B241" i="5"/>
  <c r="H241" i="5"/>
  <c r="R54" i="5"/>
  <c r="R56" i="5"/>
  <c r="S53" i="5"/>
  <c r="R55" i="5"/>
  <c r="D166" i="5"/>
  <c r="E165" i="5"/>
  <c r="I165" i="5" s="1"/>
  <c r="G165" i="5"/>
  <c r="H165" i="5"/>
  <c r="J214" i="5"/>
  <c r="H215" i="5"/>
  <c r="B288" i="5"/>
  <c r="I164" i="5"/>
  <c r="J187" i="3"/>
  <c r="I187" i="3"/>
  <c r="H188" i="3"/>
  <c r="K188" i="3" s="1" a="1"/>
  <c r="K188" i="3" s="1"/>
  <c r="D122" i="3"/>
  <c r="E122" i="3" s="1"/>
  <c r="H239" i="3"/>
  <c r="K239" i="3" s="1" a="1"/>
  <c r="K239" i="3" s="1"/>
  <c r="B287" i="3"/>
  <c r="D166" i="3"/>
  <c r="E166" i="3" s="1"/>
  <c r="G165" i="3"/>
  <c r="R53" i="3"/>
  <c r="Q54" i="3"/>
  <c r="Q61" i="3"/>
  <c r="Q58" i="3"/>
  <c r="Q62" i="3"/>
  <c r="Q59" i="3"/>
  <c r="Q57" i="3"/>
  <c r="Q60" i="3"/>
  <c r="Q55" i="3"/>
  <c r="Q56" i="3"/>
  <c r="H287" i="3"/>
  <c r="E214" i="3"/>
  <c r="C214" i="3"/>
  <c r="B215" i="3"/>
  <c r="D262" i="3"/>
  <c r="C262" i="3"/>
  <c r="B263" i="3"/>
  <c r="E263" i="3" s="1" a="1"/>
  <c r="E263" i="3" s="1"/>
  <c r="J214" i="3"/>
  <c r="H215" i="3"/>
  <c r="K215" i="3" s="1" a="1"/>
  <c r="K215" i="3" s="1"/>
  <c r="B190" i="3"/>
  <c r="E190" i="3" s="1" a="1"/>
  <c r="E190" i="3" s="1"/>
  <c r="D189" i="3"/>
  <c r="C189" i="3"/>
  <c r="B239" i="3"/>
  <c r="E239" i="3" s="1" a="1"/>
  <c r="E239" i="3" s="1"/>
  <c r="H290" i="1"/>
  <c r="B288" i="1"/>
  <c r="H238" i="1"/>
  <c r="C260" i="1"/>
  <c r="E260" i="1" a="1"/>
  <c r="E260" i="1" s="1"/>
  <c r="D260" i="1"/>
  <c r="I194" i="1"/>
  <c r="J194" i="1"/>
  <c r="K214" i="1" a="1"/>
  <c r="K214" i="1" s="1"/>
  <c r="J214" i="1"/>
  <c r="F213" i="1" a="1"/>
  <c r="F213" i="1" s="1"/>
  <c r="E213" i="1"/>
  <c r="H215" i="1"/>
  <c r="B261" i="1"/>
  <c r="B238" i="1"/>
  <c r="E238" i="1" s="1" a="1"/>
  <c r="E238" i="1" s="1"/>
  <c r="B214" i="1"/>
  <c r="K287" i="3" l="1" a="1"/>
  <c r="K287" i="3" s="1"/>
  <c r="E287" i="3" a="1"/>
  <c r="E287" i="3" s="1"/>
  <c r="Q66" i="3"/>
  <c r="I215" i="3"/>
  <c r="F215" i="3" a="1"/>
  <c r="F215" i="3" s="1"/>
  <c r="D215" i="3"/>
  <c r="U53" i="7"/>
  <c r="T54" i="7"/>
  <c r="B239" i="7"/>
  <c r="B288" i="7"/>
  <c r="K287" i="7" a="1"/>
  <c r="K287" i="7" s="1"/>
  <c r="E287" i="7" a="1"/>
  <c r="E287" i="7" s="1"/>
  <c r="D190" i="7"/>
  <c r="C190" i="7"/>
  <c r="B191" i="7"/>
  <c r="I165" i="7"/>
  <c r="E216" i="7"/>
  <c r="C216" i="7"/>
  <c r="B217" i="7"/>
  <c r="I216" i="7"/>
  <c r="D216" i="7"/>
  <c r="D261" i="7"/>
  <c r="B262" i="7"/>
  <c r="C261" i="7"/>
  <c r="D167" i="7"/>
  <c r="H166" i="7"/>
  <c r="G166" i="7"/>
  <c r="H189" i="7"/>
  <c r="J188" i="7"/>
  <c r="I188" i="7"/>
  <c r="C189" i="6"/>
  <c r="B190" i="6"/>
  <c r="K189" i="6" a="1"/>
  <c r="K189" i="6" s="1"/>
  <c r="E189" i="6" a="1"/>
  <c r="E189" i="6" s="1"/>
  <c r="D189" i="6"/>
  <c r="F215" i="6" a="1"/>
  <c r="F215" i="6" s="1"/>
  <c r="B288" i="6"/>
  <c r="E287" i="6" a="1"/>
  <c r="E287" i="6" s="1"/>
  <c r="K287" i="6" a="1"/>
  <c r="K287" i="6" s="1"/>
  <c r="E217" i="6"/>
  <c r="K217" i="6" a="1"/>
  <c r="K217" i="6" s="1"/>
  <c r="C217" i="6"/>
  <c r="B218" i="6"/>
  <c r="D217" i="6"/>
  <c r="I217" i="6"/>
  <c r="I165" i="6"/>
  <c r="E166" i="6"/>
  <c r="D167" i="6"/>
  <c r="H166" i="6"/>
  <c r="G166" i="6"/>
  <c r="K238" i="6" a="1"/>
  <c r="K238" i="6" s="1"/>
  <c r="E238" i="6" a="1"/>
  <c r="E238" i="6" s="1"/>
  <c r="B239" i="6"/>
  <c r="H217" i="6"/>
  <c r="J216" i="6"/>
  <c r="D120" i="6"/>
  <c r="E119" i="6"/>
  <c r="C261" i="6"/>
  <c r="B262" i="6"/>
  <c r="E261" i="6" a="1"/>
  <c r="E261" i="6" s="1"/>
  <c r="D261" i="6"/>
  <c r="S53" i="6"/>
  <c r="R54" i="6"/>
  <c r="R56" i="6"/>
  <c r="R55" i="6"/>
  <c r="H189" i="6"/>
  <c r="J188" i="6"/>
  <c r="I188" i="6"/>
  <c r="E166" i="5"/>
  <c r="D167" i="5"/>
  <c r="H166" i="5"/>
  <c r="G166" i="5"/>
  <c r="I189" i="5"/>
  <c r="H190" i="5"/>
  <c r="J189" i="5"/>
  <c r="B242" i="5"/>
  <c r="D262" i="5"/>
  <c r="C262" i="5"/>
  <c r="B263" i="5"/>
  <c r="H216" i="5"/>
  <c r="J215" i="5"/>
  <c r="T53" i="5"/>
  <c r="S54" i="5"/>
  <c r="S55" i="5"/>
  <c r="S56" i="5"/>
  <c r="D122" i="5"/>
  <c r="E121" i="5"/>
  <c r="H242" i="5"/>
  <c r="B289" i="5"/>
  <c r="C189" i="5"/>
  <c r="B190" i="5"/>
  <c r="D189" i="5"/>
  <c r="C214" i="5"/>
  <c r="B215" i="5"/>
  <c r="E214" i="5"/>
  <c r="I214" i="5"/>
  <c r="D214" i="5"/>
  <c r="B288" i="3"/>
  <c r="B264" i="3"/>
  <c r="E264" i="3" s="1" a="1"/>
  <c r="E264" i="3" s="1"/>
  <c r="D263" i="3"/>
  <c r="C263" i="3"/>
  <c r="H240" i="3"/>
  <c r="K240" i="3" s="1" a="1"/>
  <c r="K240" i="3" s="1"/>
  <c r="R62" i="3"/>
  <c r="R58" i="3"/>
  <c r="R54" i="3"/>
  <c r="S53" i="3"/>
  <c r="R56" i="3"/>
  <c r="R55" i="3"/>
  <c r="R60" i="3"/>
  <c r="R57" i="3"/>
  <c r="R59" i="3"/>
  <c r="R61" i="3"/>
  <c r="D123" i="3"/>
  <c r="E123" i="3" s="1"/>
  <c r="E215" i="3"/>
  <c r="B216" i="3"/>
  <c r="C215" i="3"/>
  <c r="B191" i="3"/>
  <c r="E191" i="3" s="1" a="1"/>
  <c r="E191" i="3" s="1"/>
  <c r="D190" i="3"/>
  <c r="C190" i="3"/>
  <c r="H288" i="3"/>
  <c r="I188" i="3"/>
  <c r="H189" i="3"/>
  <c r="K189" i="3" s="1" a="1"/>
  <c r="K189" i="3" s="1"/>
  <c r="J188" i="3"/>
  <c r="B240" i="3"/>
  <c r="E240" i="3" s="1" a="1"/>
  <c r="E240" i="3" s="1"/>
  <c r="J215" i="3"/>
  <c r="H216" i="3"/>
  <c r="K216" i="3" s="1" a="1"/>
  <c r="K216" i="3" s="1"/>
  <c r="D167" i="3"/>
  <c r="E167" i="3" s="1"/>
  <c r="G166" i="3"/>
  <c r="B289" i="1"/>
  <c r="H291" i="1"/>
  <c r="H239" i="1"/>
  <c r="K215" i="1" a="1"/>
  <c r="K215" i="1" s="1"/>
  <c r="J215" i="1"/>
  <c r="F214" i="1" a="1"/>
  <c r="F214" i="1" s="1"/>
  <c r="E214" i="1"/>
  <c r="D261" i="1"/>
  <c r="C261" i="1"/>
  <c r="E261" i="1" a="1"/>
  <c r="E261" i="1" s="1"/>
  <c r="H216" i="1"/>
  <c r="B262" i="1"/>
  <c r="B239" i="1"/>
  <c r="E239" i="1" s="1" a="1"/>
  <c r="E239" i="1" s="1"/>
  <c r="B215" i="1"/>
  <c r="R66" i="3" l="1"/>
  <c r="I216" i="3"/>
  <c r="F216" i="3" a="1"/>
  <c r="F216" i="3" s="1"/>
  <c r="D216" i="3"/>
  <c r="E288" i="3" a="1"/>
  <c r="E288" i="3" s="1"/>
  <c r="K288" i="3" a="1"/>
  <c r="K288" i="3" s="1"/>
  <c r="E217" i="7"/>
  <c r="B218" i="7"/>
  <c r="C217" i="7"/>
  <c r="D217" i="7"/>
  <c r="I217" i="7"/>
  <c r="J189" i="7"/>
  <c r="I189" i="7"/>
  <c r="H190" i="7"/>
  <c r="K288" i="7" a="1"/>
  <c r="K288" i="7" s="1"/>
  <c r="E288" i="7" a="1"/>
  <c r="E288" i="7" s="1"/>
  <c r="B289" i="7"/>
  <c r="D262" i="7"/>
  <c r="C262" i="7"/>
  <c r="B263" i="7"/>
  <c r="D168" i="7"/>
  <c r="H167" i="7"/>
  <c r="G167" i="7"/>
  <c r="B192" i="7"/>
  <c r="C191" i="7"/>
  <c r="D191" i="7"/>
  <c r="I166" i="7"/>
  <c r="B240" i="7"/>
  <c r="U54" i="7"/>
  <c r="V53" i="7"/>
  <c r="I166" i="6"/>
  <c r="E120" i="6"/>
  <c r="D121" i="6"/>
  <c r="K239" i="6" a="1"/>
  <c r="K239" i="6" s="1"/>
  <c r="E239" i="6" a="1"/>
  <c r="E239" i="6" s="1"/>
  <c r="B240" i="6"/>
  <c r="D168" i="6"/>
  <c r="E167" i="6"/>
  <c r="H167" i="6"/>
  <c r="G167" i="6"/>
  <c r="E288" i="6" a="1"/>
  <c r="E288" i="6" s="1"/>
  <c r="K288" i="6" a="1"/>
  <c r="K288" i="6" s="1"/>
  <c r="B289" i="6"/>
  <c r="E262" i="6" a="1"/>
  <c r="E262" i="6" s="1"/>
  <c r="D262" i="6"/>
  <c r="C262" i="6"/>
  <c r="B263" i="6"/>
  <c r="E218" i="6"/>
  <c r="B219" i="6"/>
  <c r="C218" i="6"/>
  <c r="I218" i="6"/>
  <c r="D218" i="6"/>
  <c r="K190" i="6" a="1"/>
  <c r="K190" i="6" s="1"/>
  <c r="E190" i="6" a="1"/>
  <c r="E190" i="6" s="1"/>
  <c r="D190" i="6"/>
  <c r="C190" i="6"/>
  <c r="B191" i="6"/>
  <c r="K218" i="6" s="1" a="1"/>
  <c r="K218" i="6" s="1"/>
  <c r="F216" i="6" a="1"/>
  <c r="F216" i="6" s="1"/>
  <c r="T53" i="6"/>
  <c r="S56" i="6"/>
  <c r="S54" i="6"/>
  <c r="S55" i="6"/>
  <c r="J189" i="6"/>
  <c r="I189" i="6"/>
  <c r="H190" i="6"/>
  <c r="J217" i="6"/>
  <c r="H218" i="6"/>
  <c r="D190" i="5"/>
  <c r="B191" i="5"/>
  <c r="C190" i="5"/>
  <c r="J190" i="5"/>
  <c r="I190" i="5"/>
  <c r="H191" i="5"/>
  <c r="U53" i="5"/>
  <c r="T54" i="5"/>
  <c r="T56" i="5"/>
  <c r="T55" i="5"/>
  <c r="B243" i="5"/>
  <c r="B290" i="5"/>
  <c r="C215" i="5"/>
  <c r="B216" i="5"/>
  <c r="E215" i="5"/>
  <c r="I215" i="5"/>
  <c r="D215" i="5"/>
  <c r="D123" i="5"/>
  <c r="E122" i="5"/>
  <c r="H217" i="5"/>
  <c r="J216" i="5"/>
  <c r="H243" i="5"/>
  <c r="B264" i="5"/>
  <c r="D263" i="5"/>
  <c r="C263" i="5"/>
  <c r="D168" i="5"/>
  <c r="E167" i="5"/>
  <c r="H167" i="5"/>
  <c r="G167" i="5"/>
  <c r="I166" i="5"/>
  <c r="D191" i="3"/>
  <c r="C191" i="3"/>
  <c r="B192" i="3"/>
  <c r="E192" i="3" s="1" a="1"/>
  <c r="E192" i="3" s="1"/>
  <c r="J189" i="3"/>
  <c r="H190" i="3"/>
  <c r="K190" i="3" s="1" a="1"/>
  <c r="K190" i="3" s="1"/>
  <c r="I189" i="3"/>
  <c r="E216" i="3"/>
  <c r="B217" i="3"/>
  <c r="C216" i="3"/>
  <c r="H241" i="3"/>
  <c r="K241" i="3" s="1" a="1"/>
  <c r="K241" i="3" s="1"/>
  <c r="B241" i="3"/>
  <c r="E241" i="3" s="1" a="1"/>
  <c r="E241" i="3" s="1"/>
  <c r="D168" i="3"/>
  <c r="E168" i="3" s="1"/>
  <c r="G167" i="3"/>
  <c r="H289" i="3"/>
  <c r="D124" i="3"/>
  <c r="E124" i="3" s="1"/>
  <c r="J216" i="3"/>
  <c r="H217" i="3"/>
  <c r="K217" i="3" s="1" a="1"/>
  <c r="K217" i="3" s="1"/>
  <c r="T53" i="3"/>
  <c r="S61" i="3"/>
  <c r="S57" i="3"/>
  <c r="S56" i="3"/>
  <c r="S55" i="3"/>
  <c r="S54" i="3"/>
  <c r="S62" i="3"/>
  <c r="S60" i="3"/>
  <c r="S59" i="3"/>
  <c r="S58" i="3"/>
  <c r="B265" i="3"/>
  <c r="E265" i="3" s="1" a="1"/>
  <c r="E265" i="3" s="1"/>
  <c r="D264" i="3"/>
  <c r="C264" i="3"/>
  <c r="B289" i="3"/>
  <c r="H292" i="1"/>
  <c r="B290" i="1"/>
  <c r="H240" i="1"/>
  <c r="D262" i="1"/>
  <c r="E262" i="1" a="1"/>
  <c r="E262" i="1" s="1"/>
  <c r="C262" i="1"/>
  <c r="K216" i="1" a="1"/>
  <c r="K216" i="1" s="1"/>
  <c r="J216" i="1"/>
  <c r="E215" i="1"/>
  <c r="F215" i="1" a="1"/>
  <c r="F215" i="1" s="1"/>
  <c r="H217" i="1"/>
  <c r="B263" i="1"/>
  <c r="B240" i="1"/>
  <c r="E240" i="1" s="1" a="1"/>
  <c r="E240" i="1" s="1"/>
  <c r="B216" i="1"/>
  <c r="E289" i="3" l="1" a="1"/>
  <c r="E289" i="3" s="1"/>
  <c r="K289" i="3" a="1"/>
  <c r="K289" i="3" s="1"/>
  <c r="F217" i="3" a="1"/>
  <c r="F217" i="3" s="1"/>
  <c r="I217" i="3"/>
  <c r="D217" i="3"/>
  <c r="S66" i="3"/>
  <c r="I167" i="7"/>
  <c r="B264" i="7"/>
  <c r="D263" i="7"/>
  <c r="C263" i="7"/>
  <c r="E218" i="7"/>
  <c r="C218" i="7"/>
  <c r="B219" i="7"/>
  <c r="D218" i="7"/>
  <c r="I218" i="7"/>
  <c r="B193" i="7"/>
  <c r="D192" i="7"/>
  <c r="C192" i="7"/>
  <c r="J190" i="7"/>
  <c r="I190" i="7"/>
  <c r="H191" i="7"/>
  <c r="B241" i="7"/>
  <c r="V54" i="7"/>
  <c r="W53" i="7"/>
  <c r="D169" i="7"/>
  <c r="G168" i="7"/>
  <c r="H168" i="7"/>
  <c r="E289" i="7" a="1"/>
  <c r="E289" i="7" s="1"/>
  <c r="B290" i="7"/>
  <c r="K289" i="7" a="1"/>
  <c r="K289" i="7" s="1"/>
  <c r="E219" i="6"/>
  <c r="C219" i="6"/>
  <c r="B220" i="6"/>
  <c r="I219" i="6"/>
  <c r="D219" i="6"/>
  <c r="I167" i="6"/>
  <c r="U53" i="6"/>
  <c r="T54" i="6"/>
  <c r="T56" i="6"/>
  <c r="T55" i="6"/>
  <c r="E168" i="6"/>
  <c r="D169" i="6"/>
  <c r="H168" i="6"/>
  <c r="G168" i="6"/>
  <c r="H219" i="6"/>
  <c r="J218" i="6"/>
  <c r="B241" i="6"/>
  <c r="K240" i="6" a="1"/>
  <c r="K240" i="6" s="1"/>
  <c r="E240" i="6" a="1"/>
  <c r="E240" i="6" s="1"/>
  <c r="B192" i="6"/>
  <c r="K191" i="6" a="1"/>
  <c r="K191" i="6" s="1"/>
  <c r="E191" i="6" a="1"/>
  <c r="E191" i="6" s="1"/>
  <c r="D191" i="6"/>
  <c r="C191" i="6"/>
  <c r="F217" i="6" a="1"/>
  <c r="F217" i="6" s="1"/>
  <c r="E263" i="6" a="1"/>
  <c r="E263" i="6" s="1"/>
  <c r="B264" i="6"/>
  <c r="D263" i="6"/>
  <c r="C263" i="6"/>
  <c r="E121" i="6"/>
  <c r="D122" i="6"/>
  <c r="J190" i="6"/>
  <c r="I190" i="6"/>
  <c r="H191" i="6"/>
  <c r="E289" i="6" a="1"/>
  <c r="E289" i="6" s="1"/>
  <c r="K289" i="6" a="1"/>
  <c r="K289" i="6" s="1"/>
  <c r="B290" i="6"/>
  <c r="B291" i="5"/>
  <c r="V53" i="5"/>
  <c r="U54" i="5"/>
  <c r="U55" i="5"/>
  <c r="U56" i="5"/>
  <c r="B244" i="5"/>
  <c r="J191" i="5"/>
  <c r="I191" i="5"/>
  <c r="H192" i="5"/>
  <c r="J217" i="5"/>
  <c r="H218" i="5"/>
  <c r="H244" i="5"/>
  <c r="D124" i="5"/>
  <c r="E124" i="5" s="1"/>
  <c r="E123" i="5"/>
  <c r="E168" i="5"/>
  <c r="D169" i="5"/>
  <c r="G168" i="5"/>
  <c r="H168" i="5"/>
  <c r="D191" i="5"/>
  <c r="C191" i="5"/>
  <c r="B192" i="5"/>
  <c r="I167" i="5"/>
  <c r="B265" i="5"/>
  <c r="D264" i="5"/>
  <c r="C264" i="5"/>
  <c r="C216" i="5"/>
  <c r="B217" i="5"/>
  <c r="E216" i="5"/>
  <c r="I216" i="5"/>
  <c r="D216" i="5"/>
  <c r="H290" i="3"/>
  <c r="B218" i="3"/>
  <c r="E217" i="3"/>
  <c r="C217" i="3"/>
  <c r="I190" i="3"/>
  <c r="J190" i="3"/>
  <c r="H191" i="3"/>
  <c r="K191" i="3" s="1" a="1"/>
  <c r="K191" i="3" s="1"/>
  <c r="U53" i="3"/>
  <c r="T59" i="3"/>
  <c r="T55" i="3"/>
  <c r="T57" i="3"/>
  <c r="T60" i="3"/>
  <c r="T58" i="3"/>
  <c r="T54" i="3"/>
  <c r="T62" i="3"/>
  <c r="T61" i="3"/>
  <c r="T56" i="3"/>
  <c r="B266" i="3"/>
  <c r="E266" i="3" s="1" a="1"/>
  <c r="E266" i="3" s="1"/>
  <c r="C265" i="3"/>
  <c r="D265" i="3"/>
  <c r="B290" i="3"/>
  <c r="D169" i="3"/>
  <c r="E169" i="3" s="1"/>
  <c r="G168" i="3"/>
  <c r="J217" i="3"/>
  <c r="H218" i="3"/>
  <c r="K218" i="3" s="1" a="1"/>
  <c r="K218" i="3" s="1"/>
  <c r="B242" i="3"/>
  <c r="E242" i="3" s="1" a="1"/>
  <c r="E242" i="3" s="1"/>
  <c r="D192" i="3"/>
  <c r="C192" i="3"/>
  <c r="B193" i="3"/>
  <c r="E193" i="3" s="1" a="1"/>
  <c r="E193" i="3" s="1"/>
  <c r="H242" i="3"/>
  <c r="K242" i="3" s="1" a="1"/>
  <c r="K242" i="3" s="1"/>
  <c r="B291" i="1"/>
  <c r="H241" i="1"/>
  <c r="D263" i="1"/>
  <c r="E263" i="1" a="1"/>
  <c r="E263" i="1" s="1"/>
  <c r="C263" i="1"/>
  <c r="J217" i="1"/>
  <c r="K217" i="1" a="1"/>
  <c r="K217" i="1" s="1"/>
  <c r="E216" i="1"/>
  <c r="F216" i="1" a="1"/>
  <c r="F216" i="1" s="1"/>
  <c r="H218" i="1"/>
  <c r="B264" i="1"/>
  <c r="B241" i="1"/>
  <c r="E241" i="1" s="1" a="1"/>
  <c r="E241" i="1" s="1"/>
  <c r="B217" i="1"/>
  <c r="E290" i="3" l="1" a="1"/>
  <c r="E290" i="3" s="1"/>
  <c r="K290" i="3" a="1"/>
  <c r="K290" i="3" s="1"/>
  <c r="T66" i="3"/>
  <c r="F218" i="3" a="1"/>
  <c r="F218" i="3" s="1"/>
  <c r="I218" i="3"/>
  <c r="D218" i="3"/>
  <c r="E290" i="7" a="1"/>
  <c r="E290" i="7" s="1"/>
  <c r="B291" i="7"/>
  <c r="K290" i="7" a="1"/>
  <c r="K290" i="7" s="1"/>
  <c r="C219" i="7"/>
  <c r="B220" i="7"/>
  <c r="E219" i="7"/>
  <c r="I219" i="7"/>
  <c r="D219" i="7"/>
  <c r="I191" i="7"/>
  <c r="J191" i="7"/>
  <c r="H192" i="7"/>
  <c r="H169" i="7"/>
  <c r="G169" i="7"/>
  <c r="D170" i="7"/>
  <c r="I168" i="7"/>
  <c r="B242" i="7"/>
  <c r="B265" i="7"/>
  <c r="D264" i="7"/>
  <c r="C264" i="7"/>
  <c r="W54" i="7"/>
  <c r="D193" i="7"/>
  <c r="C193" i="7"/>
  <c r="B194" i="7"/>
  <c r="B193" i="6"/>
  <c r="E192" i="6" a="1"/>
  <c r="E192" i="6" s="1"/>
  <c r="D192" i="6"/>
  <c r="C192" i="6"/>
  <c r="K192" i="6" a="1"/>
  <c r="K192" i="6" s="1"/>
  <c r="F218" i="6" a="1"/>
  <c r="F218" i="6" s="1"/>
  <c r="E122" i="6"/>
  <c r="D123" i="6"/>
  <c r="V53" i="6"/>
  <c r="U54" i="6"/>
  <c r="U56" i="6"/>
  <c r="U55" i="6"/>
  <c r="J191" i="6"/>
  <c r="I191" i="6"/>
  <c r="H192" i="6"/>
  <c r="B265" i="6"/>
  <c r="E264" i="6" a="1"/>
  <c r="E264" i="6" s="1"/>
  <c r="D264" i="6"/>
  <c r="C264" i="6"/>
  <c r="H220" i="6"/>
  <c r="J220" i="6" s="1"/>
  <c r="J219" i="6"/>
  <c r="K220" i="6" a="1"/>
  <c r="K220" i="6" s="1"/>
  <c r="E220" i="6"/>
  <c r="C220" i="6"/>
  <c r="I220" i="6"/>
  <c r="D220" i="6"/>
  <c r="K219" i="6" a="1"/>
  <c r="K219" i="6" s="1"/>
  <c r="E290" i="6" a="1"/>
  <c r="E290" i="6" s="1"/>
  <c r="B291" i="6"/>
  <c r="K290" i="6" a="1"/>
  <c r="K290" i="6" s="1"/>
  <c r="E169" i="6"/>
  <c r="D170" i="6"/>
  <c r="H169" i="6"/>
  <c r="G169" i="6"/>
  <c r="E241" i="6" a="1"/>
  <c r="E241" i="6" s="1"/>
  <c r="K241" i="6" a="1"/>
  <c r="K241" i="6" s="1"/>
  <c r="B242" i="6"/>
  <c r="I168" i="6"/>
  <c r="J218" i="5"/>
  <c r="H219" i="5"/>
  <c r="I192" i="5"/>
  <c r="H193" i="5"/>
  <c r="J192" i="5"/>
  <c r="E217" i="5"/>
  <c r="C217" i="5"/>
  <c r="B218" i="5"/>
  <c r="I217" i="5"/>
  <c r="D217" i="5"/>
  <c r="E169" i="5"/>
  <c r="D170" i="5"/>
  <c r="H169" i="5"/>
  <c r="G169" i="5"/>
  <c r="W53" i="5"/>
  <c r="V54" i="5"/>
  <c r="V55" i="5"/>
  <c r="V56" i="5"/>
  <c r="B266" i="5"/>
  <c r="D265" i="5"/>
  <c r="C265" i="5"/>
  <c r="B193" i="5"/>
  <c r="C192" i="5"/>
  <c r="D192" i="5"/>
  <c r="I168" i="5"/>
  <c r="B292" i="5"/>
  <c r="H192" i="3"/>
  <c r="K192" i="3" s="1" a="1"/>
  <c r="K192" i="3" s="1"/>
  <c r="J191" i="3"/>
  <c r="I191" i="3"/>
  <c r="J218" i="3"/>
  <c r="H219" i="3"/>
  <c r="K219" i="3" s="1" a="1"/>
  <c r="K219" i="3" s="1"/>
  <c r="B219" i="3"/>
  <c r="E218" i="3"/>
  <c r="C218" i="3"/>
  <c r="B267" i="3"/>
  <c r="E267" i="3" s="1" a="1"/>
  <c r="E267" i="3" s="1"/>
  <c r="D266" i="3"/>
  <c r="C266" i="3"/>
  <c r="B243" i="3"/>
  <c r="E243" i="3" s="1" a="1"/>
  <c r="E243" i="3" s="1"/>
  <c r="D193" i="3"/>
  <c r="C193" i="3"/>
  <c r="B194" i="3"/>
  <c r="E194" i="3" s="1" a="1"/>
  <c r="E194" i="3" s="1"/>
  <c r="D170" i="3"/>
  <c r="E170" i="3" s="1"/>
  <c r="G169" i="3"/>
  <c r="H291" i="3"/>
  <c r="B291" i="3"/>
  <c r="V53" i="3"/>
  <c r="U54" i="3"/>
  <c r="U62" i="3"/>
  <c r="U55" i="3"/>
  <c r="U56" i="3"/>
  <c r="U57" i="3"/>
  <c r="U58" i="3"/>
  <c r="U59" i="3"/>
  <c r="U60" i="3"/>
  <c r="U61" i="3"/>
  <c r="H243" i="3"/>
  <c r="K243" i="3" s="1" a="1"/>
  <c r="K243" i="3" s="1"/>
  <c r="B292" i="1"/>
  <c r="H242" i="1"/>
  <c r="D264" i="1"/>
  <c r="C264" i="1"/>
  <c r="E264" i="1" a="1"/>
  <c r="E264" i="1" s="1"/>
  <c r="J218" i="1"/>
  <c r="K218" i="1" a="1"/>
  <c r="K218" i="1" s="1"/>
  <c r="E217" i="1"/>
  <c r="F217" i="1" a="1"/>
  <c r="F217" i="1" s="1"/>
  <c r="H219" i="1"/>
  <c r="B265" i="1"/>
  <c r="B242" i="1"/>
  <c r="E242" i="1" s="1" a="1"/>
  <c r="E242" i="1" s="1"/>
  <c r="B218" i="1"/>
  <c r="U66" i="3" l="1"/>
  <c r="E291" i="3" a="1"/>
  <c r="E291" i="3" s="1"/>
  <c r="K291" i="3" a="1"/>
  <c r="K291" i="3" s="1"/>
  <c r="F219" i="3" a="1"/>
  <c r="F219" i="3" s="1"/>
  <c r="I219" i="3"/>
  <c r="D219" i="3"/>
  <c r="D171" i="7"/>
  <c r="H170" i="7"/>
  <c r="G170" i="7"/>
  <c r="B266" i="7"/>
  <c r="D265" i="7"/>
  <c r="C265" i="7"/>
  <c r="D194" i="7"/>
  <c r="C194" i="7"/>
  <c r="C220" i="7"/>
  <c r="E220" i="7"/>
  <c r="I220" i="7"/>
  <c r="D220" i="7"/>
  <c r="I169" i="7"/>
  <c r="E291" i="7" a="1"/>
  <c r="E291" i="7" s="1"/>
  <c r="B292" i="7"/>
  <c r="K291" i="7" a="1"/>
  <c r="K291" i="7" s="1"/>
  <c r="B243" i="7"/>
  <c r="J192" i="7"/>
  <c r="H193" i="7"/>
  <c r="I192" i="7"/>
  <c r="E170" i="6"/>
  <c r="D171" i="6"/>
  <c r="G170" i="6"/>
  <c r="H170" i="6"/>
  <c r="W53" i="6"/>
  <c r="V54" i="6"/>
  <c r="V55" i="6"/>
  <c r="V56" i="6"/>
  <c r="H193" i="6"/>
  <c r="I192" i="6"/>
  <c r="J192" i="6"/>
  <c r="D124" i="6"/>
  <c r="E124" i="6" s="1"/>
  <c r="E123" i="6"/>
  <c r="B266" i="6"/>
  <c r="E265" i="6" a="1"/>
  <c r="E265" i="6" s="1"/>
  <c r="D265" i="6"/>
  <c r="C265" i="6"/>
  <c r="E242" i="6" a="1"/>
  <c r="E242" i="6" s="1"/>
  <c r="K242" i="6" a="1"/>
  <c r="K242" i="6" s="1"/>
  <c r="B243" i="6"/>
  <c r="I169" i="6"/>
  <c r="E291" i="6" a="1"/>
  <c r="E291" i="6" s="1"/>
  <c r="B292" i="6"/>
  <c r="K291" i="6" a="1"/>
  <c r="K291" i="6" s="1"/>
  <c r="D193" i="6"/>
  <c r="C193" i="6"/>
  <c r="K193" i="6" a="1"/>
  <c r="K193" i="6" s="1"/>
  <c r="E193" i="6" a="1"/>
  <c r="E193" i="6" s="1"/>
  <c r="B194" i="6"/>
  <c r="F219" i="6" a="1"/>
  <c r="F219" i="6" s="1"/>
  <c r="C193" i="5"/>
  <c r="B194" i="5"/>
  <c r="D193" i="5"/>
  <c r="E218" i="5"/>
  <c r="B219" i="5"/>
  <c r="C218" i="5"/>
  <c r="I218" i="5"/>
  <c r="D218" i="5"/>
  <c r="W54" i="5"/>
  <c r="W55" i="5"/>
  <c r="W56" i="5"/>
  <c r="D171" i="5"/>
  <c r="E170" i="5"/>
  <c r="G170" i="5"/>
  <c r="H170" i="5"/>
  <c r="H220" i="5"/>
  <c r="J219" i="5"/>
  <c r="I193" i="5"/>
  <c r="H194" i="5"/>
  <c r="J193" i="5"/>
  <c r="B267" i="5"/>
  <c r="D266" i="5"/>
  <c r="C266" i="5"/>
  <c r="I169" i="5"/>
  <c r="H220" i="3"/>
  <c r="J219" i="3"/>
  <c r="D194" i="3"/>
  <c r="C194" i="3"/>
  <c r="B244" i="3"/>
  <c r="E244" i="3" s="1" a="1"/>
  <c r="E244" i="3" s="1"/>
  <c r="V62" i="3"/>
  <c r="V58" i="3"/>
  <c r="V54" i="3"/>
  <c r="W53" i="3"/>
  <c r="V61" i="3"/>
  <c r="V57" i="3"/>
  <c r="V59" i="3"/>
  <c r="V56" i="3"/>
  <c r="V55" i="3"/>
  <c r="V60" i="3"/>
  <c r="C219" i="3"/>
  <c r="B220" i="3"/>
  <c r="E219" i="3"/>
  <c r="B292" i="3"/>
  <c r="H244" i="3"/>
  <c r="K244" i="3" s="1" a="1"/>
  <c r="K244" i="3" s="1"/>
  <c r="H292" i="3"/>
  <c r="D267" i="3"/>
  <c r="C267" i="3"/>
  <c r="D171" i="3"/>
  <c r="E171" i="3" s="1"/>
  <c r="G170" i="3"/>
  <c r="H193" i="3"/>
  <c r="K193" i="3" s="1" a="1"/>
  <c r="K193" i="3" s="1"/>
  <c r="I192" i="3"/>
  <c r="J192" i="3"/>
  <c r="H243" i="1"/>
  <c r="E265" i="1" a="1"/>
  <c r="E265" i="1" s="1"/>
  <c r="D265" i="1"/>
  <c r="C265" i="1"/>
  <c r="K219" i="1" a="1"/>
  <c r="K219" i="1" s="1"/>
  <c r="J219" i="1"/>
  <c r="F218" i="1" a="1"/>
  <c r="F218" i="1" s="1"/>
  <c r="E218" i="1"/>
  <c r="H220" i="1"/>
  <c r="J220" i="1" s="1"/>
  <c r="B266" i="1"/>
  <c r="B243" i="1"/>
  <c r="E243" i="1" s="1" a="1"/>
  <c r="E243" i="1" s="1"/>
  <c r="B219" i="1"/>
  <c r="J220" i="3" l="1"/>
  <c r="K220" i="3" a="1"/>
  <c r="K220" i="3" s="1"/>
  <c r="V66" i="3"/>
  <c r="K292" i="3" a="1"/>
  <c r="K292" i="3" s="1"/>
  <c r="E292" i="3" a="1"/>
  <c r="E292" i="3" s="1"/>
  <c r="D220" i="3"/>
  <c r="I220" i="3"/>
  <c r="F220" i="3" a="1"/>
  <c r="F220" i="3" s="1"/>
  <c r="B244" i="7"/>
  <c r="B267" i="7"/>
  <c r="D266" i="7"/>
  <c r="C266" i="7"/>
  <c r="J193" i="7"/>
  <c r="I193" i="7"/>
  <c r="H194" i="7"/>
  <c r="H171" i="7"/>
  <c r="G171" i="7"/>
  <c r="K292" i="7" a="1"/>
  <c r="K292" i="7" s="1"/>
  <c r="E292" i="7" a="1"/>
  <c r="E292" i="7" s="1"/>
  <c r="I170" i="7"/>
  <c r="K292" i="6" a="1"/>
  <c r="K292" i="6" s="1"/>
  <c r="E292" i="6" a="1"/>
  <c r="E292" i="6" s="1"/>
  <c r="J193" i="6"/>
  <c r="I193" i="6"/>
  <c r="H194" i="6"/>
  <c r="E243" i="6" a="1"/>
  <c r="E243" i="6" s="1"/>
  <c r="B244" i="6"/>
  <c r="K243" i="6" a="1"/>
  <c r="K243" i="6" s="1"/>
  <c r="W54" i="6"/>
  <c r="W55" i="6"/>
  <c r="W56" i="6"/>
  <c r="B267" i="6"/>
  <c r="C266" i="6"/>
  <c r="E266" i="6" a="1"/>
  <c r="E266" i="6" s="1"/>
  <c r="D266" i="6"/>
  <c r="H171" i="6"/>
  <c r="E171" i="6"/>
  <c r="G171" i="6"/>
  <c r="E194" i="6" a="1"/>
  <c r="E194" i="6" s="1"/>
  <c r="D194" i="6"/>
  <c r="K194" i="6" a="1"/>
  <c r="K194" i="6" s="1"/>
  <c r="C194" i="6"/>
  <c r="F220" i="6" a="1"/>
  <c r="F220" i="6" s="1"/>
  <c r="I170" i="6"/>
  <c r="E219" i="5"/>
  <c r="B220" i="5"/>
  <c r="C219" i="5"/>
  <c r="I219" i="5"/>
  <c r="D219" i="5"/>
  <c r="J194" i="5"/>
  <c r="I194" i="5"/>
  <c r="J220" i="5"/>
  <c r="D194" i="5"/>
  <c r="C194" i="5"/>
  <c r="E171" i="5"/>
  <c r="H171" i="5"/>
  <c r="G171" i="5"/>
  <c r="D267" i="5"/>
  <c r="C267" i="5"/>
  <c r="I170" i="5"/>
  <c r="I193" i="3"/>
  <c r="J193" i="3"/>
  <c r="H194" i="3"/>
  <c r="K194" i="3" s="1" a="1"/>
  <c r="K194" i="3" s="1"/>
  <c r="G171" i="3"/>
  <c r="C220" i="3"/>
  <c r="E220" i="3"/>
  <c r="W61" i="3"/>
  <c r="W57" i="3"/>
  <c r="W58" i="3"/>
  <c r="W60" i="3"/>
  <c r="W59" i="3"/>
  <c r="W55" i="3"/>
  <c r="W54" i="3"/>
  <c r="W62" i="3"/>
  <c r="W56" i="3"/>
  <c r="H244" i="1"/>
  <c r="C266" i="1"/>
  <c r="D266" i="1"/>
  <c r="E266" i="1" a="1"/>
  <c r="E266" i="1" s="1"/>
  <c r="E219" i="1"/>
  <c r="F219" i="1" a="1"/>
  <c r="F219" i="1" s="1"/>
  <c r="B267" i="1"/>
  <c r="B244" i="1"/>
  <c r="E244" i="1" s="1" a="1"/>
  <c r="E244" i="1" s="1"/>
  <c r="B220" i="1"/>
  <c r="W66" i="3" l="1"/>
  <c r="I171" i="7"/>
  <c r="D267" i="7"/>
  <c r="C267" i="7"/>
  <c r="J194" i="7"/>
  <c r="I194" i="7"/>
  <c r="I171" i="6"/>
  <c r="D267" i="6"/>
  <c r="C267" i="6"/>
  <c r="E267" i="6" a="1"/>
  <c r="E267" i="6" s="1"/>
  <c r="K244" i="6" a="1"/>
  <c r="K244" i="6" s="1"/>
  <c r="E244" i="6" a="1"/>
  <c r="E244" i="6" s="1"/>
  <c r="J194" i="6"/>
  <c r="I194" i="6"/>
  <c r="C220" i="5"/>
  <c r="E220" i="5"/>
  <c r="I220" i="5"/>
  <c r="D220" i="5"/>
  <c r="I171" i="5"/>
  <c r="J194" i="3"/>
  <c r="I194" i="3"/>
  <c r="E267" i="1" a="1"/>
  <c r="E267" i="1" s="1"/>
  <c r="C267" i="1"/>
  <c r="D267" i="1"/>
  <c r="E2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<sst xmlns="http://schemas.openxmlformats.org/spreadsheetml/2006/main" count="1026" uniqueCount="112">
  <si>
    <t>π</t>
  </si>
  <si>
    <t>h (Js)</t>
  </si>
  <si>
    <t>R (J/K/mol)</t>
  </si>
  <si>
    <t>S</t>
  </si>
  <si>
    <t>KCal/Mol</t>
  </si>
  <si>
    <t>Cal/Mol-Kelvin</t>
  </si>
  <si>
    <t>Total</t>
  </si>
  <si>
    <t>Electronic</t>
  </si>
  <si>
    <t>0.000</t>
  </si>
  <si>
    <t>Translational</t>
  </si>
  <si>
    <t>Rotational</t>
  </si>
  <si>
    <t>Vibrational</t>
  </si>
  <si>
    <t>Vibration    1</t>
  </si>
  <si>
    <t>Q</t>
  </si>
  <si>
    <t>Total Bot</t>
  </si>
  <si>
    <t>Total V=0</t>
  </si>
  <si>
    <t>Vib (Bot)</t>
  </si>
  <si>
    <t>Vib (Bot) 1</t>
  </si>
  <si>
    <t>Vib (V=0)</t>
  </si>
  <si>
    <t>Vib (V=0) 1</t>
  </si>
  <si>
    <t>m (Kg)</t>
  </si>
  <si>
    <t>E (Thermal)</t>
  </si>
  <si>
    <t>A</t>
  </si>
  <si>
    <t>T (K)</t>
  </si>
  <si>
    <t xml:space="preserve">Rotational constants (GHZ)       </t>
  </si>
  <si>
    <t>Ix</t>
  </si>
  <si>
    <t>Iy</t>
  </si>
  <si>
    <t>Iz</t>
  </si>
  <si>
    <t>Rotational symmetry number</t>
  </si>
  <si>
    <t>σ</t>
  </si>
  <si>
    <r>
      <t xml:space="preserve">Vibrational temperatures  (Kelvin)    </t>
    </r>
    <r>
      <rPr>
        <b/>
        <sz val="11"/>
        <color theme="1"/>
        <rFont val="Aptos Narrow"/>
        <family val="2"/>
      </rPr>
      <t>ϑ</t>
    </r>
    <r>
      <rPr>
        <b/>
        <sz val="8"/>
        <color theme="1"/>
        <rFont val="Aptos Narrow"/>
        <family val="2"/>
      </rPr>
      <t>vib,i</t>
    </r>
  </si>
  <si>
    <r>
      <t>k</t>
    </r>
    <r>
      <rPr>
        <b/>
        <sz val="8"/>
        <color theme="1"/>
        <rFont val="Aptos Narrow"/>
        <family val="2"/>
        <scheme val="minor"/>
      </rPr>
      <t>b</t>
    </r>
    <r>
      <rPr>
        <b/>
        <sz val="11"/>
        <color theme="1"/>
        <rFont val="Aptos Narrow"/>
        <family val="2"/>
        <scheme val="minor"/>
      </rPr>
      <t xml:space="preserve"> (J/K)</t>
    </r>
  </si>
  <si>
    <r>
      <t>N</t>
    </r>
    <r>
      <rPr>
        <b/>
        <sz val="8"/>
        <color theme="1"/>
        <rFont val="Aptos Narrow"/>
        <family val="2"/>
        <scheme val="minor"/>
      </rPr>
      <t>AVO</t>
    </r>
    <r>
      <rPr>
        <b/>
        <sz val="11"/>
        <color theme="1"/>
        <rFont val="Aptos Narrow"/>
        <family val="2"/>
        <scheme val="minor"/>
      </rPr>
      <t xml:space="preserve"> (mol-1)</t>
    </r>
  </si>
  <si>
    <r>
      <t>T</t>
    </r>
    <r>
      <rPr>
        <b/>
        <sz val="8"/>
        <color theme="1"/>
        <rFont val="Aptos Narrow"/>
        <family val="2"/>
        <scheme val="minor"/>
      </rPr>
      <t>amb</t>
    </r>
    <r>
      <rPr>
        <b/>
        <sz val="11"/>
        <color theme="1"/>
        <rFont val="Aptos Narrow"/>
        <family val="2"/>
        <scheme val="minor"/>
      </rPr>
      <t xml:space="preserve"> (K)</t>
    </r>
  </si>
  <si>
    <t>ZPE (Hartree)</t>
  </si>
  <si>
    <t>ZPE (kcal/mol)</t>
  </si>
  <si>
    <t>ZPE (J)</t>
  </si>
  <si>
    <t>ν (Hz)</t>
  </si>
  <si>
    <r>
      <t>Frequencies (cm</t>
    </r>
    <r>
      <rPr>
        <vertAlign val="superscript"/>
        <sz val="11"/>
        <color theme="1"/>
        <rFont val="Aptos Narrow"/>
        <family val="2"/>
        <scheme val="minor"/>
      </rPr>
      <t>-1</t>
    </r>
    <r>
      <rPr>
        <sz val="11"/>
        <color theme="1"/>
        <rFont val="Aptos Narrow"/>
        <family val="2"/>
        <scheme val="minor"/>
      </rPr>
      <t>)</t>
    </r>
  </si>
  <si>
    <t>Frequencies (Hz)</t>
  </si>
  <si>
    <t>c (cm/s)</t>
  </si>
  <si>
    <r>
      <t>Q</t>
    </r>
    <r>
      <rPr>
        <b/>
        <vertAlign val="subscript"/>
        <sz val="12"/>
        <color theme="1"/>
        <rFont val="Aptos Narrow"/>
        <family val="2"/>
        <scheme val="minor"/>
      </rPr>
      <t xml:space="preserve">vib,i </t>
    </r>
  </si>
  <si>
    <t>N_vib</t>
  </si>
  <si>
    <r>
      <t>Q</t>
    </r>
    <r>
      <rPr>
        <b/>
        <vertAlign val="subscript"/>
        <sz val="14"/>
        <color theme="1"/>
        <rFont val="Aptos Narrow"/>
        <family val="2"/>
        <scheme val="minor"/>
      </rPr>
      <t>vib</t>
    </r>
  </si>
  <si>
    <t>P (Pa)</t>
  </si>
  <si>
    <t>T=298,15K</t>
  </si>
  <si>
    <r>
      <t>Q</t>
    </r>
    <r>
      <rPr>
        <b/>
        <vertAlign val="subscript"/>
        <sz val="12"/>
        <color theme="1"/>
        <rFont val="Aptos Narrow"/>
        <family val="2"/>
        <scheme val="minor"/>
      </rPr>
      <t>trasl</t>
    </r>
    <r>
      <rPr>
        <b/>
        <sz val="12"/>
        <color theme="1"/>
        <rFont val="Aptos Narrow"/>
        <family val="2"/>
        <scheme val="minor"/>
      </rPr>
      <t xml:space="preserve"> </t>
    </r>
  </si>
  <si>
    <t>Qtrasl</t>
  </si>
  <si>
    <t>Sperimentale</t>
  </si>
  <si>
    <t>Gaussian</t>
  </si>
  <si>
    <t>Gaussian Output:</t>
  </si>
  <si>
    <t>freq :ν , T = 298,15K</t>
  </si>
  <si>
    <r>
      <rPr>
        <b/>
        <sz val="11"/>
        <color rgb="FF0070C0"/>
        <rFont val="Aptos Narrow"/>
        <family val="2"/>
        <scheme val="minor"/>
      </rPr>
      <t>Frequencies (Hz)</t>
    </r>
    <r>
      <rPr>
        <b/>
        <sz val="11"/>
        <color theme="1"/>
        <rFont val="Aptos Narrow"/>
        <family val="2"/>
        <scheme val="minor"/>
      </rPr>
      <t xml:space="preserve"> /</t>
    </r>
    <r>
      <rPr>
        <b/>
        <sz val="11"/>
        <color rgb="FFFF0000"/>
        <rFont val="Aptos Narrow"/>
        <family val="2"/>
        <scheme val="minor"/>
      </rPr>
      <t xml:space="preserve"> T (K)</t>
    </r>
  </si>
  <si>
    <r>
      <t>Q</t>
    </r>
    <r>
      <rPr>
        <b/>
        <vertAlign val="subscript"/>
        <sz val="14"/>
        <color theme="1"/>
        <rFont val="Aptos Narrow"/>
        <family val="2"/>
        <scheme val="minor"/>
      </rPr>
      <t>rot</t>
    </r>
  </si>
  <si>
    <r>
      <t>Q</t>
    </r>
    <r>
      <rPr>
        <b/>
        <vertAlign val="subscript"/>
        <sz val="12"/>
        <color theme="1"/>
        <rFont val="Aptos Narrow"/>
        <family val="2"/>
        <scheme val="minor"/>
      </rPr>
      <t>rot</t>
    </r>
  </si>
  <si>
    <t>Confronto:</t>
  </si>
  <si>
    <t xml:space="preserve"> Rotational temperatures (K)    </t>
  </si>
  <si>
    <r>
      <t xml:space="preserve"> Moments of inertia (uma</t>
    </r>
    <r>
      <rPr>
        <sz val="11"/>
        <color theme="1"/>
        <rFont val="Aptos Narrow"/>
        <family val="2"/>
      </rPr>
      <t>×</t>
    </r>
    <r>
      <rPr>
        <sz val="11"/>
        <color theme="1"/>
        <rFont val="Aptos Narrow"/>
        <family val="2"/>
        <scheme val="minor"/>
      </rPr>
      <t>Å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)</t>
    </r>
  </si>
  <si>
    <r>
      <t xml:space="preserve"> Moments of inertia (kg</t>
    </r>
    <r>
      <rPr>
        <sz val="11"/>
        <color theme="1"/>
        <rFont val="Aptos Narrow"/>
        <family val="2"/>
      </rPr>
      <t>×</t>
    </r>
    <r>
      <rPr>
        <sz val="11"/>
        <color theme="1"/>
        <rFont val="Aptos Narrow"/>
        <family val="2"/>
        <scheme val="minor"/>
      </rPr>
      <t>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)</t>
    </r>
  </si>
  <si>
    <t>E_SCF [Hartree]</t>
  </si>
  <si>
    <t>E_SCF [J]</t>
  </si>
  <si>
    <t>ZPE [J]</t>
  </si>
  <si>
    <r>
      <t>g</t>
    </r>
    <r>
      <rPr>
        <vertAlign val="subscript"/>
        <sz val="12"/>
        <color theme="1"/>
        <rFont val="Aptos Narrow"/>
        <family val="2"/>
        <scheme val="minor"/>
      </rPr>
      <t>el</t>
    </r>
    <r>
      <rPr>
        <sz val="12"/>
        <color theme="1"/>
        <rFont val="Aptos Narrow"/>
        <family val="2"/>
        <scheme val="minor"/>
      </rPr>
      <t xml:space="preserve"> (spin multiplicity)</t>
    </r>
  </si>
  <si>
    <r>
      <t>Q</t>
    </r>
    <r>
      <rPr>
        <vertAlign val="subscript"/>
        <sz val="12"/>
        <color theme="1"/>
        <rFont val="Aptos Narrow"/>
        <family val="2"/>
        <scheme val="minor"/>
      </rPr>
      <t>el</t>
    </r>
  </si>
  <si>
    <t>Fattore che balla:</t>
  </si>
  <si>
    <t>Tamb:</t>
  </si>
  <si>
    <r>
      <t>K</t>
    </r>
    <r>
      <rPr>
        <vertAlign val="subscript"/>
        <sz val="11"/>
        <color theme="1"/>
        <rFont val="Aptos Narrow"/>
        <family val="2"/>
        <scheme val="minor"/>
      </rPr>
      <t>B</t>
    </r>
    <r>
      <rPr>
        <sz val="11"/>
        <color theme="1"/>
        <rFont val="Aptos Narrow"/>
        <family val="2"/>
        <scheme val="minor"/>
      </rPr>
      <t>*T</t>
    </r>
  </si>
  <si>
    <r>
      <t>E</t>
    </r>
    <r>
      <rPr>
        <vertAlign val="subscript"/>
        <sz val="12"/>
        <color theme="1"/>
        <rFont val="Aptos Narrow"/>
        <family val="2"/>
        <scheme val="minor"/>
      </rPr>
      <t>el</t>
    </r>
    <r>
      <rPr>
        <sz val="12"/>
        <color theme="1"/>
        <rFont val="Aptos Narrow"/>
        <family val="2"/>
        <scheme val="minor"/>
      </rPr>
      <t xml:space="preserve"> = E_SCF + ZPE</t>
    </r>
  </si>
  <si>
    <t>freq:  9,24E12 Hz</t>
  </si>
  <si>
    <r>
      <t>Q</t>
    </r>
    <r>
      <rPr>
        <vertAlign val="subscript"/>
        <sz val="14"/>
        <color theme="1"/>
        <rFont val="Aptos Narrow"/>
        <family val="2"/>
        <scheme val="minor"/>
      </rPr>
      <t>el</t>
    </r>
  </si>
  <si>
    <r>
      <t>Q</t>
    </r>
    <r>
      <rPr>
        <b/>
        <vertAlign val="subscript"/>
        <sz val="14"/>
        <color theme="1"/>
        <rFont val="Aptos Narrow"/>
        <family val="2"/>
        <scheme val="minor"/>
      </rPr>
      <t>trasl</t>
    </r>
    <r>
      <rPr>
        <b/>
        <sz val="14"/>
        <color theme="1"/>
        <rFont val="Aptos Narrow"/>
        <family val="2"/>
        <scheme val="minor"/>
      </rPr>
      <t xml:space="preserve"> </t>
    </r>
  </si>
  <si>
    <r>
      <t>Q</t>
    </r>
    <r>
      <rPr>
        <b/>
        <vertAlign val="subscript"/>
        <sz val="14"/>
        <color theme="1"/>
        <rFont val="Aptos Narrow"/>
        <family val="2"/>
        <scheme val="minor"/>
      </rPr>
      <t>tot</t>
    </r>
  </si>
  <si>
    <t>Estimated Internal Energy</t>
  </si>
  <si>
    <t>Traslational</t>
  </si>
  <si>
    <t>Electronical</t>
  </si>
  <si>
    <t>Fixed T=300K</t>
  </si>
  <si>
    <t>Estimated Entropy</t>
  </si>
  <si>
    <t>[J /K ]</t>
  </si>
  <si>
    <r>
      <t>[kg x m</t>
    </r>
    <r>
      <rPr>
        <vertAlign val="superscript"/>
        <sz val="11"/>
        <color theme="1"/>
        <rFont val="Aptos Narrow"/>
        <family val="2"/>
        <scheme val="minor"/>
      </rPr>
      <t>2</t>
    </r>
    <r>
      <rPr>
        <sz val="11"/>
        <color theme="1"/>
        <rFont val="Aptos Narrow"/>
        <family val="2"/>
        <scheme val="minor"/>
      </rPr>
      <t>]</t>
    </r>
  </si>
  <si>
    <r>
      <t>ϑ</t>
    </r>
    <r>
      <rPr>
        <sz val="9.6999999999999993"/>
        <color theme="1"/>
        <rFont val="Aptos Narrow"/>
        <family val="2"/>
      </rPr>
      <t>rot</t>
    </r>
    <r>
      <rPr>
        <sz val="11"/>
        <color theme="1"/>
        <rFont val="Aptos Narrow"/>
        <family val="2"/>
      </rPr>
      <t xml:space="preserve"> [K]</t>
    </r>
  </si>
  <si>
    <t>Heat capacity at constant volume</t>
  </si>
  <si>
    <t>/</t>
  </si>
  <si>
    <r>
      <t>C</t>
    </r>
    <r>
      <rPr>
        <b/>
        <sz val="8"/>
        <color theme="1"/>
        <rFont val="Aptos Narrow"/>
        <family val="2"/>
        <scheme val="minor"/>
      </rPr>
      <t>V</t>
    </r>
  </si>
  <si>
    <t>ρ_el</t>
  </si>
  <si>
    <t>Heltmotz Free Energy estimated</t>
  </si>
  <si>
    <t>[J/mol]</t>
  </si>
  <si>
    <t>J/mol</t>
  </si>
  <si>
    <t>Kcal/mol</t>
  </si>
  <si>
    <t>Gaussian Output</t>
  </si>
  <si>
    <t>Qrot</t>
  </si>
  <si>
    <t>Variazione percentuale</t>
  </si>
  <si>
    <t>Qtot</t>
  </si>
  <si>
    <t>Confronto con Gaussian:</t>
  </si>
  <si>
    <t>Confronto con</t>
  </si>
  <si>
    <r>
      <t>V (m</t>
    </r>
    <r>
      <rPr>
        <vertAlign val="superscript"/>
        <sz val="11"/>
        <color theme="1"/>
        <rFont val="Aptos Narrow"/>
        <family val="2"/>
        <scheme val="minor"/>
      </rPr>
      <t>3</t>
    </r>
    <r>
      <rPr>
        <sz val="11"/>
        <color theme="1"/>
        <rFont val="Aptos Narrow"/>
        <family val="2"/>
        <scheme val="minor"/>
      </rPr>
      <t>)</t>
    </r>
  </si>
  <si>
    <t>Cal/K mol</t>
  </si>
  <si>
    <t>[J/K]</t>
  </si>
  <si>
    <t>Cal/mol K]</t>
  </si>
  <si>
    <t>Heat capacity at constant pressure</t>
  </si>
  <si>
    <t>Total from data</t>
  </si>
  <si>
    <t xml:space="preserve">  </t>
  </si>
  <si>
    <t>?</t>
  </si>
  <si>
    <t>Gaussian:</t>
  </si>
  <si>
    <t>Qel = 2.00</t>
  </si>
  <si>
    <t>Qvib,i (Tamb≈300K)</t>
  </si>
  <si>
    <r>
      <t>Q</t>
    </r>
    <r>
      <rPr>
        <b/>
        <vertAlign val="subscript"/>
        <sz val="11"/>
        <color theme="1"/>
        <rFont val="Aptos Narrow"/>
        <family val="2"/>
        <scheme val="minor"/>
      </rPr>
      <t>vib,i</t>
    </r>
    <r>
      <rPr>
        <b/>
        <sz val="11"/>
        <color theme="1"/>
        <rFont val="Aptos Narrow"/>
        <family val="2"/>
        <scheme val="minor"/>
      </rPr>
      <t xml:space="preserve"> (Tamb</t>
    </r>
    <r>
      <rPr>
        <b/>
        <sz val="11"/>
        <color theme="1"/>
        <rFont val="Aptos Narrow"/>
        <family val="2"/>
      </rPr>
      <t>≈300K</t>
    </r>
    <r>
      <rPr>
        <b/>
        <sz val="11"/>
        <color theme="1"/>
        <rFont val="Aptos Narrow"/>
        <family val="2"/>
        <scheme val="minor"/>
      </rPr>
      <t>)</t>
    </r>
  </si>
  <si>
    <t>Variazione percentuale:</t>
  </si>
  <si>
    <t>Qel = 1.00</t>
  </si>
  <si>
    <r>
      <t>Q</t>
    </r>
    <r>
      <rPr>
        <vertAlign val="subscript"/>
        <sz val="12"/>
        <color theme="1"/>
        <rFont val="Aptos Narrow"/>
        <family val="2"/>
        <scheme val="minor"/>
      </rPr>
      <t>el</t>
    </r>
    <r>
      <rPr>
        <b/>
        <sz val="11"/>
        <color theme="1"/>
        <rFont val="Aptos Narrow"/>
        <family val="2"/>
        <scheme val="minor"/>
      </rPr>
      <t xml:space="preserve"> (Gaussian: g</t>
    </r>
    <r>
      <rPr>
        <b/>
        <vertAlign val="subscript"/>
        <sz val="11"/>
        <color theme="1"/>
        <rFont val="Aptos Narrow"/>
        <family val="2"/>
        <scheme val="minor"/>
      </rPr>
      <t>el</t>
    </r>
    <r>
      <rPr>
        <b/>
        <sz val="11"/>
        <color theme="1"/>
        <rFont val="Aptos Narrow"/>
        <family val="2"/>
        <scheme val="minor"/>
      </rPr>
      <t>)</t>
    </r>
  </si>
  <si>
    <r>
      <t>Q</t>
    </r>
    <r>
      <rPr>
        <b/>
        <vertAlign val="subscript"/>
        <sz val="14"/>
        <color theme="1"/>
        <rFont val="Aptos Narrow"/>
        <family val="2"/>
        <scheme val="minor"/>
      </rPr>
      <t>vib,tot</t>
    </r>
  </si>
  <si>
    <t>Qvib,tot</t>
  </si>
  <si>
    <t>T(K)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</si>
</sst>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0"/>
    <numFmt numFmtId="165" formatCode="#,##0.000000"/>
    <numFmt numFmtId="166" formatCode="0.000E+00"/>
    <numFmt numFmtId="167" formatCode="0.0000E+00"/>
    <numFmt numFmtId="168" formatCode="#,##0.00000"/>
    <numFmt numFmtId="169" formatCode="0.000"/>
    <numFmt numFmtId="170" formatCode="0.0%"/>
    <numFmt numFmtId="171" formatCode="#,##0.0000"/>
  </numFmts>
  <fonts count="2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</font>
    <font>
      <b/>
      <sz val="8"/>
      <color theme="1"/>
      <name val="Aptos Narrow"/>
      <family val="2"/>
    </font>
    <font>
      <b/>
      <sz val="8"/>
      <color theme="1"/>
      <name val="Aptos Narrow"/>
      <family val="2"/>
      <scheme val="minor"/>
    </font>
    <font>
      <vertAlign val="superscript"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vertAlign val="subscript"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vertAlign val="subscript"/>
      <sz val="14"/>
      <color theme="1"/>
      <name val="Aptos Narrow"/>
      <family val="2"/>
      <scheme val="minor"/>
    </font>
    <font>
      <b/>
      <sz val="12"/>
      <color rgb="FFFF0000"/>
      <name val="Aptos Narrow"/>
      <family val="2"/>
      <scheme val="minor"/>
    </font>
    <font>
      <b/>
      <sz val="11"/>
      <color rgb="FF0070C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sz val="11"/>
      <color theme="1"/>
      <name val="Aptos Narrow"/>
      <family val="2"/>
    </font>
    <font>
      <sz val="8"/>
      <color rgb="FF4D5156"/>
      <name val="Arial"/>
      <family val="2"/>
    </font>
    <font>
      <vertAlign val="subscript"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vertAlign val="subscript"/>
      <sz val="12"/>
      <color theme="1"/>
      <name val="Aptos Narrow"/>
      <family val="2"/>
      <scheme val="minor"/>
    </font>
    <font>
      <vertAlign val="subscript"/>
      <sz val="14"/>
      <color theme="1"/>
      <name val="Aptos Narrow"/>
      <family val="2"/>
      <scheme val="minor"/>
    </font>
    <font>
      <sz val="9.6999999999999993"/>
      <color theme="1"/>
      <name val="Aptos Narrow"/>
      <family val="2"/>
    </font>
    <font>
      <sz val="14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b/>
      <sz val="11"/>
      <color theme="9"/>
      <name val="Aptos Narrow"/>
      <family val="2"/>
      <scheme val="minor"/>
    </font>
    <font>
      <b/>
      <sz val="14"/>
      <color rgb="FF00B05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7D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3" fillId="0" borderId="0" applyFont="0" applyFill="0" applyBorder="0" applyAlignment="0" applyProtection="0"/>
  </cellStyleXfs>
  <cellXfs count="14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9" fillId="0" borderId="0" xfId="0" applyNumberFormat="1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1" fontId="12" fillId="0" borderId="5" xfId="0" applyNumberFormat="1" applyFont="1" applyBorder="1" applyAlignment="1">
      <alignment horizontal="center" vertical="center"/>
    </xf>
    <xf numFmtId="11" fontId="12" fillId="0" borderId="6" xfId="0" applyNumberFormat="1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1" fontId="14" fillId="0" borderId="12" xfId="0" applyNumberFormat="1" applyFont="1" applyBorder="1" applyAlignment="1">
      <alignment horizontal="center" vertical="center"/>
    </xf>
    <xf numFmtId="11" fontId="13" fillId="0" borderId="9" xfId="0" applyNumberFormat="1" applyFont="1" applyBorder="1" applyAlignment="1">
      <alignment horizontal="center" vertical="center"/>
    </xf>
    <xf numFmtId="0" fontId="16" fillId="0" borderId="0" xfId="0" applyFont="1"/>
    <xf numFmtId="0" fontId="18" fillId="0" borderId="0" xfId="0" applyFont="1" applyAlignment="1">
      <alignment horizontal="center" vertical="center"/>
    </xf>
    <xf numFmtId="168" fontId="18" fillId="0" borderId="0" xfId="0" applyNumberFormat="1" applyFont="1" applyAlignment="1">
      <alignment horizontal="center" vertical="center"/>
    </xf>
    <xf numFmtId="11" fontId="18" fillId="0" borderId="0" xfId="0" applyNumberFormat="1" applyFont="1" applyAlignment="1">
      <alignment horizontal="center" vertical="center"/>
    </xf>
    <xf numFmtId="11" fontId="18" fillId="0" borderId="7" xfId="0" applyNumberFormat="1" applyFont="1" applyBorder="1" applyAlignment="1">
      <alignment horizontal="center" vertical="center"/>
    </xf>
    <xf numFmtId="11" fontId="18" fillId="0" borderId="9" xfId="0" applyNumberFormat="1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11" fontId="18" fillId="0" borderId="8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1" fontId="13" fillId="0" borderId="0" xfId="0" applyNumberFormat="1" applyFont="1" applyAlignment="1">
      <alignment horizontal="center" vertical="center"/>
    </xf>
    <xf numFmtId="0" fontId="9" fillId="0" borderId="1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9" fillId="0" borderId="10" xfId="0" applyFon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6" xfId="0" applyNumberFormat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1" fontId="0" fillId="2" borderId="14" xfId="0" applyNumberFormat="1" applyFill="1" applyBorder="1" applyAlignment="1">
      <alignment horizontal="center" vertical="center"/>
    </xf>
    <xf numFmtId="11" fontId="0" fillId="2" borderId="8" xfId="0" applyNumberForma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11" fontId="1" fillId="2" borderId="7" xfId="0" applyNumberFormat="1" applyFont="1" applyFill="1" applyBorder="1" applyAlignment="1">
      <alignment horizontal="center" vertical="center"/>
    </xf>
    <xf numFmtId="11" fontId="14" fillId="2" borderId="7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  <xf numFmtId="164" fontId="1" fillId="2" borderId="7" xfId="0" applyNumberFormat="1" applyFont="1" applyFill="1" applyBorder="1" applyAlignment="1">
      <alignment horizontal="center" vertical="center"/>
    </xf>
    <xf numFmtId="164" fontId="1" fillId="2" borderId="8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0" fontId="1" fillId="0" borderId="0" xfId="1" applyNumberFormat="1" applyFont="1" applyAlignment="1">
      <alignment horizontal="center" vertical="center"/>
    </xf>
    <xf numFmtId="169" fontId="1" fillId="2" borderId="5" xfId="0" applyNumberFormat="1" applyFont="1" applyFill="1" applyBorder="1" applyAlignment="1">
      <alignment horizontal="center" vertical="center"/>
    </xf>
    <xf numFmtId="169" fontId="25" fillId="2" borderId="6" xfId="0" applyNumberFormat="1" applyFont="1" applyFill="1" applyBorder="1" applyAlignment="1">
      <alignment horizontal="center" vertical="center"/>
    </xf>
    <xf numFmtId="11" fontId="1" fillId="2" borderId="6" xfId="0" applyNumberFormat="1" applyFont="1" applyFill="1" applyBorder="1" applyAlignment="1">
      <alignment horizontal="center" vertical="center"/>
    </xf>
    <xf numFmtId="169" fontId="1" fillId="2" borderId="6" xfId="0" applyNumberFormat="1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167" fontId="0" fillId="2" borderId="8" xfId="0" applyNumberFormat="1" applyFill="1" applyBorder="1" applyAlignment="1">
      <alignment horizontal="center" vertical="center"/>
    </xf>
    <xf numFmtId="11" fontId="24" fillId="0" borderId="5" xfId="0" applyNumberFormat="1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11" fontId="0" fillId="0" borderId="4" xfId="0" applyNumberFormat="1" applyBorder="1" applyAlignment="1">
      <alignment horizontal="center" vertical="center"/>
    </xf>
    <xf numFmtId="11" fontId="24" fillId="0" borderId="6" xfId="0" applyNumberFormat="1" applyFont="1" applyBorder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164" fontId="27" fillId="2" borderId="7" xfId="0" applyNumberFormat="1" applyFont="1" applyFill="1" applyBorder="1" applyAlignment="1">
      <alignment horizontal="center" vertical="center"/>
    </xf>
    <xf numFmtId="169" fontId="27" fillId="2" borderId="0" xfId="0" applyNumberFormat="1" applyFont="1" applyFill="1" applyAlignment="1">
      <alignment horizontal="center" vertical="center"/>
    </xf>
    <xf numFmtId="11" fontId="25" fillId="0" borderId="7" xfId="0" applyNumberFormat="1" applyFont="1" applyBorder="1" applyAlignment="1">
      <alignment horizontal="center" vertical="center"/>
    </xf>
    <xf numFmtId="11" fontId="14" fillId="2" borderId="9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11" fontId="12" fillId="0" borderId="0" xfId="0" applyNumberFormat="1" applyFont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11" fontId="12" fillId="0" borderId="13" xfId="0" applyNumberFormat="1" applyFont="1" applyBorder="1" applyAlignment="1">
      <alignment horizontal="center" vertical="center"/>
    </xf>
    <xf numFmtId="11" fontId="12" fillId="0" borderId="14" xfId="0" applyNumberFormat="1" applyFont="1" applyBorder="1" applyAlignment="1">
      <alignment horizontal="center" vertical="center"/>
    </xf>
    <xf numFmtId="169" fontId="14" fillId="2" borderId="0" xfId="0" applyNumberFormat="1" applyFont="1" applyFill="1" applyAlignment="1">
      <alignment horizontal="center" vertical="center"/>
    </xf>
    <xf numFmtId="169" fontId="25" fillId="2" borderId="5" xfId="0" applyNumberFormat="1" applyFont="1" applyFill="1" applyBorder="1" applyAlignment="1">
      <alignment horizontal="center" vertical="center"/>
    </xf>
    <xf numFmtId="164" fontId="25" fillId="2" borderId="7" xfId="0" applyNumberFormat="1" applyFont="1" applyFill="1" applyBorder="1" applyAlignment="1">
      <alignment horizontal="center" vertical="center"/>
    </xf>
    <xf numFmtId="164" fontId="14" fillId="2" borderId="7" xfId="0" applyNumberFormat="1" applyFont="1" applyFill="1" applyBorder="1" applyAlignment="1">
      <alignment horizontal="center" vertical="center"/>
    </xf>
    <xf numFmtId="164" fontId="14" fillId="2" borderId="0" xfId="0" applyNumberFormat="1" applyFont="1" applyFill="1" applyAlignment="1">
      <alignment horizontal="center" vertical="center"/>
    </xf>
    <xf numFmtId="9" fontId="1" fillId="0" borderId="0" xfId="1" applyFont="1" applyAlignment="1">
      <alignment horizontal="center" vertical="center"/>
    </xf>
    <xf numFmtId="3" fontId="0" fillId="0" borderId="10" xfId="0" applyNumberFormat="1" applyBorder="1" applyAlignment="1">
      <alignment horizontal="center" vertical="center"/>
    </xf>
    <xf numFmtId="11" fontId="0" fillId="0" borderId="12" xfId="0" applyNumberFormat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11" fontId="0" fillId="0" borderId="13" xfId="0" applyNumberFormat="1" applyBorder="1" applyAlignment="1">
      <alignment horizontal="center" vertical="center"/>
    </xf>
    <xf numFmtId="11" fontId="0" fillId="0" borderId="14" xfId="0" applyNumberFormat="1" applyBorder="1" applyAlignment="1">
      <alignment horizontal="center" vertical="center"/>
    </xf>
    <xf numFmtId="11" fontId="28" fillId="0" borderId="9" xfId="0" applyNumberFormat="1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0" fontId="1" fillId="0" borderId="6" xfId="1" applyNumberFormat="1" applyFont="1" applyBorder="1" applyAlignment="1">
      <alignment horizontal="center" vertical="center"/>
    </xf>
    <xf numFmtId="11" fontId="13" fillId="0" borderId="5" xfId="0" applyNumberFormat="1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/>
    </xf>
    <xf numFmtId="170" fontId="0" fillId="0" borderId="6" xfId="1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9" fontId="27" fillId="2" borderId="4" xfId="0" applyNumberFormat="1" applyFont="1" applyFill="1" applyBorder="1" applyAlignment="1">
      <alignment horizontal="center" vertical="center"/>
    </xf>
    <xf numFmtId="169" fontId="14" fillId="2" borderId="4" xfId="0" applyNumberFormat="1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71" fontId="0" fillId="0" borderId="15" xfId="0" applyNumberFormat="1" applyBorder="1" applyAlignment="1">
      <alignment horizontal="center" vertical="center"/>
    </xf>
    <xf numFmtId="171" fontId="0" fillId="0" borderId="14" xfId="0" applyNumberFormat="1" applyBorder="1" applyAlignment="1">
      <alignment horizontal="center" vertical="center"/>
    </xf>
    <xf numFmtId="11" fontId="13" fillId="0" borderId="7" xfId="0" applyNumberFormat="1" applyFont="1" applyBorder="1" applyAlignment="1">
      <alignment horizontal="center" vertical="center"/>
    </xf>
    <xf numFmtId="11" fontId="12" fillId="0" borderId="10" xfId="0" applyNumberFormat="1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26" fillId="0" borderId="8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colors>
    <mruColors>
      <color rgb="FFFFFF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/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2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369742</xdr:colOff>
      <xdr:row>73</xdr:row>
      <xdr:rowOff>53683</xdr:rowOff>
    </xdr:from>
    <xdr:ext cx="2764849" cy="10300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F3DCD029-9615-E1CE-C8E0-6AC8052B90E5}"/>
                </a:ext>
              </a:extLst>
            </xdr:cNvPr>
            <xdr:cNvSpPr txBox="1"/>
          </xdr:nvSpPr>
          <xdr:spPr>
            <a:xfrm>
              <a:off x="369742" y="13726388"/>
              <a:ext cx="2764849" cy="1030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vib</m:t>
                        </m:r>
                      </m:sub>
                    </m:sSub>
                    <m:r>
                      <a:rPr lang="it-IT" sz="1800" b="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∏"/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𝑣𝑖𝑏</m:t>
                            </m:r>
                          </m:sub>
                        </m:sSub>
                      </m:sup>
                      <m:e>
                        <m:f>
                          <m:f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m:rPr>
                                <m:sty m:val="p"/>
                              </m:rPr>
                              <a:rPr lang="it-IT" sz="1800" b="0" i="0">
                                <a:latin typeface="Cambria Math" panose="02040503050406030204" pitchFamily="18" charset="0"/>
                              </a:rPr>
                              <m:t>exp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⁡(−</m:t>
                            </m:r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den>
                            </m:f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 )</m:t>
                            </m:r>
                          </m:num>
                          <m:den>
                            <m:r>
                              <a:rPr lang="it-IT" sz="1800" b="0" i="0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m:rPr>
                                <m:sty m:val="p"/>
                              </m:rPr>
                              <a:rPr lang="it-IT" sz="1800" b="0" i="0">
                                <a:latin typeface="Cambria Math" panose="02040503050406030204" pitchFamily="18" charset="0"/>
                              </a:rPr>
                              <m:t>exp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⁡(−</m:t>
                            </m:r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den>
                            </m:f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F3DCD029-9615-E1CE-C8E0-6AC8052B90E5}"/>
                </a:ext>
              </a:extLst>
            </xdr:cNvPr>
            <xdr:cNvSpPr txBox="1"/>
          </xdr:nvSpPr>
          <xdr:spPr>
            <a:xfrm>
              <a:off x="369742" y="13726388"/>
              <a:ext cx="2764849" cy="1030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Q_vib=∏_(𝑖=1)^(𝑁_𝑣𝑖𝑏)▒(exp⁡(−(ℎ𝜈_𝑖)/(</a:t>
              </a:r>
              <a:r>
                <a:rPr lang="it-IT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〖2𝑘〗_𝐵 𝑇) </a:t>
              </a:r>
              <a:r>
                <a:rPr lang="it-IT" sz="1800" b="0" i="0">
                  <a:latin typeface="Cambria Math" panose="02040503050406030204" pitchFamily="18" charset="0"/>
                </a:rPr>
                <a:t> ))/(1−exp⁡(−(ℎ𝜈_𝑖)/(𝑘_𝐵 𝑇)))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352424</xdr:colOff>
      <xdr:row>84</xdr:row>
      <xdr:rowOff>19049</xdr:rowOff>
    </xdr:from>
    <xdr:ext cx="3379644" cy="688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2631BD75-870D-D9D3-7D96-15324499B758}"/>
                </a:ext>
              </a:extLst>
            </xdr:cNvPr>
            <xdr:cNvSpPr txBox="1"/>
          </xdr:nvSpPr>
          <xdr:spPr>
            <a:xfrm>
              <a:off x="352424" y="15795913"/>
              <a:ext cx="3379644" cy="688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𝑡𝑟𝑎𝑠𝑙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𝜋</m:t>
                                </m:r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num>
                              <m:den>
                                <m:sSup>
                                  <m:sSup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h</m:t>
                                    </m:r>
                                  </m:e>
                                  <m:sup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3/2</m:t>
                        </m:r>
                      </m:sup>
                    </m:sSup>
                    <m:r>
                      <a:rPr lang="it-IT" sz="1800" b="0" i="1">
                        <a:latin typeface="Cambria Math" panose="02040503050406030204" pitchFamily="18" charset="0"/>
                      </a:rPr>
                      <m:t>⋅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2631BD75-870D-D9D3-7D96-15324499B758}"/>
                </a:ext>
              </a:extLst>
            </xdr:cNvPr>
            <xdr:cNvSpPr txBox="1"/>
          </xdr:nvSpPr>
          <xdr:spPr>
            <a:xfrm>
              <a:off x="352424" y="15795913"/>
              <a:ext cx="3379644" cy="688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800" b="0" i="0">
                  <a:latin typeface="Cambria Math" panose="02040503050406030204" pitchFamily="18" charset="0"/>
                </a:rPr>
                <a:t>𝑄_𝑡𝑟𝑎𝑠𝑙=((2𝜋𝑚𝑘_𝐵 𝑇)/ℎ^2 )^(3/2)⋅(𝑘_𝐵 𝑇)/𝑃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127289</xdr:colOff>
      <xdr:row>103</xdr:row>
      <xdr:rowOff>157596</xdr:rowOff>
    </xdr:from>
    <xdr:ext cx="4141643" cy="5943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86CAC848-3784-4512-F72A-739A70E5F6A3}"/>
                </a:ext>
              </a:extLst>
            </xdr:cNvPr>
            <xdr:cNvSpPr txBox="1"/>
          </xdr:nvSpPr>
          <xdr:spPr>
            <a:xfrm>
              <a:off x="127289" y="19519323"/>
              <a:ext cx="4141643" cy="594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𝑟𝑜𝑡</m:t>
                        </m:r>
                      </m:sub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𝐷</m:t>
                        </m:r>
                      </m:sup>
                    </m:sSubSup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8</m:t>
                        </m:r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(2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3/2</m:t>
                            </m:r>
                          </m:sup>
                        </m:sSup>
                        <m:rad>
                          <m:radPr>
                            <m:degHide m:val="on"/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𝑧</m:t>
                                </m:r>
                              </m:sub>
                            </m:sSub>
                          </m:e>
                        </m:rad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𝜎</m:t>
                        </m:r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2" name="CasellaDiTesto 1">
              <a:extLst>
                <a:ext uri="{FF2B5EF4-FFF2-40B4-BE49-F238E27FC236}">
                  <a16:creationId xmlns:a16="http://schemas.microsoft.com/office/drawing/2014/main" id="{86CAC848-3784-4512-F72A-739A70E5F6A3}"/>
                </a:ext>
              </a:extLst>
            </xdr:cNvPr>
            <xdr:cNvSpPr txBox="1"/>
          </xdr:nvSpPr>
          <xdr:spPr>
            <a:xfrm>
              <a:off x="127289" y="19519323"/>
              <a:ext cx="4141643" cy="594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800" b="0" i="0">
                  <a:latin typeface="Cambria Math" panose="02040503050406030204" pitchFamily="18" charset="0"/>
                </a:rPr>
                <a:t>𝑄_𝑟𝑜𝑡^3𝐷=(8𝜋^2 〖(2𝜋𝑘〗_𝐵 〖𝑇)〗^(3/2) √(𝐼_𝑥 𝐼_𝑦 𝐼_𝑧 ))/(𝜎ℎ^3 )</a:t>
              </a:r>
              <a:endParaRPr lang="it-IT" sz="1100"/>
            </a:p>
          </xdr:txBody>
        </xdr:sp>
      </mc:Fallback>
    </mc:AlternateContent>
    <xdr:clientData/>
  </xdr:oneCellAnchor>
  <xdr:twoCellAnchor editAs="oneCell">
    <xdr:from>
      <xdr:col>8</xdr:col>
      <xdr:colOff>675409</xdr:colOff>
      <xdr:row>6</xdr:row>
      <xdr:rowOff>60612</xdr:rowOff>
    </xdr:from>
    <xdr:to>
      <xdr:col>10</xdr:col>
      <xdr:colOff>1117022</xdr:colOff>
      <xdr:row>19</xdr:row>
      <xdr:rowOff>162032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2A5E4755-3EDF-8EF8-47F0-E0F6828508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72454" y="1246907"/>
          <a:ext cx="2987386" cy="269914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126</xdr:row>
      <xdr:rowOff>0</xdr:rowOff>
    </xdr:from>
    <xdr:ext cx="4141643" cy="452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679924ED-5B29-4B48-B6CD-7468E373086F}"/>
                </a:ext>
              </a:extLst>
            </xdr:cNvPr>
            <xdr:cNvSpPr txBox="1"/>
          </xdr:nvSpPr>
          <xdr:spPr>
            <a:xfrm>
              <a:off x="0" y="23777864"/>
              <a:ext cx="414164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⋅</m:t>
                    </m:r>
                    <m:sSup>
                      <m:s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𝑒𝑙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𝐵</m:t>
                                </m:r>
                              </m:sub>
                            </m:s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679924ED-5B29-4B48-B6CD-7468E373086F}"/>
                </a:ext>
              </a:extLst>
            </xdr:cNvPr>
            <xdr:cNvSpPr txBox="1"/>
          </xdr:nvSpPr>
          <xdr:spPr>
            <a:xfrm>
              <a:off x="0" y="23777864"/>
              <a:ext cx="414164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800" b="0" i="0">
                  <a:latin typeface="Cambria Math" panose="02040503050406030204" pitchFamily="18" charset="0"/>
                </a:rPr>
                <a:t>Q_el=𝑔_𝑒𝑙⋅𝑒^(−𝐸_𝑒𝑙/(𝑘_𝐵 𝑇))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216478</xdr:colOff>
      <xdr:row>153</xdr:row>
      <xdr:rowOff>114298</xdr:rowOff>
    </xdr:from>
    <xdr:ext cx="3717348" cy="5750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11D2413E-196B-838C-0CAA-AE3CDCD2FFA7}"/>
                </a:ext>
              </a:extLst>
            </xdr:cNvPr>
            <xdr:cNvSpPr txBox="1"/>
          </xdr:nvSpPr>
          <xdr:spPr>
            <a:xfrm>
              <a:off x="216478" y="29408003"/>
              <a:ext cx="3717348" cy="5750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8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𝑡𝑟𝑎𝑠𝑙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×</m:t>
                    </m:r>
                    <m:sSubSup>
                      <m:sSub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𝑟𝑜𝑡</m:t>
                        </m:r>
                      </m:sub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𝐷</m:t>
                        </m:r>
                      </m:sup>
                    </m:sSubSup>
                    <m:r>
                      <a:rPr lang="it-IT" sz="1800" b="0" i="1">
                        <a:latin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𝑣𝑖𝑏</m:t>
                        </m:r>
                      </m:sub>
                    </m:sSub>
                  </m:oMath>
                </m:oMathPara>
              </a14:m>
              <a:endParaRPr lang="it-IT" sz="1800" b="0"/>
            </a:p>
            <a:p>
              <a:endParaRPr lang="it-IT" sz="1800"/>
            </a:p>
          </xdr:txBody>
        </xdr:sp>
      </mc:Choice>
      <mc:Fallback xmlns="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11D2413E-196B-838C-0CAA-AE3CDCD2FFA7}"/>
                </a:ext>
              </a:extLst>
            </xdr:cNvPr>
            <xdr:cNvSpPr txBox="1"/>
          </xdr:nvSpPr>
          <xdr:spPr>
            <a:xfrm>
              <a:off x="216478" y="29408003"/>
              <a:ext cx="3717348" cy="5750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800" b="0" i="0">
                  <a:latin typeface="Cambria Math" panose="02040503050406030204" pitchFamily="18" charset="0"/>
                </a:rPr>
                <a:t>𝑄=𝑄_𝑡𝑟𝑎𝑠𝑙×𝑄_𝑒𝑙×𝑄_𝑟𝑜𝑡^3𝐷×𝑄_𝑣𝑖𝑏</a:t>
              </a:r>
              <a:endParaRPr lang="it-IT" sz="1800" b="0"/>
            </a:p>
            <a:p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0</xdr:colOff>
      <xdr:row>140</xdr:row>
      <xdr:rowOff>0</xdr:rowOff>
    </xdr:from>
    <xdr:ext cx="4141643" cy="2843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E35EC1F3-9DE4-4EF4-9D0F-CEAB954E1315}"/>
                </a:ext>
              </a:extLst>
            </xdr:cNvPr>
            <xdr:cNvSpPr txBox="1"/>
          </xdr:nvSpPr>
          <xdr:spPr>
            <a:xfrm>
              <a:off x="0" y="26713295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E35EC1F3-9DE4-4EF4-9D0F-CEAB954E1315}"/>
                </a:ext>
              </a:extLst>
            </xdr:cNvPr>
            <xdr:cNvSpPr txBox="1"/>
          </xdr:nvSpPr>
          <xdr:spPr>
            <a:xfrm>
              <a:off x="0" y="26713295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800" b="0" i="0">
                  <a:latin typeface="Cambria Math" panose="02040503050406030204" pitchFamily="18" charset="0"/>
                </a:rPr>
                <a:t>Q_el=𝑔_𝑒𝑙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141</xdr:row>
      <xdr:rowOff>138545</xdr:rowOff>
    </xdr:from>
    <xdr:ext cx="4141643" cy="2843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7BDC7CC9-BDF1-406A-9283-0E1A2C14868D}"/>
                </a:ext>
              </a:extLst>
            </xdr:cNvPr>
            <xdr:cNvSpPr txBox="1"/>
          </xdr:nvSpPr>
          <xdr:spPr>
            <a:xfrm>
              <a:off x="0" y="27085636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7BDC7CC9-BDF1-406A-9283-0E1A2C14868D}"/>
                </a:ext>
              </a:extLst>
            </xdr:cNvPr>
            <xdr:cNvSpPr txBox="1"/>
          </xdr:nvSpPr>
          <xdr:spPr>
            <a:xfrm>
              <a:off x="0" y="27085636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Q_el=1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993198</xdr:colOff>
      <xdr:row>175</xdr:row>
      <xdr:rowOff>140278</xdr:rowOff>
    </xdr:from>
    <xdr:ext cx="1448666" cy="2975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A69E2CE1-5454-507F-9D60-2F6AE0CDAFD8}"/>
                </a:ext>
              </a:extLst>
            </xdr:cNvPr>
            <xdr:cNvSpPr txBox="1"/>
          </xdr:nvSpPr>
          <xdr:spPr>
            <a:xfrm>
              <a:off x="993198" y="33754869"/>
              <a:ext cx="1448666" cy="297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A69E2CE1-5454-507F-9D60-2F6AE0CDAFD8}"/>
                </a:ext>
              </a:extLst>
            </xdr:cNvPr>
            <xdr:cNvSpPr txBox="1"/>
          </xdr:nvSpPr>
          <xdr:spPr>
            <a:xfrm>
              <a:off x="993198" y="33754869"/>
              <a:ext cx="1448666" cy="297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800" b="0" i="0">
                  <a:latin typeface="Cambria Math" panose="02040503050406030204" pitchFamily="18" charset="0"/>
                </a:rPr>
                <a:t>𝑈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857250</xdr:colOff>
      <xdr:row>201</xdr:row>
      <xdr:rowOff>173182</xdr:rowOff>
    </xdr:from>
    <xdr:ext cx="1448666" cy="2964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7D32B138-629E-425D-9AF1-D589730A346B}"/>
                </a:ext>
              </a:extLst>
            </xdr:cNvPr>
            <xdr:cNvSpPr txBox="1"/>
          </xdr:nvSpPr>
          <xdr:spPr>
            <a:xfrm>
              <a:off x="857250" y="38784068"/>
              <a:ext cx="1448666" cy="2964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7D32B138-629E-425D-9AF1-D589730A346B}"/>
                </a:ext>
              </a:extLst>
            </xdr:cNvPr>
            <xdr:cNvSpPr txBox="1"/>
          </xdr:nvSpPr>
          <xdr:spPr>
            <a:xfrm>
              <a:off x="857250" y="38784068"/>
              <a:ext cx="1448666" cy="2964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𝑆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4</xdr:col>
      <xdr:colOff>92652</xdr:colOff>
      <xdr:row>218</xdr:row>
      <xdr:rowOff>114300</xdr:rowOff>
    </xdr:from>
    <xdr:ext cx="65" cy="172227"/>
    <xdr:sp macro="" textlink="">
      <xdr:nvSpPr>
        <xdr:cNvPr id="13" name="CasellaDiTesto 12">
          <a:extLst>
            <a:ext uri="{FF2B5EF4-FFF2-40B4-BE49-F238E27FC236}">
              <a16:creationId xmlns:a16="http://schemas.microsoft.com/office/drawing/2014/main" id="{27F47627-8ECA-3EFA-A067-7B2C9705EFBD}"/>
            </a:ext>
          </a:extLst>
        </xdr:cNvPr>
        <xdr:cNvSpPr txBox="1"/>
      </xdr:nvSpPr>
      <xdr:spPr>
        <a:xfrm>
          <a:off x="4283652" y="4171257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1047750</xdr:colOff>
      <xdr:row>225</xdr:row>
      <xdr:rowOff>147205</xdr:rowOff>
    </xdr:from>
    <xdr:ext cx="1448666" cy="578172"/>
    <xdr:sp macro="" textlink="">
      <xdr:nvSpPr>
        <xdr:cNvPr id="14" name="CasellaDiTesto 13">
          <a:extLst>
            <a:ext uri="{FF2B5EF4-FFF2-40B4-BE49-F238E27FC236}">
              <a16:creationId xmlns:a16="http://schemas.microsoft.com/office/drawing/2014/main" id="{DCA09DF7-0DAA-4B34-A4A9-BE0FCB09A6ED}"/>
            </a:ext>
          </a:extLst>
        </xdr:cNvPr>
        <xdr:cNvSpPr txBox="1"/>
      </xdr:nvSpPr>
      <xdr:spPr>
        <a:xfrm>
          <a:off x="1047750" y="43035682"/>
          <a:ext cx="1448666" cy="578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it-IT" sz="1800" b="0"/>
        </a:p>
        <a:p>
          <a:endParaRPr lang="it-IT" sz="1800"/>
        </a:p>
      </xdr:txBody>
    </xdr:sp>
    <xdr:clientData/>
  </xdr:oneCellAnchor>
  <xdr:oneCellAnchor>
    <xdr:from>
      <xdr:col>0</xdr:col>
      <xdr:colOff>839932</xdr:colOff>
      <xdr:row>226</xdr:row>
      <xdr:rowOff>25977</xdr:rowOff>
    </xdr:from>
    <xdr:ext cx="1448666" cy="3009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B25DC28D-D26D-432E-90DB-82CEEBBDFFE8}"/>
                </a:ext>
              </a:extLst>
            </xdr:cNvPr>
            <xdr:cNvSpPr txBox="1"/>
          </xdr:nvSpPr>
          <xdr:spPr>
            <a:xfrm>
              <a:off x="839932" y="43096295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B25DC28D-D26D-432E-90DB-82CEEBBDFFE8}"/>
                </a:ext>
              </a:extLst>
            </xdr:cNvPr>
            <xdr:cNvSpPr txBox="1"/>
          </xdr:nvSpPr>
          <xdr:spPr>
            <a:xfrm>
              <a:off x="839932" y="43096295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i="0">
                  <a:latin typeface="Cambria Math" panose="02040503050406030204" pitchFamily="18" charset="0"/>
                </a:rPr>
                <a:t>(</a:t>
              </a:r>
              <a:r>
                <a:rPr lang="it-IT" sz="1800" b="0" i="0">
                  <a:latin typeface="Cambria Math" panose="02040503050406030204" pitchFamily="18" charset="0"/>
                </a:rPr>
                <a:t>𝐶_𝑉 )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3</xdr:col>
      <xdr:colOff>92652</xdr:colOff>
      <xdr:row>242</xdr:row>
      <xdr:rowOff>114300</xdr:rowOff>
    </xdr:from>
    <xdr:ext cx="65" cy="172227"/>
    <xdr:sp macro="" textlink="">
      <xdr:nvSpPr>
        <xdr:cNvPr id="17" name="CasellaDiTesto 16">
          <a:extLst>
            <a:ext uri="{FF2B5EF4-FFF2-40B4-BE49-F238E27FC236}">
              <a16:creationId xmlns:a16="http://schemas.microsoft.com/office/drawing/2014/main" id="{E0C233E2-8E75-4AE8-80F9-B032C667AE04}"/>
            </a:ext>
          </a:extLst>
        </xdr:cNvPr>
        <xdr:cNvSpPr txBox="1"/>
      </xdr:nvSpPr>
      <xdr:spPr>
        <a:xfrm>
          <a:off x="4283652" y="4171257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5</xdr:col>
      <xdr:colOff>1235651</xdr:colOff>
      <xdr:row>196</xdr:row>
      <xdr:rowOff>71005</xdr:rowOff>
    </xdr:from>
    <xdr:ext cx="2184689" cy="4383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46113646-5639-1D44-A2FE-D54E9F8B774F}"/>
                </a:ext>
              </a:extLst>
            </xdr:cNvPr>
            <xdr:cNvSpPr txBox="1"/>
          </xdr:nvSpPr>
          <xdr:spPr>
            <a:xfrm>
              <a:off x="8483310" y="37582187"/>
              <a:ext cx="2184689" cy="438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400" b="0" i="1">
                      <a:latin typeface="Cambria Math" panose="02040503050406030204" pitchFamily="18" charset="0"/>
                    </a:rPr>
                    <m:t>𝐼</m:t>
                  </m:r>
                  <m:r>
                    <a:rPr lang="it-IT" sz="1400" b="0" i="1">
                      <a:latin typeface="Cambria Math" panose="02040503050406030204" pitchFamily="18" charset="0"/>
                    </a:rPr>
                    <m:t>=</m:t>
                  </m:r>
                  <m:rad>
                    <m:radPr>
                      <m:degHide m:val="on"/>
                      <m:ctrlPr>
                        <a:rPr lang="it-IT" sz="1400" b="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bSup>
                        <m:sSubSupPr>
                          <m:ctrlPr>
                            <a:rPr lang="it-IT" sz="14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sub>
                        <m:sup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  <m:r>
                        <a:rPr lang="it-IT" sz="1400" b="0" i="1">
                          <a:latin typeface="Cambria Math" panose="02040503050406030204" pitchFamily="18" charset="0"/>
                        </a:rPr>
                        <m:t>+</m:t>
                      </m:r>
                      <m:sSubSup>
                        <m:sSubSupPr>
                          <m:ctrlPr>
                            <a:rPr lang="it-IT" sz="14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𝑦</m:t>
                          </m:r>
                        </m:sub>
                        <m:sup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  <m:r>
                        <a:rPr lang="it-IT" sz="1400" b="0" i="1">
                          <a:latin typeface="Cambria Math" panose="02040503050406030204" pitchFamily="18" charset="0"/>
                        </a:rPr>
                        <m:t>+</m:t>
                      </m:r>
                      <m:sSubSup>
                        <m:sSubSupPr>
                          <m:ctrlPr>
                            <a:rPr lang="it-IT" sz="14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𝑧</m:t>
                          </m:r>
                        </m:sub>
                        <m:sup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</m:e>
                  </m:rad>
                </m:oMath>
              </a14:m>
              <a:r>
                <a:rPr lang="it-IT" sz="1400"/>
                <a:t> =</a:t>
              </a:r>
            </a:p>
          </xdr:txBody>
        </xdr:sp>
      </mc:Choice>
      <mc:Fallback xmlns="">
        <xdr:sp macro="" textlink="">
          <xdr:nvSpPr>
            <xdr:cNvPr id="12" name="CasellaDiTesto 11">
              <a:extLst>
                <a:ext uri="{FF2B5EF4-FFF2-40B4-BE49-F238E27FC236}">
                  <a16:creationId xmlns:a16="http://schemas.microsoft.com/office/drawing/2014/main" id="{46113646-5639-1D44-A2FE-D54E9F8B774F}"/>
                </a:ext>
              </a:extLst>
            </xdr:cNvPr>
            <xdr:cNvSpPr txBox="1"/>
          </xdr:nvSpPr>
          <xdr:spPr>
            <a:xfrm>
              <a:off x="8483310" y="37582187"/>
              <a:ext cx="2184689" cy="438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400" b="0" i="0">
                  <a:latin typeface="Cambria Math" panose="02040503050406030204" pitchFamily="18" charset="0"/>
                </a:rPr>
                <a:t>𝐼=√(𝐼_𝑥^2+𝐼_𝑦^2+𝐼_𝑧^2 )</a:t>
              </a:r>
              <a:r>
                <a:rPr lang="it-IT" sz="1400"/>
                <a:t> =</a:t>
              </a:r>
            </a:p>
          </xdr:txBody>
        </xdr:sp>
      </mc:Fallback>
    </mc:AlternateContent>
    <xdr:clientData/>
  </xdr:oneCellAnchor>
  <xdr:oneCellAnchor>
    <xdr:from>
      <xdr:col>0</xdr:col>
      <xdr:colOff>1079788</xdr:colOff>
      <xdr:row>248</xdr:row>
      <xdr:rowOff>62346</xdr:rowOff>
    </xdr:from>
    <xdr:ext cx="660689" cy="2956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4ADF3F59-52CF-4361-7970-60B53D3AE590}"/>
                </a:ext>
              </a:extLst>
            </xdr:cNvPr>
            <xdr:cNvSpPr txBox="1"/>
          </xdr:nvSpPr>
          <xdr:spPr>
            <a:xfrm>
              <a:off x="1079788" y="47202437"/>
              <a:ext cx="660689" cy="295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4ADF3F59-52CF-4361-7970-60B53D3AE590}"/>
                </a:ext>
              </a:extLst>
            </xdr:cNvPr>
            <xdr:cNvSpPr txBox="1"/>
          </xdr:nvSpPr>
          <xdr:spPr>
            <a:xfrm>
              <a:off x="1079788" y="47202437"/>
              <a:ext cx="660689" cy="295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800" b="0" i="0">
                  <a:latin typeface="Cambria Math" panose="02040503050406030204" pitchFamily="18" charset="0"/>
                </a:rPr>
                <a:t>𝐹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1047750</xdr:colOff>
      <xdr:row>248</xdr:row>
      <xdr:rowOff>147205</xdr:rowOff>
    </xdr:from>
    <xdr:ext cx="1448666" cy="578172"/>
    <xdr:sp macro="" textlink="">
      <xdr:nvSpPr>
        <xdr:cNvPr id="21" name="CasellaDiTesto 20">
          <a:extLst>
            <a:ext uri="{FF2B5EF4-FFF2-40B4-BE49-F238E27FC236}">
              <a16:creationId xmlns:a16="http://schemas.microsoft.com/office/drawing/2014/main" id="{D39EA7F2-5CAE-47B2-BECA-0C5287E1C2E5}"/>
            </a:ext>
          </a:extLst>
        </xdr:cNvPr>
        <xdr:cNvSpPr txBox="1"/>
      </xdr:nvSpPr>
      <xdr:spPr>
        <a:xfrm>
          <a:off x="1047750" y="43087637"/>
          <a:ext cx="1448666" cy="578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it-IT" sz="1800" b="0"/>
        </a:p>
        <a:p>
          <a:endParaRPr lang="it-IT" sz="1800"/>
        </a:p>
      </xdr:txBody>
    </xdr:sp>
    <xdr:clientData/>
  </xdr:oneCellAnchor>
  <xdr:oneCellAnchor>
    <xdr:from>
      <xdr:col>3</xdr:col>
      <xdr:colOff>92652</xdr:colOff>
      <xdr:row>265</xdr:row>
      <xdr:rowOff>114300</xdr:rowOff>
    </xdr:from>
    <xdr:ext cx="65" cy="172227"/>
    <xdr:sp macro="" textlink="">
      <xdr:nvSpPr>
        <xdr:cNvPr id="23" name="CasellaDiTesto 22">
          <a:extLst>
            <a:ext uri="{FF2B5EF4-FFF2-40B4-BE49-F238E27FC236}">
              <a16:creationId xmlns:a16="http://schemas.microsoft.com/office/drawing/2014/main" id="{937C6AB5-7D71-4596-8103-5F1B4BDD7760}"/>
            </a:ext>
          </a:extLst>
        </xdr:cNvPr>
        <xdr:cNvSpPr txBox="1"/>
      </xdr:nvSpPr>
      <xdr:spPr>
        <a:xfrm>
          <a:off x="4283652" y="46154686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9</xdr:col>
      <xdr:colOff>92652</xdr:colOff>
      <xdr:row>218</xdr:row>
      <xdr:rowOff>114300</xdr:rowOff>
    </xdr:from>
    <xdr:ext cx="65" cy="172227"/>
    <xdr:sp macro="" textlink="">
      <xdr:nvSpPr>
        <xdr:cNvPr id="26" name="CasellaDiTesto 25">
          <a:extLst>
            <a:ext uri="{FF2B5EF4-FFF2-40B4-BE49-F238E27FC236}">
              <a16:creationId xmlns:a16="http://schemas.microsoft.com/office/drawing/2014/main" id="{C84B3DC4-9259-4CC8-A452-C2B86A433F4E}"/>
            </a:ext>
          </a:extLst>
        </xdr:cNvPr>
        <xdr:cNvSpPr txBox="1"/>
      </xdr:nvSpPr>
      <xdr:spPr>
        <a:xfrm>
          <a:off x="4283652" y="4178184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144605</xdr:colOff>
      <xdr:row>138</xdr:row>
      <xdr:rowOff>140276</xdr:rowOff>
    </xdr:from>
    <xdr:ext cx="1791131" cy="2528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EE3F9F94-2A32-83E6-6A0F-9648107621B6}"/>
                </a:ext>
              </a:extLst>
            </xdr:cNvPr>
            <xdr:cNvSpPr txBox="1"/>
          </xdr:nvSpPr>
          <xdr:spPr>
            <a:xfrm>
              <a:off x="144605" y="26489890"/>
              <a:ext cx="1791131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600" b="0" i="1">
                        <a:latin typeface="Cambria Math" panose="02040503050406030204" pitchFamily="18" charset="0"/>
                      </a:rPr>
                      <m:t>𝑠𝑖𝑐𝑐𝑜𝑚𝑒</m:t>
                    </m:r>
                    <m:r>
                      <a:rPr lang="it-IT" sz="16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it-IT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6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it-IT" sz="16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  <m:r>
                      <a:rPr lang="it-IT" sz="1600" b="0" i="1">
                        <a:latin typeface="Cambria Math" panose="02040503050406030204" pitchFamily="18" charset="0"/>
                      </a:rPr>
                      <m:t>≫</m:t>
                    </m:r>
                    <m:sSub>
                      <m:sSubPr>
                        <m:ctrlPr>
                          <a:rPr lang="it-IT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6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it-IT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  <m:r>
                      <a:rPr lang="it-IT" sz="16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it-IT" sz="1600" b="0" i="1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EE3F9F94-2A32-83E6-6A0F-9648107621B6}"/>
                </a:ext>
              </a:extLst>
            </xdr:cNvPr>
            <xdr:cNvSpPr txBox="1"/>
          </xdr:nvSpPr>
          <xdr:spPr>
            <a:xfrm>
              <a:off x="144605" y="26489890"/>
              <a:ext cx="1791131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it-IT" sz="1600" b="0" i="0">
                  <a:latin typeface="Cambria Math" panose="02040503050406030204" pitchFamily="18" charset="0"/>
                </a:rPr>
                <a:t>𝑠𝑖𝑐𝑐𝑜𝑚𝑒 𝐸_𝑒𝑙≫𝐾_𝑏 𝑇:</a:t>
              </a:r>
              <a:endParaRPr lang="it-IT" sz="1100"/>
            </a:p>
          </xdr:txBody>
        </xdr:sp>
      </mc:Fallback>
    </mc:AlternateContent>
    <xdr:clientData/>
  </xdr:oneCellAnchor>
  <xdr:twoCellAnchor>
    <xdr:from>
      <xdr:col>5</xdr:col>
      <xdr:colOff>251112</xdr:colOff>
      <xdr:row>178</xdr:row>
      <xdr:rowOff>60614</xdr:rowOff>
    </xdr:from>
    <xdr:to>
      <xdr:col>6</xdr:col>
      <xdr:colOff>588817</xdr:colOff>
      <xdr:row>188</xdr:row>
      <xdr:rowOff>8659</xdr:rowOff>
    </xdr:to>
    <xdr:sp macro="" textlink="">
      <xdr:nvSpPr>
        <xdr:cNvPr id="18" name="CasellaDiTesto 17">
          <a:extLst>
            <a:ext uri="{FF2B5EF4-FFF2-40B4-BE49-F238E27FC236}">
              <a16:creationId xmlns:a16="http://schemas.microsoft.com/office/drawing/2014/main" id="{CAC8099D-6A90-8CEE-9D2B-C4269813FE4E}"/>
            </a:ext>
          </a:extLst>
        </xdr:cNvPr>
        <xdr:cNvSpPr txBox="1"/>
      </xdr:nvSpPr>
      <xdr:spPr>
        <a:xfrm>
          <a:off x="7498771" y="34385250"/>
          <a:ext cx="1671205" cy="17751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Since there are no temperature dependent terms in the partition function, the electronic</a:t>
          </a:r>
        </a:p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heat capacity and the internal thermal energy due to electronic motion are both zero.</a:t>
          </a:r>
          <a:endParaRPr lang="it-IT" sz="1100"/>
        </a:p>
      </xdr:txBody>
    </xdr:sp>
    <xdr:clientData/>
  </xdr:twoCellAnchor>
  <xdr:twoCellAnchor>
    <xdr:from>
      <xdr:col>5</xdr:col>
      <xdr:colOff>112569</xdr:colOff>
      <xdr:row>230</xdr:row>
      <xdr:rowOff>77931</xdr:rowOff>
    </xdr:from>
    <xdr:to>
      <xdr:col>6</xdr:col>
      <xdr:colOff>207819</xdr:colOff>
      <xdr:row>242</xdr:row>
      <xdr:rowOff>0</xdr:rowOff>
    </xdr:to>
    <xdr:sp macro="" textlink="">
      <xdr:nvSpPr>
        <xdr:cNvPr id="22" name="CasellaDiTesto 21">
          <a:extLst>
            <a:ext uri="{FF2B5EF4-FFF2-40B4-BE49-F238E27FC236}">
              <a16:creationId xmlns:a16="http://schemas.microsoft.com/office/drawing/2014/main" id="{B864434B-6F54-4BA1-A4E8-59DCF67BAFC0}"/>
            </a:ext>
          </a:extLst>
        </xdr:cNvPr>
        <xdr:cNvSpPr txBox="1"/>
      </xdr:nvSpPr>
      <xdr:spPr>
        <a:xfrm>
          <a:off x="7360228" y="44135386"/>
          <a:ext cx="1428750" cy="211281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Since there are no temperature dependent terms in the partition function, the electronic</a:t>
          </a:r>
        </a:p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heat capacity and the internal thermal energy due to electronic motion are both zero.</a:t>
          </a:r>
          <a:endParaRPr lang="it-IT" sz="1100"/>
        </a:p>
      </xdr:txBody>
    </xdr:sp>
    <xdr:clientData/>
  </xdr:twoCellAnchor>
  <xdr:twoCellAnchor>
    <xdr:from>
      <xdr:col>5</xdr:col>
      <xdr:colOff>710046</xdr:colOff>
      <xdr:row>226</xdr:row>
      <xdr:rowOff>69272</xdr:rowOff>
    </xdr:from>
    <xdr:to>
      <xdr:col>5</xdr:col>
      <xdr:colOff>762000</xdr:colOff>
      <xdr:row>230</xdr:row>
      <xdr:rowOff>25976</xdr:rowOff>
    </xdr:to>
    <xdr:cxnSp macro="">
      <xdr:nvCxnSpPr>
        <xdr:cNvPr id="25" name="Connettore 2 24">
          <a:extLst>
            <a:ext uri="{FF2B5EF4-FFF2-40B4-BE49-F238E27FC236}">
              <a16:creationId xmlns:a16="http://schemas.microsoft.com/office/drawing/2014/main" id="{654E023D-9A90-9DE6-3D3D-6664450A6FBE}"/>
            </a:ext>
          </a:extLst>
        </xdr:cNvPr>
        <xdr:cNvCxnSpPr/>
      </xdr:nvCxnSpPr>
      <xdr:spPr>
        <a:xfrm>
          <a:off x="7957705" y="43390704"/>
          <a:ext cx="51954" cy="69272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787977</xdr:colOff>
      <xdr:row>176</xdr:row>
      <xdr:rowOff>95250</xdr:rowOff>
    </xdr:from>
    <xdr:to>
      <xdr:col>5</xdr:col>
      <xdr:colOff>796636</xdr:colOff>
      <xdr:row>177</xdr:row>
      <xdr:rowOff>216477</xdr:rowOff>
    </xdr:to>
    <xdr:cxnSp macro="">
      <xdr:nvCxnSpPr>
        <xdr:cNvPr id="27" name="Connettore 2 26">
          <a:extLst>
            <a:ext uri="{FF2B5EF4-FFF2-40B4-BE49-F238E27FC236}">
              <a16:creationId xmlns:a16="http://schemas.microsoft.com/office/drawing/2014/main" id="{F3E71005-C20A-4631-8194-ECCFF7615E2F}"/>
            </a:ext>
          </a:extLst>
        </xdr:cNvPr>
        <xdr:cNvCxnSpPr/>
      </xdr:nvCxnSpPr>
      <xdr:spPr>
        <a:xfrm>
          <a:off x="8035636" y="34004250"/>
          <a:ext cx="8659" cy="303068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943840</xdr:colOff>
      <xdr:row>198</xdr:row>
      <xdr:rowOff>34636</xdr:rowOff>
    </xdr:from>
    <xdr:ext cx="1220932" cy="3057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sellaDiTesto 28">
              <a:extLst>
                <a:ext uri="{FF2B5EF4-FFF2-40B4-BE49-F238E27FC236}">
                  <a16:creationId xmlns:a16="http://schemas.microsoft.com/office/drawing/2014/main" id="{7414F7DD-F1A9-45C5-9F49-022C03B42632}"/>
                </a:ext>
              </a:extLst>
            </xdr:cNvPr>
            <xdr:cNvSpPr txBox="1"/>
          </xdr:nvSpPr>
          <xdr:spPr>
            <a:xfrm>
              <a:off x="2996045" y="38048045"/>
              <a:ext cx="1220932" cy="305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05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</m:acc>
                    <m:r>
                      <a:rPr lang="it-IT" sz="105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05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105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05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05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it-IT" sz="1050"/>
            </a:p>
          </xdr:txBody>
        </xdr:sp>
      </mc:Choice>
      <mc:Fallback xmlns="">
        <xdr:sp macro="" textlink="">
          <xdr:nvSpPr>
            <xdr:cNvPr id="29" name="CasellaDiTesto 28">
              <a:extLst>
                <a:ext uri="{FF2B5EF4-FFF2-40B4-BE49-F238E27FC236}">
                  <a16:creationId xmlns:a16="http://schemas.microsoft.com/office/drawing/2014/main" id="{7414F7DD-F1A9-45C5-9F49-022C03B42632}"/>
                </a:ext>
              </a:extLst>
            </xdr:cNvPr>
            <xdr:cNvSpPr txBox="1"/>
          </xdr:nvSpPr>
          <xdr:spPr>
            <a:xfrm>
              <a:off x="2996045" y="38048045"/>
              <a:ext cx="1220932" cy="305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050" b="0" i="0">
                  <a:latin typeface="Cambria Math" panose="02040503050406030204" pitchFamily="18" charset="0"/>
                </a:rPr>
                <a:t>𝑉 ̃=(𝑘_𝐵 𝑇)/𝑃</a:t>
              </a:r>
              <a:endParaRPr lang="it-IT" sz="1050"/>
            </a:p>
          </xdr:txBody>
        </xdr:sp>
      </mc:Fallback>
    </mc:AlternateContent>
    <xdr:clientData/>
  </xdr:oneCellAnchor>
  <xdr:oneCellAnchor>
    <xdr:from>
      <xdr:col>9</xdr:col>
      <xdr:colOff>92652</xdr:colOff>
      <xdr:row>242</xdr:row>
      <xdr:rowOff>114300</xdr:rowOff>
    </xdr:from>
    <xdr:ext cx="65" cy="172227"/>
    <xdr:sp macro="" textlink="">
      <xdr:nvSpPr>
        <xdr:cNvPr id="33" name="CasellaDiTesto 32">
          <a:extLst>
            <a:ext uri="{FF2B5EF4-FFF2-40B4-BE49-F238E27FC236}">
              <a16:creationId xmlns:a16="http://schemas.microsoft.com/office/drawing/2014/main" id="{EF675291-472A-4161-9835-CA50FC967430}"/>
            </a:ext>
          </a:extLst>
        </xdr:cNvPr>
        <xdr:cNvSpPr txBox="1"/>
      </xdr:nvSpPr>
      <xdr:spPr>
        <a:xfrm>
          <a:off x="4283652" y="4636250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1047750</xdr:colOff>
      <xdr:row>273</xdr:row>
      <xdr:rowOff>147205</xdr:rowOff>
    </xdr:from>
    <xdr:ext cx="1448666" cy="578172"/>
    <xdr:sp macro="" textlink="">
      <xdr:nvSpPr>
        <xdr:cNvPr id="36" name="CasellaDiTesto 35">
          <a:extLst>
            <a:ext uri="{FF2B5EF4-FFF2-40B4-BE49-F238E27FC236}">
              <a16:creationId xmlns:a16="http://schemas.microsoft.com/office/drawing/2014/main" id="{308BBC7D-3CC4-49DA-8D76-58FC7B31FE3F}"/>
            </a:ext>
          </a:extLst>
        </xdr:cNvPr>
        <xdr:cNvSpPr txBox="1"/>
      </xdr:nvSpPr>
      <xdr:spPr>
        <a:xfrm>
          <a:off x="1047750" y="43278137"/>
          <a:ext cx="1448666" cy="578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it-IT" sz="1800" b="0"/>
        </a:p>
        <a:p>
          <a:endParaRPr lang="it-IT" sz="1800"/>
        </a:p>
      </xdr:txBody>
    </xdr:sp>
    <xdr:clientData/>
  </xdr:oneCellAnchor>
  <xdr:oneCellAnchor>
    <xdr:from>
      <xdr:col>0</xdr:col>
      <xdr:colOff>839932</xdr:colOff>
      <xdr:row>274</xdr:row>
      <xdr:rowOff>25977</xdr:rowOff>
    </xdr:from>
    <xdr:ext cx="1448666" cy="3009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asellaDiTesto 36">
              <a:extLst>
                <a:ext uri="{FF2B5EF4-FFF2-40B4-BE49-F238E27FC236}">
                  <a16:creationId xmlns:a16="http://schemas.microsoft.com/office/drawing/2014/main" id="{75FB0D3B-2B4C-4177-870F-1A25B01DDBE2}"/>
                </a:ext>
              </a:extLst>
            </xdr:cNvPr>
            <xdr:cNvSpPr txBox="1"/>
          </xdr:nvSpPr>
          <xdr:spPr>
            <a:xfrm>
              <a:off x="839932" y="43347409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37" name="CasellaDiTesto 36">
              <a:extLst>
                <a:ext uri="{FF2B5EF4-FFF2-40B4-BE49-F238E27FC236}">
                  <a16:creationId xmlns:a16="http://schemas.microsoft.com/office/drawing/2014/main" id="{75FB0D3B-2B4C-4177-870F-1A25B01DDBE2}"/>
                </a:ext>
              </a:extLst>
            </xdr:cNvPr>
            <xdr:cNvSpPr txBox="1"/>
          </xdr:nvSpPr>
          <xdr:spPr>
            <a:xfrm>
              <a:off x="839932" y="43347409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i="0">
                  <a:latin typeface="Cambria Math" panose="02040503050406030204" pitchFamily="18" charset="0"/>
                </a:rPr>
                <a:t>(</a:t>
              </a:r>
              <a:r>
                <a:rPr lang="it-IT" sz="1800" b="0" i="0">
                  <a:latin typeface="Cambria Math" panose="02040503050406030204" pitchFamily="18" charset="0"/>
                </a:rPr>
                <a:t>𝐶_𝑃 )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3</xdr:col>
      <xdr:colOff>92652</xdr:colOff>
      <xdr:row>290</xdr:row>
      <xdr:rowOff>114300</xdr:rowOff>
    </xdr:from>
    <xdr:ext cx="65" cy="172227"/>
    <xdr:sp macro="" textlink="">
      <xdr:nvSpPr>
        <xdr:cNvPr id="38" name="CasellaDiTesto 37">
          <a:extLst>
            <a:ext uri="{FF2B5EF4-FFF2-40B4-BE49-F238E27FC236}">
              <a16:creationId xmlns:a16="http://schemas.microsoft.com/office/drawing/2014/main" id="{2D00584B-4F76-45B9-BCB0-754FCDBB6684}"/>
            </a:ext>
          </a:extLst>
        </xdr:cNvPr>
        <xdr:cNvSpPr txBox="1"/>
      </xdr:nvSpPr>
      <xdr:spPr>
        <a:xfrm>
          <a:off x="4283652" y="4640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5</xdr:col>
      <xdr:colOff>112569</xdr:colOff>
      <xdr:row>278</xdr:row>
      <xdr:rowOff>77931</xdr:rowOff>
    </xdr:from>
    <xdr:to>
      <xdr:col>6</xdr:col>
      <xdr:colOff>207819</xdr:colOff>
      <xdr:row>290</xdr:row>
      <xdr:rowOff>0</xdr:rowOff>
    </xdr:to>
    <xdr:sp macro="" textlink="">
      <xdr:nvSpPr>
        <xdr:cNvPr id="39" name="CasellaDiTesto 38">
          <a:extLst>
            <a:ext uri="{FF2B5EF4-FFF2-40B4-BE49-F238E27FC236}">
              <a16:creationId xmlns:a16="http://schemas.microsoft.com/office/drawing/2014/main" id="{AF5D89AC-76DA-4E7B-AE13-F4DF306A58E5}"/>
            </a:ext>
          </a:extLst>
        </xdr:cNvPr>
        <xdr:cNvSpPr txBox="1"/>
      </xdr:nvSpPr>
      <xdr:spPr>
        <a:xfrm>
          <a:off x="7360228" y="44178681"/>
          <a:ext cx="1428750" cy="211281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Since there are no temperature dependent terms in the partition function, the electronic</a:t>
          </a:r>
        </a:p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heat capacity and the internal thermal energy due to electronic motion are both zero.</a:t>
          </a:r>
          <a:endParaRPr lang="it-IT" sz="1100"/>
        </a:p>
      </xdr:txBody>
    </xdr:sp>
    <xdr:clientData/>
  </xdr:twoCellAnchor>
  <xdr:twoCellAnchor>
    <xdr:from>
      <xdr:col>5</xdr:col>
      <xdr:colOff>710046</xdr:colOff>
      <xdr:row>274</xdr:row>
      <xdr:rowOff>69272</xdr:rowOff>
    </xdr:from>
    <xdr:to>
      <xdr:col>5</xdr:col>
      <xdr:colOff>762000</xdr:colOff>
      <xdr:row>278</xdr:row>
      <xdr:rowOff>25976</xdr:rowOff>
    </xdr:to>
    <xdr:cxnSp macro="">
      <xdr:nvCxnSpPr>
        <xdr:cNvPr id="40" name="Connettore 2 39">
          <a:extLst>
            <a:ext uri="{FF2B5EF4-FFF2-40B4-BE49-F238E27FC236}">
              <a16:creationId xmlns:a16="http://schemas.microsoft.com/office/drawing/2014/main" id="{4DCE55DD-5061-4057-AB99-FF29F096EE88}"/>
            </a:ext>
          </a:extLst>
        </xdr:cNvPr>
        <xdr:cNvCxnSpPr/>
      </xdr:nvCxnSpPr>
      <xdr:spPr>
        <a:xfrm>
          <a:off x="7957705" y="43390704"/>
          <a:ext cx="51954" cy="736022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92652</xdr:colOff>
      <xdr:row>290</xdr:row>
      <xdr:rowOff>114300</xdr:rowOff>
    </xdr:from>
    <xdr:ext cx="65" cy="172227"/>
    <xdr:sp macro="" textlink="">
      <xdr:nvSpPr>
        <xdr:cNvPr id="41" name="CasellaDiTesto 40">
          <a:extLst>
            <a:ext uri="{FF2B5EF4-FFF2-40B4-BE49-F238E27FC236}">
              <a16:creationId xmlns:a16="http://schemas.microsoft.com/office/drawing/2014/main" id="{41DFF867-F54F-4362-BC9B-5FF8B4AD893A}"/>
            </a:ext>
          </a:extLst>
        </xdr:cNvPr>
        <xdr:cNvSpPr txBox="1"/>
      </xdr:nvSpPr>
      <xdr:spPr>
        <a:xfrm>
          <a:off x="12241357" y="46405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242455</xdr:colOff>
      <xdr:row>280</xdr:row>
      <xdr:rowOff>0</xdr:rowOff>
    </xdr:from>
    <xdr:ext cx="1448666" cy="3009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sellaDiTesto 41">
              <a:extLst>
                <a:ext uri="{FF2B5EF4-FFF2-40B4-BE49-F238E27FC236}">
                  <a16:creationId xmlns:a16="http://schemas.microsoft.com/office/drawing/2014/main" id="{A359034D-BC18-4A10-8B48-461A78305376}"/>
                </a:ext>
              </a:extLst>
            </xdr:cNvPr>
            <xdr:cNvSpPr txBox="1"/>
          </xdr:nvSpPr>
          <xdr:spPr>
            <a:xfrm>
              <a:off x="242455" y="53340000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sub>
                        </m:sSub>
                      </m:e>
                    </m:acc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it-IT" sz="18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it-IT" sz="18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̃"/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sub>
                        </m:sSub>
                      </m:e>
                    </m:acc>
                    <m:r>
                      <a:rPr lang="it-IT" sz="18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42" name="CasellaDiTesto 41">
              <a:extLst>
                <a:ext uri="{FF2B5EF4-FFF2-40B4-BE49-F238E27FC236}">
                  <a16:creationId xmlns:a16="http://schemas.microsoft.com/office/drawing/2014/main" id="{A359034D-BC18-4A10-8B48-461A78305376}"/>
                </a:ext>
              </a:extLst>
            </xdr:cNvPr>
            <xdr:cNvSpPr txBox="1"/>
          </xdr:nvSpPr>
          <xdr:spPr>
            <a:xfrm>
              <a:off x="242455" y="53340000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i="0">
                  <a:latin typeface="Cambria Math" panose="02040503050406030204" pitchFamily="18" charset="0"/>
                </a:rPr>
                <a:t>(</a:t>
              </a:r>
              <a:r>
                <a:rPr lang="it-IT" sz="1800" b="0" i="0">
                  <a:latin typeface="Cambria Math" panose="02040503050406030204" pitchFamily="18" charset="0"/>
                </a:rPr>
                <a:t>𝐶_𝑃 ) ̃=𝑅+(𝐶_𝑉 ) ̃  </a:t>
              </a:r>
              <a:endParaRPr lang="it-IT" sz="1800"/>
            </a:p>
          </xdr:txBody>
        </xdr:sp>
      </mc:Fallback>
    </mc:AlternateContent>
    <xdr:clientData/>
  </xdr:oneCellAnchor>
  <xdr:twoCellAnchor>
    <xdr:from>
      <xdr:col>0</xdr:col>
      <xdr:colOff>0</xdr:colOff>
      <xdr:row>277</xdr:row>
      <xdr:rowOff>173182</xdr:rowOff>
    </xdr:from>
    <xdr:to>
      <xdr:col>0</xdr:col>
      <xdr:colOff>1982932</xdr:colOff>
      <xdr:row>279</xdr:row>
      <xdr:rowOff>147204</xdr:rowOff>
    </xdr:to>
    <xdr:sp macro="" textlink="">
      <xdr:nvSpPr>
        <xdr:cNvPr id="44" name="CasellaDiTesto 43">
          <a:extLst>
            <a:ext uri="{FF2B5EF4-FFF2-40B4-BE49-F238E27FC236}">
              <a16:creationId xmlns:a16="http://schemas.microsoft.com/office/drawing/2014/main" id="{25BC7B01-0926-F4E0-2E50-4B37A9F82167}"/>
            </a:ext>
          </a:extLst>
        </xdr:cNvPr>
        <xdr:cNvSpPr txBox="1"/>
      </xdr:nvSpPr>
      <xdr:spPr>
        <a:xfrm>
          <a:off x="0" y="52967659"/>
          <a:ext cx="1982932" cy="3377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from Mayer's</a:t>
          </a:r>
          <a:r>
            <a:rPr lang="it-IT" sz="1400" baseline="0"/>
            <a:t> relation:</a:t>
          </a:r>
          <a:endParaRPr lang="it-IT" sz="1400"/>
        </a:p>
      </xdr:txBody>
    </xdr:sp>
    <xdr:clientData/>
  </xdr:twoCellAnchor>
  <xdr:twoCellAnchor>
    <xdr:from>
      <xdr:col>0</xdr:col>
      <xdr:colOff>710046</xdr:colOff>
      <xdr:row>108</xdr:row>
      <xdr:rowOff>147204</xdr:rowOff>
    </xdr:from>
    <xdr:to>
      <xdr:col>2</xdr:col>
      <xdr:colOff>207819</xdr:colOff>
      <xdr:row>110</xdr:row>
      <xdr:rowOff>129886</xdr:rowOff>
    </xdr:to>
    <xdr:sp macro="" textlink="">
      <xdr:nvSpPr>
        <xdr:cNvPr id="19" name="CasellaDiTesto 18">
          <a:extLst>
            <a:ext uri="{FF2B5EF4-FFF2-40B4-BE49-F238E27FC236}">
              <a16:creationId xmlns:a16="http://schemas.microsoft.com/office/drawing/2014/main" id="{4406223A-CAA5-25B8-8FB6-FF0BF4BF1A56}"/>
            </a:ext>
          </a:extLst>
        </xdr:cNvPr>
        <xdr:cNvSpPr txBox="1"/>
      </xdr:nvSpPr>
      <xdr:spPr>
        <a:xfrm>
          <a:off x="710046" y="20608636"/>
          <a:ext cx="2684318" cy="4069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ho utilizzato però questa</a:t>
          </a:r>
          <a:r>
            <a:rPr lang="it-IT" sz="1100" baseline="0"/>
            <a:t> riscrittura:</a:t>
          </a:r>
          <a:endParaRPr lang="it-IT" sz="1100"/>
        </a:p>
      </xdr:txBody>
    </xdr:sp>
    <xdr:clientData/>
  </xdr:twoCellAnchor>
  <xdr:oneCellAnchor>
    <xdr:from>
      <xdr:col>0</xdr:col>
      <xdr:colOff>733423</xdr:colOff>
      <xdr:row>110</xdr:row>
      <xdr:rowOff>79664</xdr:rowOff>
    </xdr:from>
    <xdr:ext cx="2816804" cy="626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CasellaDiTesto 23">
              <a:extLst>
                <a:ext uri="{FF2B5EF4-FFF2-40B4-BE49-F238E27FC236}">
                  <a16:creationId xmlns:a16="http://schemas.microsoft.com/office/drawing/2014/main" id="{A390E616-68A2-5B10-A0F2-36C372FE5B78}"/>
                </a:ext>
              </a:extLst>
            </xdr:cNvPr>
            <xdr:cNvSpPr txBox="1"/>
          </xdr:nvSpPr>
          <xdr:spPr>
            <a:xfrm>
              <a:off x="733423" y="20965391"/>
              <a:ext cx="2816804" cy="626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SupPr>
                    <m:e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Q</m:t>
                      </m:r>
                    </m:e>
                    <m:sub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rot</m:t>
                      </m:r>
                    </m:sub>
                    <m:sup>
                      <m: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D</m:t>
                      </m:r>
                    </m:sup>
                  </m:sSubSup>
                  <m:r>
                    <a:rPr lang="it-IT" sz="2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 </m:t>
                  </m:r>
                  <m:f>
                    <m:fPr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fPr>
                    <m:num>
                      <m:rad>
                        <m:radPr>
                          <m:degHide m:val="on"/>
                          <m:ctrlPr>
                            <a:rPr lang="it-IT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radPr>
                        <m:deg/>
                        <m:e>
                          <m:r>
                            <m:rPr>
                              <m:sty m:val="p"/>
                            </m:rP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π</m:t>
                          </m:r>
                        </m:e>
                      </m:rad>
                    </m:num>
                    <m:den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σ</m:t>
                      </m:r>
                    </m:den>
                  </m:f>
                  <m:r>
                    <a:rPr lang="it-IT" sz="2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⋅</m:t>
                  </m:r>
                  <m:rad>
                    <m:radPr>
                      <m:degHide m:val="on"/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it-IT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T</m:t>
                              </m:r>
                            </m:e>
                            <m:sup>
                              <m: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3</m:t>
                              </m:r>
                            </m:sup>
                          </m:sSup>
                        </m:num>
                        <m:den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x</m:t>
                              </m:r>
                            </m:sub>
                          </m:sSub>
                          <m: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⋅</m:t>
                          </m:r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y</m:t>
                              </m:r>
                            </m:sub>
                          </m:sSub>
                          <m: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⋅</m:t>
                          </m:r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z</m:t>
                              </m:r>
                            </m:sub>
                          </m:sSub>
                        </m:den>
                      </m:f>
                    </m:e>
                  </m:rad>
                </m:oMath>
              </a14:m>
              <a:r>
                <a:rPr lang="it-IT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</xdr:txBody>
        </xdr:sp>
      </mc:Choice>
      <mc:Fallback xmlns="">
        <xdr:sp macro="" textlink="">
          <xdr:nvSpPr>
            <xdr:cNvPr id="24" name="CasellaDiTesto 23">
              <a:extLst>
                <a:ext uri="{FF2B5EF4-FFF2-40B4-BE49-F238E27FC236}">
                  <a16:creationId xmlns:a16="http://schemas.microsoft.com/office/drawing/2014/main" id="{A390E616-68A2-5B10-A0F2-36C372FE5B78}"/>
                </a:ext>
              </a:extLst>
            </xdr:cNvPr>
            <xdr:cNvSpPr txBox="1"/>
          </xdr:nvSpPr>
          <xdr:spPr>
            <a:xfrm>
              <a:off x="733423" y="20965391"/>
              <a:ext cx="2816804" cy="626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Q_rot^3D=  √π/σ⋅√(T^3/(θ_x⋅θ_y⋅θ_z ))</a:t>
              </a:r>
              <a:r>
                <a:rPr lang="it-IT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</xdr:txBody>
        </xdr:sp>
      </mc:Fallback>
    </mc:AlternateContent>
    <xdr:clientData/>
  </xdr:oneCellAnchor>
  <xdr:twoCellAnchor>
    <xdr:from>
      <xdr:col>0</xdr:col>
      <xdr:colOff>666750</xdr:colOff>
      <xdr:row>115</xdr:row>
      <xdr:rowOff>34636</xdr:rowOff>
    </xdr:from>
    <xdr:to>
      <xdr:col>2</xdr:col>
      <xdr:colOff>112569</xdr:colOff>
      <xdr:row>119</xdr:row>
      <xdr:rowOff>95249</xdr:rowOff>
    </xdr:to>
    <xdr:sp macro="" textlink="">
      <xdr:nvSpPr>
        <xdr:cNvPr id="28" name="CasellaDiTesto 27">
          <a:extLst>
            <a:ext uri="{FF2B5EF4-FFF2-40B4-BE49-F238E27FC236}">
              <a16:creationId xmlns:a16="http://schemas.microsoft.com/office/drawing/2014/main" id="{87CF4062-436E-4340-B6F1-4472F1E86A79}"/>
            </a:ext>
          </a:extLst>
        </xdr:cNvPr>
        <xdr:cNvSpPr txBox="1"/>
      </xdr:nvSpPr>
      <xdr:spPr>
        <a:xfrm>
          <a:off x="666750" y="21838227"/>
          <a:ext cx="2632364" cy="7879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dove le </a:t>
          </a:r>
          <a:r>
            <a:rPr lang="el-GR" sz="1100"/>
            <a:t>ϑ</a:t>
          </a:r>
          <a:r>
            <a:rPr lang="it-IT" sz="1100"/>
            <a:t> rappresentano le temperature rotazionali rispetto agli assi x, y e z</a:t>
          </a:r>
        </a:p>
      </xdr:txBody>
    </xdr:sp>
    <xdr:clientData/>
  </xdr:twoCellAnchor>
  <xdr:twoCellAnchor>
    <xdr:from>
      <xdr:col>2</xdr:col>
      <xdr:colOff>329046</xdr:colOff>
      <xdr:row>220</xdr:row>
      <xdr:rowOff>121226</xdr:rowOff>
    </xdr:from>
    <xdr:to>
      <xdr:col>3</xdr:col>
      <xdr:colOff>614796</xdr:colOff>
      <xdr:row>222</xdr:row>
      <xdr:rowOff>34635</xdr:rowOff>
    </xdr:to>
    <xdr:sp macro="" textlink="">
      <xdr:nvSpPr>
        <xdr:cNvPr id="30" name="CasellaDiTesto 29">
          <a:extLst>
            <a:ext uri="{FF2B5EF4-FFF2-40B4-BE49-F238E27FC236}">
              <a16:creationId xmlns:a16="http://schemas.microsoft.com/office/drawing/2014/main" id="{A9AD94CF-4C9C-478B-ADDE-987AABDAE55F}"/>
            </a:ext>
          </a:extLst>
        </xdr:cNvPr>
        <xdr:cNvSpPr txBox="1"/>
      </xdr:nvSpPr>
      <xdr:spPr>
        <a:xfrm>
          <a:off x="3515591" y="42308317"/>
          <a:ext cx="1290205" cy="277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for S_trasl</a:t>
          </a:r>
          <a:r>
            <a:rPr lang="it-IT" sz="1100" baseline="0"/>
            <a:t> : </a:t>
          </a:r>
          <a:endParaRPr lang="it-IT" sz="1100"/>
        </a:p>
      </xdr:txBody>
    </xdr:sp>
    <xdr:clientData/>
  </xdr:twoCellAnchor>
  <xdr:twoCellAnchor editAs="oneCell">
    <xdr:from>
      <xdr:col>3</xdr:col>
      <xdr:colOff>155865</xdr:colOff>
      <xdr:row>220</xdr:row>
      <xdr:rowOff>86591</xdr:rowOff>
    </xdr:from>
    <xdr:to>
      <xdr:col>3</xdr:col>
      <xdr:colOff>1965615</xdr:colOff>
      <xdr:row>222</xdr:row>
      <xdr:rowOff>152827</xdr:rowOff>
    </xdr:to>
    <xdr:pic>
      <xdr:nvPicPr>
        <xdr:cNvPr id="31" name="Immagine 30">
          <a:extLst>
            <a:ext uri="{FF2B5EF4-FFF2-40B4-BE49-F238E27FC236}">
              <a16:creationId xmlns:a16="http://schemas.microsoft.com/office/drawing/2014/main" id="{2D7306CC-DAFB-4D5F-906C-3ECFC554C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46865" y="42273682"/>
          <a:ext cx="1809750" cy="4299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352424</xdr:colOff>
      <xdr:row>84</xdr:row>
      <xdr:rowOff>19049</xdr:rowOff>
    </xdr:from>
    <xdr:ext cx="3379644" cy="688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9DB72077-9AA0-4E82-A231-98D3F4F78830}"/>
                </a:ext>
              </a:extLst>
            </xdr:cNvPr>
            <xdr:cNvSpPr txBox="1"/>
          </xdr:nvSpPr>
          <xdr:spPr>
            <a:xfrm>
              <a:off x="352424" y="16066769"/>
              <a:ext cx="3379644" cy="688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𝑡𝑟𝑎𝑠𝑙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𝜋</m:t>
                                </m:r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num>
                              <m:den>
                                <m:sSup>
                                  <m:sSup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h</m:t>
                                    </m:r>
                                  </m:e>
                                  <m:sup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3/2</m:t>
                        </m:r>
                      </m:sup>
                    </m:sSup>
                    <m:r>
                      <a:rPr lang="it-IT" sz="1800" b="0" i="1">
                        <a:latin typeface="Cambria Math" panose="02040503050406030204" pitchFamily="18" charset="0"/>
                      </a:rPr>
                      <m:t>⋅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9DB72077-9AA0-4E82-A231-98D3F4F78830}"/>
                </a:ext>
              </a:extLst>
            </xdr:cNvPr>
            <xdr:cNvSpPr txBox="1"/>
          </xdr:nvSpPr>
          <xdr:spPr>
            <a:xfrm>
              <a:off x="352424" y="16066769"/>
              <a:ext cx="3379644" cy="688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𝑄_𝑡𝑟𝑎𝑠𝑙=((2𝜋𝑚𝑘_𝐵 𝑇)/ℎ^2 )^(3/2)⋅(𝑘_𝐵 𝑇)/𝑃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127289</xdr:colOff>
      <xdr:row>103</xdr:row>
      <xdr:rowOff>157596</xdr:rowOff>
    </xdr:from>
    <xdr:ext cx="4141643" cy="5943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12E36930-A4D6-40AB-B4B5-EDA46B5A3F49}"/>
                </a:ext>
              </a:extLst>
            </xdr:cNvPr>
            <xdr:cNvSpPr txBox="1"/>
          </xdr:nvSpPr>
          <xdr:spPr>
            <a:xfrm>
              <a:off x="127289" y="19702896"/>
              <a:ext cx="4141643" cy="594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𝑟𝑜𝑡</m:t>
                        </m:r>
                      </m:sub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𝐷</m:t>
                        </m:r>
                      </m:sup>
                    </m:sSubSup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8</m:t>
                        </m:r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(2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3/2</m:t>
                            </m:r>
                          </m:sup>
                        </m:sSup>
                        <m:rad>
                          <m:radPr>
                            <m:degHide m:val="on"/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𝑧</m:t>
                                </m:r>
                              </m:sub>
                            </m:sSub>
                          </m:e>
                        </m:rad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𝜎</m:t>
                        </m:r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12E36930-A4D6-40AB-B4B5-EDA46B5A3F49}"/>
                </a:ext>
              </a:extLst>
            </xdr:cNvPr>
            <xdr:cNvSpPr txBox="1"/>
          </xdr:nvSpPr>
          <xdr:spPr>
            <a:xfrm>
              <a:off x="127289" y="19702896"/>
              <a:ext cx="4141643" cy="594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𝑄_𝑟𝑜𝑡^3𝐷=(8𝜋^2 〖(2𝜋𝑘〗_𝐵 〖𝑇)〗^(3/2) √(𝐼_𝑥 𝐼_𝑦 𝐼_𝑧 ))/(𝜎ℎ^3 )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126</xdr:row>
      <xdr:rowOff>0</xdr:rowOff>
    </xdr:from>
    <xdr:ext cx="4141643" cy="452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2CC02BD6-B649-4C79-870E-663B8AF03A49}"/>
                </a:ext>
              </a:extLst>
            </xdr:cNvPr>
            <xdr:cNvSpPr txBox="1"/>
          </xdr:nvSpPr>
          <xdr:spPr>
            <a:xfrm>
              <a:off x="0" y="23903940"/>
              <a:ext cx="414164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⋅</m:t>
                    </m:r>
                    <m:sSup>
                      <m:s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𝑒𝑙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𝐵</m:t>
                                </m:r>
                              </m:sub>
                            </m:s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2CC02BD6-B649-4C79-870E-663B8AF03A49}"/>
                </a:ext>
              </a:extLst>
            </xdr:cNvPr>
            <xdr:cNvSpPr txBox="1"/>
          </xdr:nvSpPr>
          <xdr:spPr>
            <a:xfrm>
              <a:off x="0" y="23903940"/>
              <a:ext cx="414164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Q_el=𝑔_𝑒𝑙⋅𝑒^(−𝐸_𝑒𝑙/(𝑘_𝐵 𝑇))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216478</xdr:colOff>
      <xdr:row>153</xdr:row>
      <xdr:rowOff>114298</xdr:rowOff>
    </xdr:from>
    <xdr:ext cx="3717348" cy="5750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89CBF4A9-0E0E-4D41-BBA6-CAF2FA23BB17}"/>
                </a:ext>
              </a:extLst>
            </xdr:cNvPr>
            <xdr:cNvSpPr txBox="1"/>
          </xdr:nvSpPr>
          <xdr:spPr>
            <a:xfrm>
              <a:off x="216478" y="29504638"/>
              <a:ext cx="3717348" cy="5750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8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𝑡𝑟𝑎𝑠𝑙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×</m:t>
                    </m:r>
                    <m:sSubSup>
                      <m:sSub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𝑟𝑜𝑡</m:t>
                        </m:r>
                      </m:sub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𝐷</m:t>
                        </m:r>
                      </m:sup>
                    </m:sSubSup>
                    <m:r>
                      <a:rPr lang="it-IT" sz="1800" b="0" i="1">
                        <a:latin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𝑣𝑖𝑏</m:t>
                        </m:r>
                      </m:sub>
                    </m:sSub>
                  </m:oMath>
                </m:oMathPara>
              </a14:m>
              <a:endParaRPr lang="it-IT" sz="1800" b="0"/>
            </a:p>
            <a:p>
              <a:endParaRPr lang="it-IT" sz="1800"/>
            </a:p>
          </xdr:txBody>
        </xdr:sp>
      </mc:Choice>
      <mc:Fallback xmlns="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89CBF4A9-0E0E-4D41-BBA6-CAF2FA23BB17}"/>
                </a:ext>
              </a:extLst>
            </xdr:cNvPr>
            <xdr:cNvSpPr txBox="1"/>
          </xdr:nvSpPr>
          <xdr:spPr>
            <a:xfrm>
              <a:off x="216478" y="29504638"/>
              <a:ext cx="3717348" cy="5750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𝑄=𝑄_𝑡𝑟𝑎𝑠𝑙×𝑄_𝑒𝑙×𝑄_𝑟𝑜𝑡^3𝐷×𝑄_𝑣𝑖𝑏</a:t>
              </a:r>
              <a:endParaRPr lang="it-IT" sz="1800" b="0"/>
            </a:p>
            <a:p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0</xdr:colOff>
      <xdr:row>140</xdr:row>
      <xdr:rowOff>0</xdr:rowOff>
    </xdr:from>
    <xdr:ext cx="4141643" cy="2843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4DBD37BF-5DD0-43D5-A028-A21AE35BAECA}"/>
                </a:ext>
              </a:extLst>
            </xdr:cNvPr>
            <xdr:cNvSpPr txBox="1"/>
          </xdr:nvSpPr>
          <xdr:spPr>
            <a:xfrm>
              <a:off x="0" y="26814780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4DBD37BF-5DD0-43D5-A028-A21AE35BAECA}"/>
                </a:ext>
              </a:extLst>
            </xdr:cNvPr>
            <xdr:cNvSpPr txBox="1"/>
          </xdr:nvSpPr>
          <xdr:spPr>
            <a:xfrm>
              <a:off x="0" y="26814780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Q_el=𝑔_𝑒𝑙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141</xdr:row>
      <xdr:rowOff>138545</xdr:rowOff>
    </xdr:from>
    <xdr:ext cx="4141643" cy="2843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B97C9441-5662-478A-8ACB-49F8E1A4C61A}"/>
                </a:ext>
              </a:extLst>
            </xdr:cNvPr>
            <xdr:cNvSpPr txBox="1"/>
          </xdr:nvSpPr>
          <xdr:spPr>
            <a:xfrm>
              <a:off x="0" y="27151445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B97C9441-5662-478A-8ACB-49F8E1A4C61A}"/>
                </a:ext>
              </a:extLst>
            </xdr:cNvPr>
            <xdr:cNvSpPr txBox="1"/>
          </xdr:nvSpPr>
          <xdr:spPr>
            <a:xfrm>
              <a:off x="0" y="27151445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Q_el=1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993198</xdr:colOff>
      <xdr:row>175</xdr:row>
      <xdr:rowOff>140278</xdr:rowOff>
    </xdr:from>
    <xdr:ext cx="1448666" cy="2975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0A38EB84-DE98-4CD7-B93E-576DF7F254AE}"/>
                </a:ext>
              </a:extLst>
            </xdr:cNvPr>
            <xdr:cNvSpPr txBox="1"/>
          </xdr:nvSpPr>
          <xdr:spPr>
            <a:xfrm>
              <a:off x="993198" y="33912118"/>
              <a:ext cx="1448666" cy="297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0A38EB84-DE98-4CD7-B93E-576DF7F254AE}"/>
                </a:ext>
              </a:extLst>
            </xdr:cNvPr>
            <xdr:cNvSpPr txBox="1"/>
          </xdr:nvSpPr>
          <xdr:spPr>
            <a:xfrm>
              <a:off x="993198" y="33912118"/>
              <a:ext cx="1448666" cy="297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𝑈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857250</xdr:colOff>
      <xdr:row>201</xdr:row>
      <xdr:rowOff>173182</xdr:rowOff>
    </xdr:from>
    <xdr:ext cx="1448666" cy="2964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20A9D50C-2120-4BBF-87C0-867739B95301}"/>
                </a:ext>
              </a:extLst>
            </xdr:cNvPr>
            <xdr:cNvSpPr txBox="1"/>
          </xdr:nvSpPr>
          <xdr:spPr>
            <a:xfrm>
              <a:off x="857250" y="38890402"/>
              <a:ext cx="1448666" cy="2964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1" name="CasellaDiTesto 10">
              <a:extLst>
                <a:ext uri="{FF2B5EF4-FFF2-40B4-BE49-F238E27FC236}">
                  <a16:creationId xmlns:a16="http://schemas.microsoft.com/office/drawing/2014/main" id="{20A9D50C-2120-4BBF-87C0-867739B95301}"/>
                </a:ext>
              </a:extLst>
            </xdr:cNvPr>
            <xdr:cNvSpPr txBox="1"/>
          </xdr:nvSpPr>
          <xdr:spPr>
            <a:xfrm>
              <a:off x="857250" y="38890402"/>
              <a:ext cx="1448666" cy="2964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𝑆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4</xdr:col>
      <xdr:colOff>92652</xdr:colOff>
      <xdr:row>218</xdr:row>
      <xdr:rowOff>114300</xdr:rowOff>
    </xdr:from>
    <xdr:ext cx="65" cy="172227"/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27BB9722-E503-4E81-88CE-F9BF4AE0E224}"/>
            </a:ext>
          </a:extLst>
        </xdr:cNvPr>
        <xdr:cNvSpPr txBox="1"/>
      </xdr:nvSpPr>
      <xdr:spPr>
        <a:xfrm>
          <a:off x="6333432" y="420090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1047750</xdr:colOff>
      <xdr:row>225</xdr:row>
      <xdr:rowOff>147205</xdr:rowOff>
    </xdr:from>
    <xdr:ext cx="1448666" cy="578172"/>
    <xdr:sp macro="" textlink="">
      <xdr:nvSpPr>
        <xdr:cNvPr id="13" name="CasellaDiTesto 12">
          <a:extLst>
            <a:ext uri="{FF2B5EF4-FFF2-40B4-BE49-F238E27FC236}">
              <a16:creationId xmlns:a16="http://schemas.microsoft.com/office/drawing/2014/main" id="{3926A33B-EA33-446E-8182-3BC42FA795BF}"/>
            </a:ext>
          </a:extLst>
        </xdr:cNvPr>
        <xdr:cNvSpPr txBox="1"/>
      </xdr:nvSpPr>
      <xdr:spPr>
        <a:xfrm>
          <a:off x="1047750" y="43390705"/>
          <a:ext cx="1448666" cy="578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it-IT" sz="1800" b="0"/>
        </a:p>
        <a:p>
          <a:endParaRPr lang="it-IT" sz="1800"/>
        </a:p>
      </xdr:txBody>
    </xdr:sp>
    <xdr:clientData/>
  </xdr:oneCellAnchor>
  <xdr:oneCellAnchor>
    <xdr:from>
      <xdr:col>0</xdr:col>
      <xdr:colOff>839932</xdr:colOff>
      <xdr:row>226</xdr:row>
      <xdr:rowOff>25977</xdr:rowOff>
    </xdr:from>
    <xdr:ext cx="1448666" cy="3009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55E1A5C3-BAFB-4D45-B4E5-B904D8BDE6A1}"/>
                </a:ext>
              </a:extLst>
            </xdr:cNvPr>
            <xdr:cNvSpPr txBox="1"/>
          </xdr:nvSpPr>
          <xdr:spPr>
            <a:xfrm>
              <a:off x="839932" y="43459977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4" name="CasellaDiTesto 13">
              <a:extLst>
                <a:ext uri="{FF2B5EF4-FFF2-40B4-BE49-F238E27FC236}">
                  <a16:creationId xmlns:a16="http://schemas.microsoft.com/office/drawing/2014/main" id="{55E1A5C3-BAFB-4D45-B4E5-B904D8BDE6A1}"/>
                </a:ext>
              </a:extLst>
            </xdr:cNvPr>
            <xdr:cNvSpPr txBox="1"/>
          </xdr:nvSpPr>
          <xdr:spPr>
            <a:xfrm>
              <a:off x="839932" y="43459977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i="0">
                  <a:latin typeface="Cambria Math" panose="02040503050406030204" pitchFamily="18" charset="0"/>
                </a:rPr>
                <a:t>(</a:t>
              </a:r>
              <a:r>
                <a:rPr lang="it-IT" sz="1800" b="0" i="0">
                  <a:latin typeface="Cambria Math" panose="02040503050406030204" pitchFamily="18" charset="0"/>
                </a:rPr>
                <a:t>𝐶_𝑉 )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3</xdr:col>
      <xdr:colOff>92652</xdr:colOff>
      <xdr:row>242</xdr:row>
      <xdr:rowOff>114300</xdr:rowOff>
    </xdr:from>
    <xdr:ext cx="65" cy="172227"/>
    <xdr:sp macro="" textlink="">
      <xdr:nvSpPr>
        <xdr:cNvPr id="15" name="CasellaDiTesto 14">
          <a:extLst>
            <a:ext uri="{FF2B5EF4-FFF2-40B4-BE49-F238E27FC236}">
              <a16:creationId xmlns:a16="http://schemas.microsoft.com/office/drawing/2014/main" id="{02A8B7E5-1925-4F44-88C5-92430F21E1F0}"/>
            </a:ext>
          </a:extLst>
        </xdr:cNvPr>
        <xdr:cNvSpPr txBox="1"/>
      </xdr:nvSpPr>
      <xdr:spPr>
        <a:xfrm>
          <a:off x="4283652" y="46535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5</xdr:col>
      <xdr:colOff>1235651</xdr:colOff>
      <xdr:row>196</xdr:row>
      <xdr:rowOff>71005</xdr:rowOff>
    </xdr:from>
    <xdr:ext cx="2184689" cy="4383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A191EF26-FBB0-40C7-8F6B-52F053ADEEDD}"/>
                </a:ext>
              </a:extLst>
            </xdr:cNvPr>
            <xdr:cNvSpPr txBox="1"/>
          </xdr:nvSpPr>
          <xdr:spPr>
            <a:xfrm>
              <a:off x="8482271" y="37774765"/>
              <a:ext cx="2184689" cy="438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400" b="0" i="1">
                      <a:latin typeface="Cambria Math" panose="02040503050406030204" pitchFamily="18" charset="0"/>
                    </a:rPr>
                    <m:t>𝐼</m:t>
                  </m:r>
                  <m:r>
                    <a:rPr lang="it-IT" sz="1400" b="0" i="1">
                      <a:latin typeface="Cambria Math" panose="02040503050406030204" pitchFamily="18" charset="0"/>
                    </a:rPr>
                    <m:t>=</m:t>
                  </m:r>
                  <m:rad>
                    <m:radPr>
                      <m:degHide m:val="on"/>
                      <m:ctrlPr>
                        <a:rPr lang="it-IT" sz="1400" b="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bSup>
                        <m:sSubSupPr>
                          <m:ctrlPr>
                            <a:rPr lang="it-IT" sz="14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sub>
                        <m:sup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  <m:r>
                        <a:rPr lang="it-IT" sz="1400" b="0" i="1">
                          <a:latin typeface="Cambria Math" panose="02040503050406030204" pitchFamily="18" charset="0"/>
                        </a:rPr>
                        <m:t>+</m:t>
                      </m:r>
                      <m:sSubSup>
                        <m:sSubSupPr>
                          <m:ctrlPr>
                            <a:rPr lang="it-IT" sz="14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𝑦</m:t>
                          </m:r>
                        </m:sub>
                        <m:sup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  <m:r>
                        <a:rPr lang="it-IT" sz="1400" b="0" i="1">
                          <a:latin typeface="Cambria Math" panose="02040503050406030204" pitchFamily="18" charset="0"/>
                        </a:rPr>
                        <m:t>+</m:t>
                      </m:r>
                      <m:sSubSup>
                        <m:sSubSupPr>
                          <m:ctrlPr>
                            <a:rPr lang="it-IT" sz="14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𝑧</m:t>
                          </m:r>
                        </m:sub>
                        <m:sup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</m:e>
                  </m:rad>
                </m:oMath>
              </a14:m>
              <a:r>
                <a:rPr lang="it-IT" sz="1400"/>
                <a:t> =</a:t>
              </a:r>
            </a:p>
          </xdr:txBody>
        </xdr:sp>
      </mc:Choice>
      <mc:Fallback xmlns="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A191EF26-FBB0-40C7-8F6B-52F053ADEEDD}"/>
                </a:ext>
              </a:extLst>
            </xdr:cNvPr>
            <xdr:cNvSpPr txBox="1"/>
          </xdr:nvSpPr>
          <xdr:spPr>
            <a:xfrm>
              <a:off x="8482271" y="37774765"/>
              <a:ext cx="2184689" cy="438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400" b="0" i="0">
                  <a:latin typeface="Cambria Math" panose="02040503050406030204" pitchFamily="18" charset="0"/>
                </a:rPr>
                <a:t>𝐼=√(𝐼_𝑥^2+𝐼_𝑦^2+𝐼_𝑧^2 )</a:t>
              </a:r>
              <a:r>
                <a:rPr lang="it-IT" sz="1400"/>
                <a:t> =</a:t>
              </a:r>
            </a:p>
          </xdr:txBody>
        </xdr:sp>
      </mc:Fallback>
    </mc:AlternateContent>
    <xdr:clientData/>
  </xdr:oneCellAnchor>
  <xdr:oneCellAnchor>
    <xdr:from>
      <xdr:col>0</xdr:col>
      <xdr:colOff>1079788</xdr:colOff>
      <xdr:row>248</xdr:row>
      <xdr:rowOff>62346</xdr:rowOff>
    </xdr:from>
    <xdr:ext cx="660689" cy="2956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asellaDiTesto 16">
              <a:extLst>
                <a:ext uri="{FF2B5EF4-FFF2-40B4-BE49-F238E27FC236}">
                  <a16:creationId xmlns:a16="http://schemas.microsoft.com/office/drawing/2014/main" id="{74748949-0C99-41C0-9C69-944904E9ECC5}"/>
                </a:ext>
              </a:extLst>
            </xdr:cNvPr>
            <xdr:cNvSpPr txBox="1"/>
          </xdr:nvSpPr>
          <xdr:spPr>
            <a:xfrm>
              <a:off x="1079788" y="47641626"/>
              <a:ext cx="660689" cy="295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7" name="CasellaDiTesto 16">
              <a:extLst>
                <a:ext uri="{FF2B5EF4-FFF2-40B4-BE49-F238E27FC236}">
                  <a16:creationId xmlns:a16="http://schemas.microsoft.com/office/drawing/2014/main" id="{74748949-0C99-41C0-9C69-944904E9ECC5}"/>
                </a:ext>
              </a:extLst>
            </xdr:cNvPr>
            <xdr:cNvSpPr txBox="1"/>
          </xdr:nvSpPr>
          <xdr:spPr>
            <a:xfrm>
              <a:off x="1079788" y="47641626"/>
              <a:ext cx="660689" cy="295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𝐹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1047750</xdr:colOff>
      <xdr:row>248</xdr:row>
      <xdr:rowOff>147205</xdr:rowOff>
    </xdr:from>
    <xdr:ext cx="1448666" cy="578172"/>
    <xdr:sp macro="" textlink="">
      <xdr:nvSpPr>
        <xdr:cNvPr id="18" name="CasellaDiTesto 17">
          <a:extLst>
            <a:ext uri="{FF2B5EF4-FFF2-40B4-BE49-F238E27FC236}">
              <a16:creationId xmlns:a16="http://schemas.microsoft.com/office/drawing/2014/main" id="{CFD9E7FD-1B6C-4FA2-A48F-516DADFC4268}"/>
            </a:ext>
          </a:extLst>
        </xdr:cNvPr>
        <xdr:cNvSpPr txBox="1"/>
      </xdr:nvSpPr>
      <xdr:spPr>
        <a:xfrm>
          <a:off x="1047750" y="47726485"/>
          <a:ext cx="1448666" cy="578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it-IT" sz="1800" b="0"/>
        </a:p>
        <a:p>
          <a:endParaRPr lang="it-IT" sz="1800"/>
        </a:p>
      </xdr:txBody>
    </xdr:sp>
    <xdr:clientData/>
  </xdr:oneCellAnchor>
  <xdr:oneCellAnchor>
    <xdr:from>
      <xdr:col>3</xdr:col>
      <xdr:colOff>92652</xdr:colOff>
      <xdr:row>265</xdr:row>
      <xdr:rowOff>114300</xdr:rowOff>
    </xdr:from>
    <xdr:ext cx="65" cy="172227"/>
    <xdr:sp macro="" textlink="">
      <xdr:nvSpPr>
        <xdr:cNvPr id="19" name="CasellaDiTesto 18">
          <a:extLst>
            <a:ext uri="{FF2B5EF4-FFF2-40B4-BE49-F238E27FC236}">
              <a16:creationId xmlns:a16="http://schemas.microsoft.com/office/drawing/2014/main" id="{AD1FD9D0-EF0F-4D94-8792-E7C82EE76807}"/>
            </a:ext>
          </a:extLst>
        </xdr:cNvPr>
        <xdr:cNvSpPr txBox="1"/>
      </xdr:nvSpPr>
      <xdr:spPr>
        <a:xfrm>
          <a:off x="4283652" y="508101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9</xdr:col>
      <xdr:colOff>92652</xdr:colOff>
      <xdr:row>218</xdr:row>
      <xdr:rowOff>114300</xdr:rowOff>
    </xdr:from>
    <xdr:ext cx="65" cy="172227"/>
    <xdr:sp macro="" textlink="">
      <xdr:nvSpPr>
        <xdr:cNvPr id="20" name="CasellaDiTesto 19">
          <a:extLst>
            <a:ext uri="{FF2B5EF4-FFF2-40B4-BE49-F238E27FC236}">
              <a16:creationId xmlns:a16="http://schemas.microsoft.com/office/drawing/2014/main" id="{D7FA8AC2-BFB0-42BC-8B42-9BB811444F56}"/>
            </a:ext>
          </a:extLst>
        </xdr:cNvPr>
        <xdr:cNvSpPr txBox="1"/>
      </xdr:nvSpPr>
      <xdr:spPr>
        <a:xfrm>
          <a:off x="12238932" y="420090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144605</xdr:colOff>
      <xdr:row>138</xdr:row>
      <xdr:rowOff>140276</xdr:rowOff>
    </xdr:from>
    <xdr:ext cx="1791131" cy="2528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asellaDiTesto 20">
              <a:extLst>
                <a:ext uri="{FF2B5EF4-FFF2-40B4-BE49-F238E27FC236}">
                  <a16:creationId xmlns:a16="http://schemas.microsoft.com/office/drawing/2014/main" id="{95CB3E5C-541B-4B9A-BCED-36BD77BF5987}"/>
                </a:ext>
              </a:extLst>
            </xdr:cNvPr>
            <xdr:cNvSpPr txBox="1"/>
          </xdr:nvSpPr>
          <xdr:spPr>
            <a:xfrm>
              <a:off x="144605" y="26558816"/>
              <a:ext cx="1791131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600" b="0" i="1">
                        <a:latin typeface="Cambria Math" panose="02040503050406030204" pitchFamily="18" charset="0"/>
                      </a:rPr>
                      <m:t>𝑠𝑖𝑐𝑐𝑜𝑚𝑒</m:t>
                    </m:r>
                    <m:r>
                      <a:rPr lang="it-IT" sz="16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it-IT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6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it-IT" sz="16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  <m:r>
                      <a:rPr lang="it-IT" sz="1600" b="0" i="1">
                        <a:latin typeface="Cambria Math" panose="02040503050406030204" pitchFamily="18" charset="0"/>
                      </a:rPr>
                      <m:t>≫</m:t>
                    </m:r>
                    <m:sSub>
                      <m:sSubPr>
                        <m:ctrlPr>
                          <a:rPr lang="it-IT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6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it-IT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  <m:r>
                      <a:rPr lang="it-IT" sz="16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it-IT" sz="1600" b="0" i="1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21" name="CasellaDiTesto 20">
              <a:extLst>
                <a:ext uri="{FF2B5EF4-FFF2-40B4-BE49-F238E27FC236}">
                  <a16:creationId xmlns:a16="http://schemas.microsoft.com/office/drawing/2014/main" id="{95CB3E5C-541B-4B9A-BCED-36BD77BF5987}"/>
                </a:ext>
              </a:extLst>
            </xdr:cNvPr>
            <xdr:cNvSpPr txBox="1"/>
          </xdr:nvSpPr>
          <xdr:spPr>
            <a:xfrm>
              <a:off x="144605" y="26558816"/>
              <a:ext cx="1791131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600" b="0" i="0">
                  <a:latin typeface="Cambria Math" panose="02040503050406030204" pitchFamily="18" charset="0"/>
                </a:rPr>
                <a:t>𝑠𝑖𝑐𝑐𝑜𝑚𝑒 𝐸_𝑒𝑙≫𝐾_𝑏 𝑇:</a:t>
              </a:r>
              <a:endParaRPr lang="it-IT" sz="1100"/>
            </a:p>
          </xdr:txBody>
        </xdr:sp>
      </mc:Fallback>
    </mc:AlternateContent>
    <xdr:clientData/>
  </xdr:oneCellAnchor>
  <xdr:twoCellAnchor>
    <xdr:from>
      <xdr:col>5</xdr:col>
      <xdr:colOff>251112</xdr:colOff>
      <xdr:row>178</xdr:row>
      <xdr:rowOff>60614</xdr:rowOff>
    </xdr:from>
    <xdr:to>
      <xdr:col>6</xdr:col>
      <xdr:colOff>588817</xdr:colOff>
      <xdr:row>188</xdr:row>
      <xdr:rowOff>8659</xdr:rowOff>
    </xdr:to>
    <xdr:sp macro="" textlink="">
      <xdr:nvSpPr>
        <xdr:cNvPr id="22" name="CasellaDiTesto 21">
          <a:extLst>
            <a:ext uri="{FF2B5EF4-FFF2-40B4-BE49-F238E27FC236}">
              <a16:creationId xmlns:a16="http://schemas.microsoft.com/office/drawing/2014/main" id="{E71204DE-B367-4E6A-8699-86C7A9D601CC}"/>
            </a:ext>
          </a:extLst>
        </xdr:cNvPr>
        <xdr:cNvSpPr txBox="1"/>
      </xdr:nvSpPr>
      <xdr:spPr>
        <a:xfrm>
          <a:off x="7497732" y="34442054"/>
          <a:ext cx="1671205" cy="1784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Since there are no temperature dependent terms in the partition function, the electronic</a:t>
          </a:r>
        </a:p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heat capacity and the internal thermal energy due to electronic motion are both zero.</a:t>
          </a:r>
          <a:endParaRPr lang="it-IT" sz="1100"/>
        </a:p>
      </xdr:txBody>
    </xdr:sp>
    <xdr:clientData/>
  </xdr:twoCellAnchor>
  <xdr:twoCellAnchor>
    <xdr:from>
      <xdr:col>5</xdr:col>
      <xdr:colOff>112569</xdr:colOff>
      <xdr:row>230</xdr:row>
      <xdr:rowOff>77931</xdr:rowOff>
    </xdr:from>
    <xdr:to>
      <xdr:col>6</xdr:col>
      <xdr:colOff>207819</xdr:colOff>
      <xdr:row>242</xdr:row>
      <xdr:rowOff>0</xdr:rowOff>
    </xdr:to>
    <xdr:sp macro="" textlink="">
      <xdr:nvSpPr>
        <xdr:cNvPr id="23" name="CasellaDiTesto 22">
          <a:extLst>
            <a:ext uri="{FF2B5EF4-FFF2-40B4-BE49-F238E27FC236}">
              <a16:creationId xmlns:a16="http://schemas.microsoft.com/office/drawing/2014/main" id="{A127984C-9F0A-45FA-A95F-A8EF4A69EC12}"/>
            </a:ext>
          </a:extLst>
        </xdr:cNvPr>
        <xdr:cNvSpPr txBox="1"/>
      </xdr:nvSpPr>
      <xdr:spPr>
        <a:xfrm>
          <a:off x="7359189" y="44296791"/>
          <a:ext cx="1428750" cy="212424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Since there are no temperature dependent terms in the partition function, the electronic</a:t>
          </a:r>
        </a:p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heat capacity and the internal thermal energy due to electronic motion are both zero.</a:t>
          </a:r>
          <a:endParaRPr lang="it-IT" sz="1100"/>
        </a:p>
      </xdr:txBody>
    </xdr:sp>
    <xdr:clientData/>
  </xdr:twoCellAnchor>
  <xdr:twoCellAnchor>
    <xdr:from>
      <xdr:col>5</xdr:col>
      <xdr:colOff>710046</xdr:colOff>
      <xdr:row>226</xdr:row>
      <xdr:rowOff>69272</xdr:rowOff>
    </xdr:from>
    <xdr:to>
      <xdr:col>5</xdr:col>
      <xdr:colOff>762000</xdr:colOff>
      <xdr:row>230</xdr:row>
      <xdr:rowOff>25976</xdr:rowOff>
    </xdr:to>
    <xdr:cxnSp macro="">
      <xdr:nvCxnSpPr>
        <xdr:cNvPr id="24" name="Connettore 2 23">
          <a:extLst>
            <a:ext uri="{FF2B5EF4-FFF2-40B4-BE49-F238E27FC236}">
              <a16:creationId xmlns:a16="http://schemas.microsoft.com/office/drawing/2014/main" id="{26413546-0CEC-4FF8-857C-03A35DCD6FBD}"/>
            </a:ext>
          </a:extLst>
        </xdr:cNvPr>
        <xdr:cNvCxnSpPr/>
      </xdr:nvCxnSpPr>
      <xdr:spPr>
        <a:xfrm>
          <a:off x="7956666" y="43503272"/>
          <a:ext cx="51954" cy="7415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787977</xdr:colOff>
      <xdr:row>176</xdr:row>
      <xdr:rowOff>95250</xdr:rowOff>
    </xdr:from>
    <xdr:to>
      <xdr:col>5</xdr:col>
      <xdr:colOff>796636</xdr:colOff>
      <xdr:row>177</xdr:row>
      <xdr:rowOff>216477</xdr:rowOff>
    </xdr:to>
    <xdr:cxnSp macro="">
      <xdr:nvCxnSpPr>
        <xdr:cNvPr id="25" name="Connettore 2 24">
          <a:extLst>
            <a:ext uri="{FF2B5EF4-FFF2-40B4-BE49-F238E27FC236}">
              <a16:creationId xmlns:a16="http://schemas.microsoft.com/office/drawing/2014/main" id="{906FB572-142E-45C2-99D9-BB56762509B4}"/>
            </a:ext>
          </a:extLst>
        </xdr:cNvPr>
        <xdr:cNvCxnSpPr/>
      </xdr:nvCxnSpPr>
      <xdr:spPr>
        <a:xfrm>
          <a:off x="8034597" y="34057590"/>
          <a:ext cx="8659" cy="3041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943840</xdr:colOff>
      <xdr:row>198</xdr:row>
      <xdr:rowOff>34636</xdr:rowOff>
    </xdr:from>
    <xdr:ext cx="1220932" cy="3057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CasellaDiTesto 25">
              <a:extLst>
                <a:ext uri="{FF2B5EF4-FFF2-40B4-BE49-F238E27FC236}">
                  <a16:creationId xmlns:a16="http://schemas.microsoft.com/office/drawing/2014/main" id="{34C69340-74E5-422B-BB5E-57E34718B640}"/>
                </a:ext>
              </a:extLst>
            </xdr:cNvPr>
            <xdr:cNvSpPr txBox="1"/>
          </xdr:nvSpPr>
          <xdr:spPr>
            <a:xfrm>
              <a:off x="2993620" y="38142256"/>
              <a:ext cx="1220932" cy="305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05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</m:acc>
                    <m:r>
                      <a:rPr lang="it-IT" sz="105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05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105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05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05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it-IT" sz="1050"/>
            </a:p>
          </xdr:txBody>
        </xdr:sp>
      </mc:Choice>
      <mc:Fallback xmlns="">
        <xdr:sp macro="" textlink="">
          <xdr:nvSpPr>
            <xdr:cNvPr id="26" name="CasellaDiTesto 25">
              <a:extLst>
                <a:ext uri="{FF2B5EF4-FFF2-40B4-BE49-F238E27FC236}">
                  <a16:creationId xmlns:a16="http://schemas.microsoft.com/office/drawing/2014/main" id="{34C69340-74E5-422B-BB5E-57E34718B640}"/>
                </a:ext>
              </a:extLst>
            </xdr:cNvPr>
            <xdr:cNvSpPr txBox="1"/>
          </xdr:nvSpPr>
          <xdr:spPr>
            <a:xfrm>
              <a:off x="2993620" y="38142256"/>
              <a:ext cx="1220932" cy="305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050" b="0" i="0">
                  <a:latin typeface="Cambria Math" panose="02040503050406030204" pitchFamily="18" charset="0"/>
                </a:rPr>
                <a:t>𝑉 ̃=(𝑘_𝐵 𝑇)/𝑃</a:t>
              </a:r>
              <a:endParaRPr lang="it-IT" sz="1050"/>
            </a:p>
          </xdr:txBody>
        </xdr:sp>
      </mc:Fallback>
    </mc:AlternateContent>
    <xdr:clientData/>
  </xdr:oneCellAnchor>
  <xdr:oneCellAnchor>
    <xdr:from>
      <xdr:col>9</xdr:col>
      <xdr:colOff>92652</xdr:colOff>
      <xdr:row>242</xdr:row>
      <xdr:rowOff>114300</xdr:rowOff>
    </xdr:from>
    <xdr:ext cx="65" cy="172227"/>
    <xdr:sp macro="" textlink="">
      <xdr:nvSpPr>
        <xdr:cNvPr id="27" name="CasellaDiTesto 26">
          <a:extLst>
            <a:ext uri="{FF2B5EF4-FFF2-40B4-BE49-F238E27FC236}">
              <a16:creationId xmlns:a16="http://schemas.microsoft.com/office/drawing/2014/main" id="{251EE86D-3DBC-4017-821C-0A1506073C31}"/>
            </a:ext>
          </a:extLst>
        </xdr:cNvPr>
        <xdr:cNvSpPr txBox="1"/>
      </xdr:nvSpPr>
      <xdr:spPr>
        <a:xfrm>
          <a:off x="12238932" y="465353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1047750</xdr:colOff>
      <xdr:row>273</xdr:row>
      <xdr:rowOff>147205</xdr:rowOff>
    </xdr:from>
    <xdr:ext cx="1448666" cy="578172"/>
    <xdr:sp macro="" textlink="">
      <xdr:nvSpPr>
        <xdr:cNvPr id="28" name="CasellaDiTesto 27">
          <a:extLst>
            <a:ext uri="{FF2B5EF4-FFF2-40B4-BE49-F238E27FC236}">
              <a16:creationId xmlns:a16="http://schemas.microsoft.com/office/drawing/2014/main" id="{DE202AE4-1E97-482E-9887-8A53581E0467}"/>
            </a:ext>
          </a:extLst>
        </xdr:cNvPr>
        <xdr:cNvSpPr txBox="1"/>
      </xdr:nvSpPr>
      <xdr:spPr>
        <a:xfrm>
          <a:off x="1047750" y="52367065"/>
          <a:ext cx="1448666" cy="578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it-IT" sz="1800" b="0"/>
        </a:p>
        <a:p>
          <a:endParaRPr lang="it-IT" sz="1800"/>
        </a:p>
      </xdr:txBody>
    </xdr:sp>
    <xdr:clientData/>
  </xdr:oneCellAnchor>
  <xdr:oneCellAnchor>
    <xdr:from>
      <xdr:col>0</xdr:col>
      <xdr:colOff>839932</xdr:colOff>
      <xdr:row>274</xdr:row>
      <xdr:rowOff>25977</xdr:rowOff>
    </xdr:from>
    <xdr:ext cx="1448666" cy="3009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CasellaDiTesto 28">
              <a:extLst>
                <a:ext uri="{FF2B5EF4-FFF2-40B4-BE49-F238E27FC236}">
                  <a16:creationId xmlns:a16="http://schemas.microsoft.com/office/drawing/2014/main" id="{86204F6E-02AA-4B12-A8C9-6F6C17BA91E1}"/>
                </a:ext>
              </a:extLst>
            </xdr:cNvPr>
            <xdr:cNvSpPr txBox="1"/>
          </xdr:nvSpPr>
          <xdr:spPr>
            <a:xfrm>
              <a:off x="839932" y="52436337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29" name="CasellaDiTesto 28">
              <a:extLst>
                <a:ext uri="{FF2B5EF4-FFF2-40B4-BE49-F238E27FC236}">
                  <a16:creationId xmlns:a16="http://schemas.microsoft.com/office/drawing/2014/main" id="{86204F6E-02AA-4B12-A8C9-6F6C17BA91E1}"/>
                </a:ext>
              </a:extLst>
            </xdr:cNvPr>
            <xdr:cNvSpPr txBox="1"/>
          </xdr:nvSpPr>
          <xdr:spPr>
            <a:xfrm>
              <a:off x="839932" y="52436337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i="0">
                  <a:latin typeface="Cambria Math" panose="02040503050406030204" pitchFamily="18" charset="0"/>
                </a:rPr>
                <a:t>(</a:t>
              </a:r>
              <a:r>
                <a:rPr lang="it-IT" sz="1800" b="0" i="0">
                  <a:latin typeface="Cambria Math" panose="02040503050406030204" pitchFamily="18" charset="0"/>
                </a:rPr>
                <a:t>𝐶_𝑃 )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3</xdr:col>
      <xdr:colOff>92652</xdr:colOff>
      <xdr:row>290</xdr:row>
      <xdr:rowOff>114300</xdr:rowOff>
    </xdr:from>
    <xdr:ext cx="65" cy="172227"/>
    <xdr:sp macro="" textlink="">
      <xdr:nvSpPr>
        <xdr:cNvPr id="30" name="CasellaDiTesto 29">
          <a:extLst>
            <a:ext uri="{FF2B5EF4-FFF2-40B4-BE49-F238E27FC236}">
              <a16:creationId xmlns:a16="http://schemas.microsoft.com/office/drawing/2014/main" id="{904B3674-6E2E-4C1D-9837-81F570308D3E}"/>
            </a:ext>
          </a:extLst>
        </xdr:cNvPr>
        <xdr:cNvSpPr txBox="1"/>
      </xdr:nvSpPr>
      <xdr:spPr>
        <a:xfrm>
          <a:off x="4283652" y="554507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5</xdr:col>
      <xdr:colOff>112569</xdr:colOff>
      <xdr:row>278</xdr:row>
      <xdr:rowOff>77931</xdr:rowOff>
    </xdr:from>
    <xdr:to>
      <xdr:col>6</xdr:col>
      <xdr:colOff>207819</xdr:colOff>
      <xdr:row>290</xdr:row>
      <xdr:rowOff>0</xdr:rowOff>
    </xdr:to>
    <xdr:sp macro="" textlink="">
      <xdr:nvSpPr>
        <xdr:cNvPr id="31" name="CasellaDiTesto 30">
          <a:extLst>
            <a:ext uri="{FF2B5EF4-FFF2-40B4-BE49-F238E27FC236}">
              <a16:creationId xmlns:a16="http://schemas.microsoft.com/office/drawing/2014/main" id="{F00B44B7-4E73-4DD7-9EFB-DC57A319D0EE}"/>
            </a:ext>
          </a:extLst>
        </xdr:cNvPr>
        <xdr:cNvSpPr txBox="1"/>
      </xdr:nvSpPr>
      <xdr:spPr>
        <a:xfrm>
          <a:off x="7359189" y="53219811"/>
          <a:ext cx="1428750" cy="211662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Since there are no temperature dependent terms in the partition function, the electronic</a:t>
          </a:r>
        </a:p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heat capacity and the internal thermal energy due to electronic motion are both zero.</a:t>
          </a:r>
          <a:endParaRPr lang="it-IT" sz="1100"/>
        </a:p>
      </xdr:txBody>
    </xdr:sp>
    <xdr:clientData/>
  </xdr:twoCellAnchor>
  <xdr:twoCellAnchor>
    <xdr:from>
      <xdr:col>5</xdr:col>
      <xdr:colOff>710046</xdr:colOff>
      <xdr:row>274</xdr:row>
      <xdr:rowOff>69272</xdr:rowOff>
    </xdr:from>
    <xdr:to>
      <xdr:col>5</xdr:col>
      <xdr:colOff>762000</xdr:colOff>
      <xdr:row>278</xdr:row>
      <xdr:rowOff>25976</xdr:rowOff>
    </xdr:to>
    <xdr:cxnSp macro="">
      <xdr:nvCxnSpPr>
        <xdr:cNvPr id="32" name="Connettore 2 31">
          <a:extLst>
            <a:ext uri="{FF2B5EF4-FFF2-40B4-BE49-F238E27FC236}">
              <a16:creationId xmlns:a16="http://schemas.microsoft.com/office/drawing/2014/main" id="{E8ECA6D0-38A2-4061-B7CB-0FDBFBD0C4E9}"/>
            </a:ext>
          </a:extLst>
        </xdr:cNvPr>
        <xdr:cNvCxnSpPr/>
      </xdr:nvCxnSpPr>
      <xdr:spPr>
        <a:xfrm>
          <a:off x="7956666" y="52479632"/>
          <a:ext cx="51954" cy="6882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92652</xdr:colOff>
      <xdr:row>290</xdr:row>
      <xdr:rowOff>114300</xdr:rowOff>
    </xdr:from>
    <xdr:ext cx="65" cy="172227"/>
    <xdr:sp macro="" textlink="">
      <xdr:nvSpPr>
        <xdr:cNvPr id="33" name="CasellaDiTesto 32">
          <a:extLst>
            <a:ext uri="{FF2B5EF4-FFF2-40B4-BE49-F238E27FC236}">
              <a16:creationId xmlns:a16="http://schemas.microsoft.com/office/drawing/2014/main" id="{7780D69D-B5F4-401B-994A-64D890170323}"/>
            </a:ext>
          </a:extLst>
        </xdr:cNvPr>
        <xdr:cNvSpPr txBox="1"/>
      </xdr:nvSpPr>
      <xdr:spPr>
        <a:xfrm>
          <a:off x="12238932" y="554507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242455</xdr:colOff>
      <xdr:row>280</xdr:row>
      <xdr:rowOff>0</xdr:rowOff>
    </xdr:from>
    <xdr:ext cx="1448666" cy="3009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CasellaDiTesto 33">
              <a:extLst>
                <a:ext uri="{FF2B5EF4-FFF2-40B4-BE49-F238E27FC236}">
                  <a16:creationId xmlns:a16="http://schemas.microsoft.com/office/drawing/2014/main" id="{93C260F7-E054-45FB-A56C-9462D6D3F169}"/>
                </a:ext>
              </a:extLst>
            </xdr:cNvPr>
            <xdr:cNvSpPr txBox="1"/>
          </xdr:nvSpPr>
          <xdr:spPr>
            <a:xfrm>
              <a:off x="242455" y="53507640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sub>
                        </m:sSub>
                      </m:e>
                    </m:acc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it-IT" sz="18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it-IT" sz="18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̃"/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sub>
                        </m:sSub>
                      </m:e>
                    </m:acc>
                    <m:r>
                      <a:rPr lang="it-IT" sz="18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34" name="CasellaDiTesto 33">
              <a:extLst>
                <a:ext uri="{FF2B5EF4-FFF2-40B4-BE49-F238E27FC236}">
                  <a16:creationId xmlns:a16="http://schemas.microsoft.com/office/drawing/2014/main" id="{93C260F7-E054-45FB-A56C-9462D6D3F169}"/>
                </a:ext>
              </a:extLst>
            </xdr:cNvPr>
            <xdr:cNvSpPr txBox="1"/>
          </xdr:nvSpPr>
          <xdr:spPr>
            <a:xfrm>
              <a:off x="242455" y="53507640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i="0">
                  <a:latin typeface="Cambria Math" panose="02040503050406030204" pitchFamily="18" charset="0"/>
                </a:rPr>
                <a:t>(</a:t>
              </a:r>
              <a:r>
                <a:rPr lang="it-IT" sz="1800" b="0" i="0">
                  <a:latin typeface="Cambria Math" panose="02040503050406030204" pitchFamily="18" charset="0"/>
                </a:rPr>
                <a:t>𝐶_𝑃 ) ̃=𝑅+(𝐶_𝑉 ) ̃  </a:t>
              </a:r>
              <a:endParaRPr lang="it-IT" sz="1800"/>
            </a:p>
          </xdr:txBody>
        </xdr:sp>
      </mc:Fallback>
    </mc:AlternateContent>
    <xdr:clientData/>
  </xdr:oneCellAnchor>
  <xdr:twoCellAnchor>
    <xdr:from>
      <xdr:col>0</xdr:col>
      <xdr:colOff>0</xdr:colOff>
      <xdr:row>277</xdr:row>
      <xdr:rowOff>173182</xdr:rowOff>
    </xdr:from>
    <xdr:to>
      <xdr:col>0</xdr:col>
      <xdr:colOff>1982932</xdr:colOff>
      <xdr:row>279</xdr:row>
      <xdr:rowOff>147204</xdr:rowOff>
    </xdr:to>
    <xdr:sp macro="" textlink="">
      <xdr:nvSpPr>
        <xdr:cNvPr id="35" name="CasellaDiTesto 34">
          <a:extLst>
            <a:ext uri="{FF2B5EF4-FFF2-40B4-BE49-F238E27FC236}">
              <a16:creationId xmlns:a16="http://schemas.microsoft.com/office/drawing/2014/main" id="{38567184-AC9E-4F62-8DEC-FC46E3FF2A31}"/>
            </a:ext>
          </a:extLst>
        </xdr:cNvPr>
        <xdr:cNvSpPr txBox="1"/>
      </xdr:nvSpPr>
      <xdr:spPr>
        <a:xfrm>
          <a:off x="0" y="53132182"/>
          <a:ext cx="1982932" cy="3397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from Mayer's</a:t>
          </a:r>
          <a:r>
            <a:rPr lang="it-IT" sz="1400" baseline="0"/>
            <a:t> relation:</a:t>
          </a:r>
          <a:endParaRPr lang="it-IT" sz="1400"/>
        </a:p>
      </xdr:txBody>
    </xdr:sp>
    <xdr:clientData/>
  </xdr:twoCellAnchor>
  <xdr:twoCellAnchor>
    <xdr:from>
      <xdr:col>0</xdr:col>
      <xdr:colOff>710046</xdr:colOff>
      <xdr:row>108</xdr:row>
      <xdr:rowOff>147204</xdr:rowOff>
    </xdr:from>
    <xdr:to>
      <xdr:col>2</xdr:col>
      <xdr:colOff>207819</xdr:colOff>
      <xdr:row>110</xdr:row>
      <xdr:rowOff>129886</xdr:rowOff>
    </xdr:to>
    <xdr:sp macro="" textlink="">
      <xdr:nvSpPr>
        <xdr:cNvPr id="36" name="CasellaDiTesto 35">
          <a:extLst>
            <a:ext uri="{FF2B5EF4-FFF2-40B4-BE49-F238E27FC236}">
              <a16:creationId xmlns:a16="http://schemas.microsoft.com/office/drawing/2014/main" id="{CD63123A-9824-4A01-AD71-70D162E1010D}"/>
            </a:ext>
          </a:extLst>
        </xdr:cNvPr>
        <xdr:cNvSpPr txBox="1"/>
      </xdr:nvSpPr>
      <xdr:spPr>
        <a:xfrm>
          <a:off x="710046" y="20675484"/>
          <a:ext cx="2682933" cy="4094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ho utilizzato però questa</a:t>
          </a:r>
          <a:r>
            <a:rPr lang="it-IT" sz="1100" baseline="0"/>
            <a:t> riscrittura:</a:t>
          </a:r>
          <a:endParaRPr lang="it-IT" sz="1100"/>
        </a:p>
      </xdr:txBody>
    </xdr:sp>
    <xdr:clientData/>
  </xdr:twoCellAnchor>
  <xdr:oneCellAnchor>
    <xdr:from>
      <xdr:col>0</xdr:col>
      <xdr:colOff>733423</xdr:colOff>
      <xdr:row>110</xdr:row>
      <xdr:rowOff>79664</xdr:rowOff>
    </xdr:from>
    <xdr:ext cx="2816804" cy="626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CasellaDiTesto 36">
              <a:extLst>
                <a:ext uri="{FF2B5EF4-FFF2-40B4-BE49-F238E27FC236}">
                  <a16:creationId xmlns:a16="http://schemas.microsoft.com/office/drawing/2014/main" id="{99F9BF8C-D272-436A-B580-D85A90785C4D}"/>
                </a:ext>
              </a:extLst>
            </xdr:cNvPr>
            <xdr:cNvSpPr txBox="1"/>
          </xdr:nvSpPr>
          <xdr:spPr>
            <a:xfrm>
              <a:off x="733423" y="21034664"/>
              <a:ext cx="2816804" cy="626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SupPr>
                    <m:e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Q</m:t>
                      </m:r>
                    </m:e>
                    <m:sub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rot</m:t>
                      </m:r>
                    </m:sub>
                    <m:sup>
                      <m: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D</m:t>
                      </m:r>
                    </m:sup>
                  </m:sSubSup>
                  <m:r>
                    <a:rPr lang="it-IT" sz="2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 </m:t>
                  </m:r>
                  <m:f>
                    <m:fPr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fPr>
                    <m:num>
                      <m:rad>
                        <m:radPr>
                          <m:degHide m:val="on"/>
                          <m:ctrlPr>
                            <a:rPr lang="it-IT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radPr>
                        <m:deg/>
                        <m:e>
                          <m:r>
                            <m:rPr>
                              <m:sty m:val="p"/>
                            </m:rP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π</m:t>
                          </m:r>
                        </m:e>
                      </m:rad>
                    </m:num>
                    <m:den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σ</m:t>
                      </m:r>
                    </m:den>
                  </m:f>
                  <m:r>
                    <a:rPr lang="it-IT" sz="2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⋅</m:t>
                  </m:r>
                  <m:rad>
                    <m:radPr>
                      <m:degHide m:val="on"/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it-IT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T</m:t>
                              </m:r>
                            </m:e>
                            <m:sup>
                              <m: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3</m:t>
                              </m:r>
                            </m:sup>
                          </m:sSup>
                        </m:num>
                        <m:den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x</m:t>
                              </m:r>
                            </m:sub>
                          </m:sSub>
                          <m: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⋅</m:t>
                          </m:r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y</m:t>
                              </m:r>
                            </m:sub>
                          </m:sSub>
                          <m: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⋅</m:t>
                          </m:r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z</m:t>
                              </m:r>
                            </m:sub>
                          </m:sSub>
                        </m:den>
                      </m:f>
                    </m:e>
                  </m:rad>
                </m:oMath>
              </a14:m>
              <a:r>
                <a:rPr lang="it-IT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</xdr:txBody>
        </xdr:sp>
      </mc:Choice>
      <mc:Fallback xmlns="">
        <xdr:sp macro="" textlink="">
          <xdr:nvSpPr>
            <xdr:cNvPr id="37" name="CasellaDiTesto 36">
              <a:extLst>
                <a:ext uri="{FF2B5EF4-FFF2-40B4-BE49-F238E27FC236}">
                  <a16:creationId xmlns:a16="http://schemas.microsoft.com/office/drawing/2014/main" id="{99F9BF8C-D272-436A-B580-D85A90785C4D}"/>
                </a:ext>
              </a:extLst>
            </xdr:cNvPr>
            <xdr:cNvSpPr txBox="1"/>
          </xdr:nvSpPr>
          <xdr:spPr>
            <a:xfrm>
              <a:off x="733423" y="21034664"/>
              <a:ext cx="2816804" cy="626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Q_rot^3D=  √π/σ⋅√(T^3/(θ_x⋅θ_y⋅θ_z ))</a:t>
              </a:r>
              <a:r>
                <a:rPr lang="it-IT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</xdr:txBody>
        </xdr:sp>
      </mc:Fallback>
    </mc:AlternateContent>
    <xdr:clientData/>
  </xdr:oneCellAnchor>
  <xdr:twoCellAnchor>
    <xdr:from>
      <xdr:col>0</xdr:col>
      <xdr:colOff>666750</xdr:colOff>
      <xdr:row>115</xdr:row>
      <xdr:rowOff>34636</xdr:rowOff>
    </xdr:from>
    <xdr:to>
      <xdr:col>2</xdr:col>
      <xdr:colOff>112569</xdr:colOff>
      <xdr:row>119</xdr:row>
      <xdr:rowOff>95249</xdr:rowOff>
    </xdr:to>
    <xdr:sp macro="" textlink="">
      <xdr:nvSpPr>
        <xdr:cNvPr id="38" name="CasellaDiTesto 37">
          <a:extLst>
            <a:ext uri="{FF2B5EF4-FFF2-40B4-BE49-F238E27FC236}">
              <a16:creationId xmlns:a16="http://schemas.microsoft.com/office/drawing/2014/main" id="{B5270C79-0512-452F-989B-8010CFA5B7F7}"/>
            </a:ext>
          </a:extLst>
        </xdr:cNvPr>
        <xdr:cNvSpPr txBox="1"/>
      </xdr:nvSpPr>
      <xdr:spPr>
        <a:xfrm>
          <a:off x="666750" y="21911656"/>
          <a:ext cx="2630979" cy="792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dove le </a:t>
          </a:r>
          <a:r>
            <a:rPr lang="el-GR" sz="1100"/>
            <a:t>ϑ</a:t>
          </a:r>
          <a:r>
            <a:rPr lang="it-IT" sz="1100"/>
            <a:t> rappresentano le temperature rotazionali rispetto agli assi x, y e z</a:t>
          </a:r>
        </a:p>
      </xdr:txBody>
    </xdr:sp>
    <xdr:clientData/>
  </xdr:twoCellAnchor>
  <xdr:twoCellAnchor editAs="oneCell">
    <xdr:from>
      <xdr:col>8</xdr:col>
      <xdr:colOff>406980</xdr:colOff>
      <xdr:row>10</xdr:row>
      <xdr:rowOff>112568</xdr:rowOff>
    </xdr:from>
    <xdr:to>
      <xdr:col>10</xdr:col>
      <xdr:colOff>1264228</xdr:colOff>
      <xdr:row>24</xdr:row>
      <xdr:rowOff>151445</xdr:rowOff>
    </xdr:to>
    <xdr:pic>
      <xdr:nvPicPr>
        <xdr:cNvPr id="39" name="Immagine 38">
          <a:extLst>
            <a:ext uri="{FF2B5EF4-FFF2-40B4-BE49-F238E27FC236}">
              <a16:creationId xmlns:a16="http://schemas.microsoft.com/office/drawing/2014/main" id="{13507022-2CFC-9E82-2D02-5D97124A62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04025" y="2060863"/>
          <a:ext cx="3403021" cy="2801127"/>
        </a:xfrm>
        <a:prstGeom prst="rect">
          <a:avLst/>
        </a:prstGeom>
      </xdr:spPr>
    </xdr:pic>
    <xdr:clientData/>
  </xdr:twoCellAnchor>
  <xdr:twoCellAnchor>
    <xdr:from>
      <xdr:col>2</xdr:col>
      <xdr:colOff>207818</xdr:colOff>
      <xdr:row>220</xdr:row>
      <xdr:rowOff>147205</xdr:rowOff>
    </xdr:from>
    <xdr:to>
      <xdr:col>3</xdr:col>
      <xdr:colOff>493568</xdr:colOff>
      <xdr:row>222</xdr:row>
      <xdr:rowOff>60614</xdr:rowOff>
    </xdr:to>
    <xdr:sp macro="" textlink="">
      <xdr:nvSpPr>
        <xdr:cNvPr id="40" name="CasellaDiTesto 39">
          <a:extLst>
            <a:ext uri="{FF2B5EF4-FFF2-40B4-BE49-F238E27FC236}">
              <a16:creationId xmlns:a16="http://schemas.microsoft.com/office/drawing/2014/main" id="{FCCC66A5-4EC4-1385-1DCF-C793698E789D}"/>
            </a:ext>
          </a:extLst>
        </xdr:cNvPr>
        <xdr:cNvSpPr txBox="1"/>
      </xdr:nvSpPr>
      <xdr:spPr>
        <a:xfrm>
          <a:off x="3394363" y="42377591"/>
          <a:ext cx="1290205" cy="2770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for S_trasl</a:t>
          </a:r>
          <a:r>
            <a:rPr lang="it-IT" sz="1100" baseline="0"/>
            <a:t> : </a:t>
          </a:r>
          <a:endParaRPr lang="it-IT" sz="1100"/>
        </a:p>
      </xdr:txBody>
    </xdr:sp>
    <xdr:clientData/>
  </xdr:twoCellAnchor>
  <xdr:twoCellAnchor editAs="oneCell">
    <xdr:from>
      <xdr:col>3</xdr:col>
      <xdr:colOff>43297</xdr:colOff>
      <xdr:row>220</xdr:row>
      <xdr:rowOff>17320</xdr:rowOff>
    </xdr:from>
    <xdr:to>
      <xdr:col>3</xdr:col>
      <xdr:colOff>1853047</xdr:colOff>
      <xdr:row>222</xdr:row>
      <xdr:rowOff>83556</xdr:rowOff>
    </xdr:to>
    <xdr:pic>
      <xdr:nvPicPr>
        <xdr:cNvPr id="41" name="Immagine 40">
          <a:extLst>
            <a:ext uri="{FF2B5EF4-FFF2-40B4-BE49-F238E27FC236}">
              <a16:creationId xmlns:a16="http://schemas.microsoft.com/office/drawing/2014/main" id="{D68CA23D-BFF4-D2C3-8988-8ADCDCCB16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34297" y="42247706"/>
          <a:ext cx="1809750" cy="429918"/>
        </a:xfrm>
        <a:prstGeom prst="rect">
          <a:avLst/>
        </a:prstGeom>
      </xdr:spPr>
    </xdr:pic>
    <xdr:clientData/>
  </xdr:twoCellAnchor>
  <xdr:oneCellAnchor>
    <xdr:from>
      <xdr:col>0</xdr:col>
      <xdr:colOff>450271</xdr:colOff>
      <xdr:row>63</xdr:row>
      <xdr:rowOff>17317</xdr:rowOff>
    </xdr:from>
    <xdr:ext cx="2764849" cy="10300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B94C59F5-E66E-4CCA-91D7-A7C1125F89DD}"/>
                </a:ext>
              </a:extLst>
            </xdr:cNvPr>
            <xdr:cNvSpPr txBox="1"/>
          </xdr:nvSpPr>
          <xdr:spPr>
            <a:xfrm>
              <a:off x="450271" y="11975522"/>
              <a:ext cx="2764849" cy="1030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vib</m:t>
                        </m:r>
                      </m:sub>
                    </m:sSub>
                    <m:r>
                      <a:rPr lang="it-IT" sz="1800" b="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∏"/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𝑣𝑖𝑏</m:t>
                            </m:r>
                          </m:sub>
                        </m:sSub>
                      </m:sup>
                      <m:e>
                        <m:f>
                          <m:f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m:rPr>
                                <m:sty m:val="p"/>
                              </m:rPr>
                              <a:rPr lang="it-IT" sz="1800" b="0" i="0">
                                <a:latin typeface="Cambria Math" panose="02040503050406030204" pitchFamily="18" charset="0"/>
                              </a:rPr>
                              <m:t>exp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⁡(−</m:t>
                            </m:r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den>
                            </m:f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 )</m:t>
                            </m:r>
                          </m:num>
                          <m:den>
                            <m:r>
                              <a:rPr lang="it-IT" sz="1800" b="0" i="0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m:rPr>
                                <m:sty m:val="p"/>
                              </m:rPr>
                              <a:rPr lang="it-IT" sz="1800" b="0" i="0">
                                <a:latin typeface="Cambria Math" panose="02040503050406030204" pitchFamily="18" charset="0"/>
                              </a:rPr>
                              <m:t>exp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⁡(−</m:t>
                            </m:r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den>
                            </m:f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B94C59F5-E66E-4CCA-91D7-A7C1125F89DD}"/>
                </a:ext>
              </a:extLst>
            </xdr:cNvPr>
            <xdr:cNvSpPr txBox="1"/>
          </xdr:nvSpPr>
          <xdr:spPr>
            <a:xfrm>
              <a:off x="450271" y="11975522"/>
              <a:ext cx="2764849" cy="1030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Q_vib=∏_(𝑖=1)^(𝑁_𝑣𝑖𝑏)▒(exp⁡(−(ℎ𝜈_𝑖)/(</a:t>
              </a:r>
              <a:r>
                <a:rPr lang="it-IT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〖2𝑘〗_𝐵 𝑇) </a:t>
              </a:r>
              <a:r>
                <a:rPr lang="it-IT" sz="1800" b="0" i="0">
                  <a:latin typeface="Cambria Math" panose="02040503050406030204" pitchFamily="18" charset="0"/>
                </a:rPr>
                <a:t> ))/(1−exp⁡(−(ℎ𝜈_𝑖)/(𝑘_𝐵 𝑇)))</a:t>
              </a:r>
              <a:endParaRPr lang="it-IT" sz="18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352424</xdr:colOff>
      <xdr:row>84</xdr:row>
      <xdr:rowOff>19049</xdr:rowOff>
    </xdr:from>
    <xdr:ext cx="3379644" cy="688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A6867BF2-14F0-41CA-913A-8108DB11F223}"/>
                </a:ext>
              </a:extLst>
            </xdr:cNvPr>
            <xdr:cNvSpPr txBox="1"/>
          </xdr:nvSpPr>
          <xdr:spPr>
            <a:xfrm>
              <a:off x="352424" y="16082009"/>
              <a:ext cx="3379644" cy="688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𝑡𝑟𝑎𝑠𝑙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𝜋</m:t>
                                </m:r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num>
                              <m:den>
                                <m:sSup>
                                  <m:sSup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h</m:t>
                                    </m:r>
                                  </m:e>
                                  <m:sup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3/2</m:t>
                        </m:r>
                      </m:sup>
                    </m:sSup>
                    <m:r>
                      <a:rPr lang="it-IT" sz="1800" b="0" i="1">
                        <a:latin typeface="Cambria Math" panose="02040503050406030204" pitchFamily="18" charset="0"/>
                      </a:rPr>
                      <m:t>⋅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A6867BF2-14F0-41CA-913A-8108DB11F223}"/>
                </a:ext>
              </a:extLst>
            </xdr:cNvPr>
            <xdr:cNvSpPr txBox="1"/>
          </xdr:nvSpPr>
          <xdr:spPr>
            <a:xfrm>
              <a:off x="352424" y="16082009"/>
              <a:ext cx="3379644" cy="688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𝑄_𝑡𝑟𝑎𝑠𝑙=((2𝜋𝑚𝑘_𝐵 𝑇)/ℎ^2 )^(3/2)⋅(𝑘_𝐵 𝑇)/𝑃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127289</xdr:colOff>
      <xdr:row>103</xdr:row>
      <xdr:rowOff>157596</xdr:rowOff>
    </xdr:from>
    <xdr:ext cx="4141643" cy="5943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32E960FC-E7B9-4EA3-8823-BE07345D7F9B}"/>
                </a:ext>
              </a:extLst>
            </xdr:cNvPr>
            <xdr:cNvSpPr txBox="1"/>
          </xdr:nvSpPr>
          <xdr:spPr>
            <a:xfrm>
              <a:off x="127289" y="19718136"/>
              <a:ext cx="4141643" cy="594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𝑟𝑜𝑡</m:t>
                        </m:r>
                      </m:sub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𝐷</m:t>
                        </m:r>
                      </m:sup>
                    </m:sSubSup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8</m:t>
                        </m:r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(2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3/2</m:t>
                            </m:r>
                          </m:sup>
                        </m:sSup>
                        <m:rad>
                          <m:radPr>
                            <m:degHide m:val="on"/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𝑧</m:t>
                                </m:r>
                              </m:sub>
                            </m:sSub>
                          </m:e>
                        </m:rad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𝜎</m:t>
                        </m:r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32E960FC-E7B9-4EA3-8823-BE07345D7F9B}"/>
                </a:ext>
              </a:extLst>
            </xdr:cNvPr>
            <xdr:cNvSpPr txBox="1"/>
          </xdr:nvSpPr>
          <xdr:spPr>
            <a:xfrm>
              <a:off x="127289" y="19718136"/>
              <a:ext cx="4141643" cy="594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𝑄_𝑟𝑜𝑡^3𝐷=(8𝜋^2 〖(2𝜋𝑘〗_𝐵 〖𝑇)〗^(3/2) √(𝐼_𝑥 𝐼_𝑦 𝐼_𝑧 ))/(𝜎ℎ^3 )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126</xdr:row>
      <xdr:rowOff>0</xdr:rowOff>
    </xdr:from>
    <xdr:ext cx="4141643" cy="452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A2C93E12-6E32-4838-9B45-87121D64973A}"/>
                </a:ext>
              </a:extLst>
            </xdr:cNvPr>
            <xdr:cNvSpPr txBox="1"/>
          </xdr:nvSpPr>
          <xdr:spPr>
            <a:xfrm>
              <a:off x="0" y="23919180"/>
              <a:ext cx="414164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⋅</m:t>
                    </m:r>
                    <m:sSup>
                      <m:s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𝑒𝑙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𝐵</m:t>
                                </m:r>
                              </m:sub>
                            </m:s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A2C93E12-6E32-4838-9B45-87121D64973A}"/>
                </a:ext>
              </a:extLst>
            </xdr:cNvPr>
            <xdr:cNvSpPr txBox="1"/>
          </xdr:nvSpPr>
          <xdr:spPr>
            <a:xfrm>
              <a:off x="0" y="23919180"/>
              <a:ext cx="414164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Q_el=𝑔_𝑒𝑙⋅𝑒^(−𝐸_𝑒𝑙/(𝑘_𝐵 𝑇))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216478</xdr:colOff>
      <xdr:row>153</xdr:row>
      <xdr:rowOff>114298</xdr:rowOff>
    </xdr:from>
    <xdr:ext cx="3717348" cy="5750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0F40F4FD-3EC4-4341-B011-47F5BE93A6E1}"/>
                </a:ext>
              </a:extLst>
            </xdr:cNvPr>
            <xdr:cNvSpPr txBox="1"/>
          </xdr:nvSpPr>
          <xdr:spPr>
            <a:xfrm>
              <a:off x="216478" y="29519878"/>
              <a:ext cx="3717348" cy="5750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8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𝑡𝑟𝑎𝑠𝑙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×</m:t>
                    </m:r>
                    <m:sSubSup>
                      <m:sSub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𝑟𝑜𝑡</m:t>
                        </m:r>
                      </m:sub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𝐷</m:t>
                        </m:r>
                      </m:sup>
                    </m:sSubSup>
                    <m:r>
                      <a:rPr lang="it-IT" sz="1800" b="0" i="1">
                        <a:latin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𝑣𝑖𝑏</m:t>
                        </m:r>
                      </m:sub>
                    </m:sSub>
                  </m:oMath>
                </m:oMathPara>
              </a14:m>
              <a:endParaRPr lang="it-IT" sz="1800" b="0"/>
            </a:p>
            <a:p>
              <a:endParaRPr lang="it-IT" sz="1800"/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0F40F4FD-3EC4-4341-B011-47F5BE93A6E1}"/>
                </a:ext>
              </a:extLst>
            </xdr:cNvPr>
            <xdr:cNvSpPr txBox="1"/>
          </xdr:nvSpPr>
          <xdr:spPr>
            <a:xfrm>
              <a:off x="216478" y="29519878"/>
              <a:ext cx="3717348" cy="5750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𝑄=𝑄_𝑡𝑟𝑎𝑠𝑙×𝑄_𝑒𝑙×𝑄_𝑟𝑜𝑡^3𝐷×𝑄_𝑣𝑖𝑏</a:t>
              </a:r>
              <a:endParaRPr lang="it-IT" sz="1800" b="0"/>
            </a:p>
            <a:p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0</xdr:colOff>
      <xdr:row>140</xdr:row>
      <xdr:rowOff>0</xdr:rowOff>
    </xdr:from>
    <xdr:ext cx="4141643" cy="2843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9FEEA6E2-52ED-452A-A686-A9204ABC2C67}"/>
                </a:ext>
              </a:extLst>
            </xdr:cNvPr>
            <xdr:cNvSpPr txBox="1"/>
          </xdr:nvSpPr>
          <xdr:spPr>
            <a:xfrm>
              <a:off x="0" y="26830020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9FEEA6E2-52ED-452A-A686-A9204ABC2C67}"/>
                </a:ext>
              </a:extLst>
            </xdr:cNvPr>
            <xdr:cNvSpPr txBox="1"/>
          </xdr:nvSpPr>
          <xdr:spPr>
            <a:xfrm>
              <a:off x="0" y="26830020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Q_el=𝑔_𝑒𝑙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141</xdr:row>
      <xdr:rowOff>138545</xdr:rowOff>
    </xdr:from>
    <xdr:ext cx="4141643" cy="2843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8139C43B-C325-4CF0-8843-F18D32A17412}"/>
                </a:ext>
              </a:extLst>
            </xdr:cNvPr>
            <xdr:cNvSpPr txBox="1"/>
          </xdr:nvSpPr>
          <xdr:spPr>
            <a:xfrm>
              <a:off x="0" y="27166685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=2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8139C43B-C325-4CF0-8843-F18D32A17412}"/>
                </a:ext>
              </a:extLst>
            </xdr:cNvPr>
            <xdr:cNvSpPr txBox="1"/>
          </xdr:nvSpPr>
          <xdr:spPr>
            <a:xfrm>
              <a:off x="0" y="27166685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Q_el=2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993198</xdr:colOff>
      <xdr:row>175</xdr:row>
      <xdr:rowOff>140278</xdr:rowOff>
    </xdr:from>
    <xdr:ext cx="1448666" cy="2975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8A1E604F-9C02-4413-9424-B00935E3005E}"/>
                </a:ext>
              </a:extLst>
            </xdr:cNvPr>
            <xdr:cNvSpPr txBox="1"/>
          </xdr:nvSpPr>
          <xdr:spPr>
            <a:xfrm>
              <a:off x="993198" y="33927358"/>
              <a:ext cx="1448666" cy="297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8A1E604F-9C02-4413-9424-B00935E3005E}"/>
                </a:ext>
              </a:extLst>
            </xdr:cNvPr>
            <xdr:cNvSpPr txBox="1"/>
          </xdr:nvSpPr>
          <xdr:spPr>
            <a:xfrm>
              <a:off x="993198" y="33927358"/>
              <a:ext cx="1448666" cy="297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𝑈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857250</xdr:colOff>
      <xdr:row>201</xdr:row>
      <xdr:rowOff>173182</xdr:rowOff>
    </xdr:from>
    <xdr:ext cx="1448666" cy="2964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55FAAACD-1CDC-4815-866C-F5D9ED28AC99}"/>
                </a:ext>
              </a:extLst>
            </xdr:cNvPr>
            <xdr:cNvSpPr txBox="1"/>
          </xdr:nvSpPr>
          <xdr:spPr>
            <a:xfrm>
              <a:off x="857250" y="38898022"/>
              <a:ext cx="1448666" cy="2964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55FAAACD-1CDC-4815-866C-F5D9ED28AC99}"/>
                </a:ext>
              </a:extLst>
            </xdr:cNvPr>
            <xdr:cNvSpPr txBox="1"/>
          </xdr:nvSpPr>
          <xdr:spPr>
            <a:xfrm>
              <a:off x="857250" y="38898022"/>
              <a:ext cx="1448666" cy="2964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𝑆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4</xdr:col>
      <xdr:colOff>92652</xdr:colOff>
      <xdr:row>218</xdr:row>
      <xdr:rowOff>114300</xdr:rowOff>
    </xdr:from>
    <xdr:ext cx="65" cy="172227"/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02297429-CC86-4D7B-826E-A41BA24875A5}"/>
            </a:ext>
          </a:extLst>
        </xdr:cNvPr>
        <xdr:cNvSpPr txBox="1"/>
      </xdr:nvSpPr>
      <xdr:spPr>
        <a:xfrm>
          <a:off x="6333432" y="42062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1047750</xdr:colOff>
      <xdr:row>225</xdr:row>
      <xdr:rowOff>147205</xdr:rowOff>
    </xdr:from>
    <xdr:ext cx="1448666" cy="578172"/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1477566B-0782-4ACF-AABF-AAFD07F87E88}"/>
            </a:ext>
          </a:extLst>
        </xdr:cNvPr>
        <xdr:cNvSpPr txBox="1"/>
      </xdr:nvSpPr>
      <xdr:spPr>
        <a:xfrm>
          <a:off x="1047750" y="43436425"/>
          <a:ext cx="1448666" cy="578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it-IT" sz="1800" b="0"/>
        </a:p>
        <a:p>
          <a:endParaRPr lang="it-IT" sz="1800"/>
        </a:p>
      </xdr:txBody>
    </xdr:sp>
    <xdr:clientData/>
  </xdr:oneCellAnchor>
  <xdr:oneCellAnchor>
    <xdr:from>
      <xdr:col>0</xdr:col>
      <xdr:colOff>839932</xdr:colOff>
      <xdr:row>226</xdr:row>
      <xdr:rowOff>25977</xdr:rowOff>
    </xdr:from>
    <xdr:ext cx="1448666" cy="3009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F1C64DBB-F374-482F-8D52-722B7B156E7E}"/>
                </a:ext>
              </a:extLst>
            </xdr:cNvPr>
            <xdr:cNvSpPr txBox="1"/>
          </xdr:nvSpPr>
          <xdr:spPr>
            <a:xfrm>
              <a:off x="839932" y="43505697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F1C64DBB-F374-482F-8D52-722B7B156E7E}"/>
                </a:ext>
              </a:extLst>
            </xdr:cNvPr>
            <xdr:cNvSpPr txBox="1"/>
          </xdr:nvSpPr>
          <xdr:spPr>
            <a:xfrm>
              <a:off x="839932" y="43505697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i="0">
                  <a:latin typeface="Cambria Math" panose="02040503050406030204" pitchFamily="18" charset="0"/>
                </a:rPr>
                <a:t>(</a:t>
              </a:r>
              <a:r>
                <a:rPr lang="it-IT" sz="1800" b="0" i="0">
                  <a:latin typeface="Cambria Math" panose="02040503050406030204" pitchFamily="18" charset="0"/>
                </a:rPr>
                <a:t>𝐶_𝑉 )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3</xdr:col>
      <xdr:colOff>92652</xdr:colOff>
      <xdr:row>242</xdr:row>
      <xdr:rowOff>114300</xdr:rowOff>
    </xdr:from>
    <xdr:ext cx="65" cy="172227"/>
    <xdr:sp macro="" textlink="">
      <xdr:nvSpPr>
        <xdr:cNvPr id="14" name="CasellaDiTesto 13">
          <a:extLst>
            <a:ext uri="{FF2B5EF4-FFF2-40B4-BE49-F238E27FC236}">
              <a16:creationId xmlns:a16="http://schemas.microsoft.com/office/drawing/2014/main" id="{016854B5-3ADA-41A7-9D35-D81667845852}"/>
            </a:ext>
          </a:extLst>
        </xdr:cNvPr>
        <xdr:cNvSpPr txBox="1"/>
      </xdr:nvSpPr>
      <xdr:spPr>
        <a:xfrm>
          <a:off x="4283652" y="465810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5</xdr:col>
      <xdr:colOff>1235651</xdr:colOff>
      <xdr:row>196</xdr:row>
      <xdr:rowOff>71005</xdr:rowOff>
    </xdr:from>
    <xdr:ext cx="2184689" cy="4383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2D8A3D65-4ECC-4B3E-B9BA-0DD82FC63AB0}"/>
                </a:ext>
              </a:extLst>
            </xdr:cNvPr>
            <xdr:cNvSpPr txBox="1"/>
          </xdr:nvSpPr>
          <xdr:spPr>
            <a:xfrm>
              <a:off x="8482271" y="37782385"/>
              <a:ext cx="2184689" cy="438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400" b="0" i="1">
                      <a:latin typeface="Cambria Math" panose="02040503050406030204" pitchFamily="18" charset="0"/>
                    </a:rPr>
                    <m:t>𝐼</m:t>
                  </m:r>
                  <m:r>
                    <a:rPr lang="it-IT" sz="1400" b="0" i="1">
                      <a:latin typeface="Cambria Math" panose="02040503050406030204" pitchFamily="18" charset="0"/>
                    </a:rPr>
                    <m:t>=</m:t>
                  </m:r>
                  <m:rad>
                    <m:radPr>
                      <m:degHide m:val="on"/>
                      <m:ctrlPr>
                        <a:rPr lang="it-IT" sz="1400" b="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bSup>
                        <m:sSubSupPr>
                          <m:ctrlPr>
                            <a:rPr lang="it-IT" sz="14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sub>
                        <m:sup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  <m:r>
                        <a:rPr lang="it-IT" sz="1400" b="0" i="1">
                          <a:latin typeface="Cambria Math" panose="02040503050406030204" pitchFamily="18" charset="0"/>
                        </a:rPr>
                        <m:t>+</m:t>
                      </m:r>
                      <m:sSubSup>
                        <m:sSubSupPr>
                          <m:ctrlPr>
                            <a:rPr lang="it-IT" sz="14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𝑦</m:t>
                          </m:r>
                        </m:sub>
                        <m:sup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  <m:r>
                        <a:rPr lang="it-IT" sz="1400" b="0" i="1">
                          <a:latin typeface="Cambria Math" panose="02040503050406030204" pitchFamily="18" charset="0"/>
                        </a:rPr>
                        <m:t>+</m:t>
                      </m:r>
                      <m:sSubSup>
                        <m:sSubSupPr>
                          <m:ctrlPr>
                            <a:rPr lang="it-IT" sz="14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𝑧</m:t>
                          </m:r>
                        </m:sub>
                        <m:sup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</m:e>
                  </m:rad>
                </m:oMath>
              </a14:m>
              <a:r>
                <a:rPr lang="it-IT" sz="1400"/>
                <a:t> =</a:t>
              </a:r>
            </a:p>
          </xdr:txBody>
        </xdr:sp>
      </mc:Choice>
      <mc:Fallback xmlns="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2D8A3D65-4ECC-4B3E-B9BA-0DD82FC63AB0}"/>
                </a:ext>
              </a:extLst>
            </xdr:cNvPr>
            <xdr:cNvSpPr txBox="1"/>
          </xdr:nvSpPr>
          <xdr:spPr>
            <a:xfrm>
              <a:off x="8482271" y="37782385"/>
              <a:ext cx="2184689" cy="438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400" b="0" i="0">
                  <a:latin typeface="Cambria Math" panose="02040503050406030204" pitchFamily="18" charset="0"/>
                </a:rPr>
                <a:t>𝐼=√(𝐼_𝑥^2+𝐼_𝑦^2+𝐼_𝑧^2 )</a:t>
              </a:r>
              <a:r>
                <a:rPr lang="it-IT" sz="1400"/>
                <a:t> =</a:t>
              </a:r>
            </a:p>
          </xdr:txBody>
        </xdr:sp>
      </mc:Fallback>
    </mc:AlternateContent>
    <xdr:clientData/>
  </xdr:oneCellAnchor>
  <xdr:oneCellAnchor>
    <xdr:from>
      <xdr:col>0</xdr:col>
      <xdr:colOff>1079788</xdr:colOff>
      <xdr:row>248</xdr:row>
      <xdr:rowOff>62346</xdr:rowOff>
    </xdr:from>
    <xdr:ext cx="660689" cy="2956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9EC15561-FD4D-46AB-8945-EB94A224B52C}"/>
                </a:ext>
              </a:extLst>
            </xdr:cNvPr>
            <xdr:cNvSpPr txBox="1"/>
          </xdr:nvSpPr>
          <xdr:spPr>
            <a:xfrm>
              <a:off x="1079788" y="47687346"/>
              <a:ext cx="660689" cy="295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9EC15561-FD4D-46AB-8945-EB94A224B52C}"/>
                </a:ext>
              </a:extLst>
            </xdr:cNvPr>
            <xdr:cNvSpPr txBox="1"/>
          </xdr:nvSpPr>
          <xdr:spPr>
            <a:xfrm>
              <a:off x="1079788" y="47687346"/>
              <a:ext cx="660689" cy="295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𝐹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1047750</xdr:colOff>
      <xdr:row>248</xdr:row>
      <xdr:rowOff>147205</xdr:rowOff>
    </xdr:from>
    <xdr:ext cx="1448666" cy="578172"/>
    <xdr:sp macro="" textlink="">
      <xdr:nvSpPr>
        <xdr:cNvPr id="17" name="CasellaDiTesto 16">
          <a:extLst>
            <a:ext uri="{FF2B5EF4-FFF2-40B4-BE49-F238E27FC236}">
              <a16:creationId xmlns:a16="http://schemas.microsoft.com/office/drawing/2014/main" id="{DD7D8C82-68E7-44BE-968E-4E1A4C872377}"/>
            </a:ext>
          </a:extLst>
        </xdr:cNvPr>
        <xdr:cNvSpPr txBox="1"/>
      </xdr:nvSpPr>
      <xdr:spPr>
        <a:xfrm>
          <a:off x="1047750" y="47772205"/>
          <a:ext cx="1448666" cy="578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it-IT" sz="1800" b="0"/>
        </a:p>
        <a:p>
          <a:endParaRPr lang="it-IT" sz="1800"/>
        </a:p>
      </xdr:txBody>
    </xdr:sp>
    <xdr:clientData/>
  </xdr:oneCellAnchor>
  <xdr:oneCellAnchor>
    <xdr:from>
      <xdr:col>3</xdr:col>
      <xdr:colOff>92652</xdr:colOff>
      <xdr:row>265</xdr:row>
      <xdr:rowOff>114300</xdr:rowOff>
    </xdr:from>
    <xdr:ext cx="65" cy="172227"/>
    <xdr:sp macro="" textlink="">
      <xdr:nvSpPr>
        <xdr:cNvPr id="18" name="CasellaDiTesto 17">
          <a:extLst>
            <a:ext uri="{FF2B5EF4-FFF2-40B4-BE49-F238E27FC236}">
              <a16:creationId xmlns:a16="http://schemas.microsoft.com/office/drawing/2014/main" id="{C47D58C7-21D1-416B-AACC-352D7E5D0C5C}"/>
            </a:ext>
          </a:extLst>
        </xdr:cNvPr>
        <xdr:cNvSpPr txBox="1"/>
      </xdr:nvSpPr>
      <xdr:spPr>
        <a:xfrm>
          <a:off x="4283652" y="508558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9</xdr:col>
      <xdr:colOff>92652</xdr:colOff>
      <xdr:row>218</xdr:row>
      <xdr:rowOff>114300</xdr:rowOff>
    </xdr:from>
    <xdr:ext cx="65" cy="172227"/>
    <xdr:sp macro="" textlink="">
      <xdr:nvSpPr>
        <xdr:cNvPr id="19" name="CasellaDiTesto 18">
          <a:extLst>
            <a:ext uri="{FF2B5EF4-FFF2-40B4-BE49-F238E27FC236}">
              <a16:creationId xmlns:a16="http://schemas.microsoft.com/office/drawing/2014/main" id="{E8607EF6-473E-48CC-B745-339E006A5D7D}"/>
            </a:ext>
          </a:extLst>
        </xdr:cNvPr>
        <xdr:cNvSpPr txBox="1"/>
      </xdr:nvSpPr>
      <xdr:spPr>
        <a:xfrm>
          <a:off x="12238932" y="42062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144605</xdr:colOff>
      <xdr:row>138</xdr:row>
      <xdr:rowOff>140276</xdr:rowOff>
    </xdr:from>
    <xdr:ext cx="1791131" cy="2528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4D70BBD8-0A9C-487D-AA80-53729210B76D}"/>
                </a:ext>
              </a:extLst>
            </xdr:cNvPr>
            <xdr:cNvSpPr txBox="1"/>
          </xdr:nvSpPr>
          <xdr:spPr>
            <a:xfrm>
              <a:off x="144605" y="26574056"/>
              <a:ext cx="1791131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600" b="0" i="1">
                        <a:latin typeface="Cambria Math" panose="02040503050406030204" pitchFamily="18" charset="0"/>
                      </a:rPr>
                      <m:t>𝑠𝑖𝑐𝑐𝑜𝑚𝑒</m:t>
                    </m:r>
                    <m:r>
                      <a:rPr lang="it-IT" sz="16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it-IT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6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it-IT" sz="16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  <m:r>
                      <a:rPr lang="it-IT" sz="1600" b="0" i="1">
                        <a:latin typeface="Cambria Math" panose="02040503050406030204" pitchFamily="18" charset="0"/>
                      </a:rPr>
                      <m:t>≫</m:t>
                    </m:r>
                    <m:sSub>
                      <m:sSubPr>
                        <m:ctrlPr>
                          <a:rPr lang="it-IT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6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it-IT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  <m:r>
                      <a:rPr lang="it-IT" sz="16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it-IT" sz="1600" b="0" i="1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4D70BBD8-0A9C-487D-AA80-53729210B76D}"/>
                </a:ext>
              </a:extLst>
            </xdr:cNvPr>
            <xdr:cNvSpPr txBox="1"/>
          </xdr:nvSpPr>
          <xdr:spPr>
            <a:xfrm>
              <a:off x="144605" y="26574056"/>
              <a:ext cx="1791131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600" b="0" i="0">
                  <a:latin typeface="Cambria Math" panose="02040503050406030204" pitchFamily="18" charset="0"/>
                </a:rPr>
                <a:t>𝑠𝑖𝑐𝑐𝑜𝑚𝑒 𝐸_𝑒𝑙≫𝐾_𝑏 𝑇:</a:t>
              </a:r>
              <a:endParaRPr lang="it-IT" sz="1100"/>
            </a:p>
          </xdr:txBody>
        </xdr:sp>
      </mc:Fallback>
    </mc:AlternateContent>
    <xdr:clientData/>
  </xdr:oneCellAnchor>
  <xdr:twoCellAnchor>
    <xdr:from>
      <xdr:col>5</xdr:col>
      <xdr:colOff>251112</xdr:colOff>
      <xdr:row>178</xdr:row>
      <xdr:rowOff>60614</xdr:rowOff>
    </xdr:from>
    <xdr:to>
      <xdr:col>6</xdr:col>
      <xdr:colOff>588817</xdr:colOff>
      <xdr:row>188</xdr:row>
      <xdr:rowOff>8659</xdr:rowOff>
    </xdr:to>
    <xdr:sp macro="" textlink="">
      <xdr:nvSpPr>
        <xdr:cNvPr id="21" name="CasellaDiTesto 20">
          <a:extLst>
            <a:ext uri="{FF2B5EF4-FFF2-40B4-BE49-F238E27FC236}">
              <a16:creationId xmlns:a16="http://schemas.microsoft.com/office/drawing/2014/main" id="{92A78E81-4292-4471-8EAA-E7616F658372}"/>
            </a:ext>
          </a:extLst>
        </xdr:cNvPr>
        <xdr:cNvSpPr txBox="1"/>
      </xdr:nvSpPr>
      <xdr:spPr>
        <a:xfrm>
          <a:off x="7497732" y="34457294"/>
          <a:ext cx="1671205" cy="1784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Since there are no temperature dependent terms in the partition function, the electronic</a:t>
          </a:r>
        </a:p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heat capacity and the internal thermal energy due to electronic motion are both zero.</a:t>
          </a:r>
          <a:endParaRPr lang="it-IT" sz="1100"/>
        </a:p>
      </xdr:txBody>
    </xdr:sp>
    <xdr:clientData/>
  </xdr:twoCellAnchor>
  <xdr:twoCellAnchor>
    <xdr:from>
      <xdr:col>5</xdr:col>
      <xdr:colOff>112569</xdr:colOff>
      <xdr:row>230</xdr:row>
      <xdr:rowOff>77931</xdr:rowOff>
    </xdr:from>
    <xdr:to>
      <xdr:col>6</xdr:col>
      <xdr:colOff>207819</xdr:colOff>
      <xdr:row>242</xdr:row>
      <xdr:rowOff>0</xdr:rowOff>
    </xdr:to>
    <xdr:sp macro="" textlink="">
      <xdr:nvSpPr>
        <xdr:cNvPr id="22" name="CasellaDiTesto 21">
          <a:extLst>
            <a:ext uri="{FF2B5EF4-FFF2-40B4-BE49-F238E27FC236}">
              <a16:creationId xmlns:a16="http://schemas.microsoft.com/office/drawing/2014/main" id="{B4433A9B-4DEE-4F1D-BC9C-3C1F44FB4975}"/>
            </a:ext>
          </a:extLst>
        </xdr:cNvPr>
        <xdr:cNvSpPr txBox="1"/>
      </xdr:nvSpPr>
      <xdr:spPr>
        <a:xfrm>
          <a:off x="7359189" y="44342511"/>
          <a:ext cx="1428750" cy="212424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Since there are no temperature dependent terms in the partition function, the electronic</a:t>
          </a:r>
        </a:p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heat capacity and the internal thermal energy due to electronic motion are both zero.</a:t>
          </a:r>
          <a:endParaRPr lang="it-IT" sz="1100"/>
        </a:p>
      </xdr:txBody>
    </xdr:sp>
    <xdr:clientData/>
  </xdr:twoCellAnchor>
  <xdr:twoCellAnchor>
    <xdr:from>
      <xdr:col>5</xdr:col>
      <xdr:colOff>710046</xdr:colOff>
      <xdr:row>226</xdr:row>
      <xdr:rowOff>69272</xdr:rowOff>
    </xdr:from>
    <xdr:to>
      <xdr:col>5</xdr:col>
      <xdr:colOff>762000</xdr:colOff>
      <xdr:row>230</xdr:row>
      <xdr:rowOff>25976</xdr:rowOff>
    </xdr:to>
    <xdr:cxnSp macro="">
      <xdr:nvCxnSpPr>
        <xdr:cNvPr id="23" name="Connettore 2 22">
          <a:extLst>
            <a:ext uri="{FF2B5EF4-FFF2-40B4-BE49-F238E27FC236}">
              <a16:creationId xmlns:a16="http://schemas.microsoft.com/office/drawing/2014/main" id="{0B6268B5-AFAF-417A-BEF0-2A8BB5AD0164}"/>
            </a:ext>
          </a:extLst>
        </xdr:cNvPr>
        <xdr:cNvCxnSpPr/>
      </xdr:nvCxnSpPr>
      <xdr:spPr>
        <a:xfrm>
          <a:off x="7956666" y="43548992"/>
          <a:ext cx="51954" cy="7415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787977</xdr:colOff>
      <xdr:row>176</xdr:row>
      <xdr:rowOff>95250</xdr:rowOff>
    </xdr:from>
    <xdr:to>
      <xdr:col>5</xdr:col>
      <xdr:colOff>796636</xdr:colOff>
      <xdr:row>177</xdr:row>
      <xdr:rowOff>216477</xdr:rowOff>
    </xdr:to>
    <xdr:cxnSp macro="">
      <xdr:nvCxnSpPr>
        <xdr:cNvPr id="24" name="Connettore 2 23">
          <a:extLst>
            <a:ext uri="{FF2B5EF4-FFF2-40B4-BE49-F238E27FC236}">
              <a16:creationId xmlns:a16="http://schemas.microsoft.com/office/drawing/2014/main" id="{5CA97A09-733B-4EA2-9E85-A2A538E03EBF}"/>
            </a:ext>
          </a:extLst>
        </xdr:cNvPr>
        <xdr:cNvCxnSpPr/>
      </xdr:nvCxnSpPr>
      <xdr:spPr>
        <a:xfrm>
          <a:off x="8034597" y="34072830"/>
          <a:ext cx="8659" cy="3041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943840</xdr:colOff>
      <xdr:row>198</xdr:row>
      <xdr:rowOff>34636</xdr:rowOff>
    </xdr:from>
    <xdr:ext cx="1220932" cy="3057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sellaDiTesto 24">
              <a:extLst>
                <a:ext uri="{FF2B5EF4-FFF2-40B4-BE49-F238E27FC236}">
                  <a16:creationId xmlns:a16="http://schemas.microsoft.com/office/drawing/2014/main" id="{F0958EA9-AB06-4102-BB7C-7D8AEB22E13C}"/>
                </a:ext>
              </a:extLst>
            </xdr:cNvPr>
            <xdr:cNvSpPr txBox="1"/>
          </xdr:nvSpPr>
          <xdr:spPr>
            <a:xfrm>
              <a:off x="2993620" y="38149876"/>
              <a:ext cx="1220932" cy="305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05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</m:acc>
                    <m:r>
                      <a:rPr lang="it-IT" sz="105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05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105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05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05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it-IT" sz="1050"/>
            </a:p>
          </xdr:txBody>
        </xdr:sp>
      </mc:Choice>
      <mc:Fallback xmlns="">
        <xdr:sp macro="" textlink="">
          <xdr:nvSpPr>
            <xdr:cNvPr id="25" name="CasellaDiTesto 24">
              <a:extLst>
                <a:ext uri="{FF2B5EF4-FFF2-40B4-BE49-F238E27FC236}">
                  <a16:creationId xmlns:a16="http://schemas.microsoft.com/office/drawing/2014/main" id="{F0958EA9-AB06-4102-BB7C-7D8AEB22E13C}"/>
                </a:ext>
              </a:extLst>
            </xdr:cNvPr>
            <xdr:cNvSpPr txBox="1"/>
          </xdr:nvSpPr>
          <xdr:spPr>
            <a:xfrm>
              <a:off x="2993620" y="38149876"/>
              <a:ext cx="1220932" cy="305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050" b="0" i="0">
                  <a:latin typeface="Cambria Math" panose="02040503050406030204" pitchFamily="18" charset="0"/>
                </a:rPr>
                <a:t>𝑉 ̃=(𝑘_𝐵 𝑇)/𝑃</a:t>
              </a:r>
              <a:endParaRPr lang="it-IT" sz="1050"/>
            </a:p>
          </xdr:txBody>
        </xdr:sp>
      </mc:Fallback>
    </mc:AlternateContent>
    <xdr:clientData/>
  </xdr:oneCellAnchor>
  <xdr:oneCellAnchor>
    <xdr:from>
      <xdr:col>9</xdr:col>
      <xdr:colOff>92652</xdr:colOff>
      <xdr:row>242</xdr:row>
      <xdr:rowOff>114300</xdr:rowOff>
    </xdr:from>
    <xdr:ext cx="65" cy="172227"/>
    <xdr:sp macro="" textlink="">
      <xdr:nvSpPr>
        <xdr:cNvPr id="26" name="CasellaDiTesto 25">
          <a:extLst>
            <a:ext uri="{FF2B5EF4-FFF2-40B4-BE49-F238E27FC236}">
              <a16:creationId xmlns:a16="http://schemas.microsoft.com/office/drawing/2014/main" id="{0F8743F1-8DF2-45BF-A943-123F72587162}"/>
            </a:ext>
          </a:extLst>
        </xdr:cNvPr>
        <xdr:cNvSpPr txBox="1"/>
      </xdr:nvSpPr>
      <xdr:spPr>
        <a:xfrm>
          <a:off x="12238932" y="465810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1047750</xdr:colOff>
      <xdr:row>273</xdr:row>
      <xdr:rowOff>147205</xdr:rowOff>
    </xdr:from>
    <xdr:ext cx="1448666" cy="578172"/>
    <xdr:sp macro="" textlink="">
      <xdr:nvSpPr>
        <xdr:cNvPr id="27" name="CasellaDiTesto 26">
          <a:extLst>
            <a:ext uri="{FF2B5EF4-FFF2-40B4-BE49-F238E27FC236}">
              <a16:creationId xmlns:a16="http://schemas.microsoft.com/office/drawing/2014/main" id="{F9925707-9B62-4969-911B-2CC23D476451}"/>
            </a:ext>
          </a:extLst>
        </xdr:cNvPr>
        <xdr:cNvSpPr txBox="1"/>
      </xdr:nvSpPr>
      <xdr:spPr>
        <a:xfrm>
          <a:off x="1047750" y="52412785"/>
          <a:ext cx="1448666" cy="578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it-IT" sz="1800" b="0"/>
        </a:p>
        <a:p>
          <a:endParaRPr lang="it-IT" sz="1800"/>
        </a:p>
      </xdr:txBody>
    </xdr:sp>
    <xdr:clientData/>
  </xdr:oneCellAnchor>
  <xdr:oneCellAnchor>
    <xdr:from>
      <xdr:col>0</xdr:col>
      <xdr:colOff>839932</xdr:colOff>
      <xdr:row>274</xdr:row>
      <xdr:rowOff>25977</xdr:rowOff>
    </xdr:from>
    <xdr:ext cx="1448666" cy="3009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sellaDiTesto 27">
              <a:extLst>
                <a:ext uri="{FF2B5EF4-FFF2-40B4-BE49-F238E27FC236}">
                  <a16:creationId xmlns:a16="http://schemas.microsoft.com/office/drawing/2014/main" id="{437250E0-60A1-425A-A32A-53FEAC9B6DC5}"/>
                </a:ext>
              </a:extLst>
            </xdr:cNvPr>
            <xdr:cNvSpPr txBox="1"/>
          </xdr:nvSpPr>
          <xdr:spPr>
            <a:xfrm>
              <a:off x="839932" y="52482057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28" name="CasellaDiTesto 27">
              <a:extLst>
                <a:ext uri="{FF2B5EF4-FFF2-40B4-BE49-F238E27FC236}">
                  <a16:creationId xmlns:a16="http://schemas.microsoft.com/office/drawing/2014/main" id="{437250E0-60A1-425A-A32A-53FEAC9B6DC5}"/>
                </a:ext>
              </a:extLst>
            </xdr:cNvPr>
            <xdr:cNvSpPr txBox="1"/>
          </xdr:nvSpPr>
          <xdr:spPr>
            <a:xfrm>
              <a:off x="839932" y="52482057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i="0">
                  <a:latin typeface="Cambria Math" panose="02040503050406030204" pitchFamily="18" charset="0"/>
                </a:rPr>
                <a:t>(</a:t>
              </a:r>
              <a:r>
                <a:rPr lang="it-IT" sz="1800" b="0" i="0">
                  <a:latin typeface="Cambria Math" panose="02040503050406030204" pitchFamily="18" charset="0"/>
                </a:rPr>
                <a:t>𝐶_𝑃 )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3</xdr:col>
      <xdr:colOff>92652</xdr:colOff>
      <xdr:row>290</xdr:row>
      <xdr:rowOff>114300</xdr:rowOff>
    </xdr:from>
    <xdr:ext cx="65" cy="172227"/>
    <xdr:sp macro="" textlink="">
      <xdr:nvSpPr>
        <xdr:cNvPr id="29" name="CasellaDiTesto 28">
          <a:extLst>
            <a:ext uri="{FF2B5EF4-FFF2-40B4-BE49-F238E27FC236}">
              <a16:creationId xmlns:a16="http://schemas.microsoft.com/office/drawing/2014/main" id="{BBC57666-A975-4D57-BFE7-80DCC47116DD}"/>
            </a:ext>
          </a:extLst>
        </xdr:cNvPr>
        <xdr:cNvSpPr txBox="1"/>
      </xdr:nvSpPr>
      <xdr:spPr>
        <a:xfrm>
          <a:off x="4283652" y="55496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5</xdr:col>
      <xdr:colOff>112569</xdr:colOff>
      <xdr:row>278</xdr:row>
      <xdr:rowOff>77931</xdr:rowOff>
    </xdr:from>
    <xdr:to>
      <xdr:col>6</xdr:col>
      <xdr:colOff>207819</xdr:colOff>
      <xdr:row>290</xdr:row>
      <xdr:rowOff>0</xdr:rowOff>
    </xdr:to>
    <xdr:sp macro="" textlink="">
      <xdr:nvSpPr>
        <xdr:cNvPr id="30" name="CasellaDiTesto 29">
          <a:extLst>
            <a:ext uri="{FF2B5EF4-FFF2-40B4-BE49-F238E27FC236}">
              <a16:creationId xmlns:a16="http://schemas.microsoft.com/office/drawing/2014/main" id="{0D41E575-8CBA-49C9-9BBE-B6187B434846}"/>
            </a:ext>
          </a:extLst>
        </xdr:cNvPr>
        <xdr:cNvSpPr txBox="1"/>
      </xdr:nvSpPr>
      <xdr:spPr>
        <a:xfrm>
          <a:off x="7359189" y="53265531"/>
          <a:ext cx="1428750" cy="211662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Since there are no temperature dependent terms in the partition function, the electronic</a:t>
          </a:r>
        </a:p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heat capacity and the internal thermal energy due to electronic motion are both zero.</a:t>
          </a:r>
          <a:endParaRPr lang="it-IT" sz="1100"/>
        </a:p>
      </xdr:txBody>
    </xdr:sp>
    <xdr:clientData/>
  </xdr:twoCellAnchor>
  <xdr:twoCellAnchor>
    <xdr:from>
      <xdr:col>5</xdr:col>
      <xdr:colOff>710046</xdr:colOff>
      <xdr:row>274</xdr:row>
      <xdr:rowOff>69272</xdr:rowOff>
    </xdr:from>
    <xdr:to>
      <xdr:col>5</xdr:col>
      <xdr:colOff>762000</xdr:colOff>
      <xdr:row>278</xdr:row>
      <xdr:rowOff>25976</xdr:rowOff>
    </xdr:to>
    <xdr:cxnSp macro="">
      <xdr:nvCxnSpPr>
        <xdr:cNvPr id="31" name="Connettore 2 30">
          <a:extLst>
            <a:ext uri="{FF2B5EF4-FFF2-40B4-BE49-F238E27FC236}">
              <a16:creationId xmlns:a16="http://schemas.microsoft.com/office/drawing/2014/main" id="{4A5C59F2-DC58-4970-8DA9-07EDE1A6073B}"/>
            </a:ext>
          </a:extLst>
        </xdr:cNvPr>
        <xdr:cNvCxnSpPr/>
      </xdr:nvCxnSpPr>
      <xdr:spPr>
        <a:xfrm>
          <a:off x="7956666" y="52525352"/>
          <a:ext cx="51954" cy="6882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92652</xdr:colOff>
      <xdr:row>290</xdr:row>
      <xdr:rowOff>114300</xdr:rowOff>
    </xdr:from>
    <xdr:ext cx="65" cy="172227"/>
    <xdr:sp macro="" textlink="">
      <xdr:nvSpPr>
        <xdr:cNvPr id="32" name="CasellaDiTesto 31">
          <a:extLst>
            <a:ext uri="{FF2B5EF4-FFF2-40B4-BE49-F238E27FC236}">
              <a16:creationId xmlns:a16="http://schemas.microsoft.com/office/drawing/2014/main" id="{78290D92-A2E4-4B56-91E7-3DBE42B50C1D}"/>
            </a:ext>
          </a:extLst>
        </xdr:cNvPr>
        <xdr:cNvSpPr txBox="1"/>
      </xdr:nvSpPr>
      <xdr:spPr>
        <a:xfrm>
          <a:off x="12238932" y="554964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242455</xdr:colOff>
      <xdr:row>280</xdr:row>
      <xdr:rowOff>0</xdr:rowOff>
    </xdr:from>
    <xdr:ext cx="1448666" cy="3009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sellaDiTesto 32">
              <a:extLst>
                <a:ext uri="{FF2B5EF4-FFF2-40B4-BE49-F238E27FC236}">
                  <a16:creationId xmlns:a16="http://schemas.microsoft.com/office/drawing/2014/main" id="{C5FE6502-F432-491C-951D-2403E31CB4D1}"/>
                </a:ext>
              </a:extLst>
            </xdr:cNvPr>
            <xdr:cNvSpPr txBox="1"/>
          </xdr:nvSpPr>
          <xdr:spPr>
            <a:xfrm>
              <a:off x="242455" y="53553360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sub>
                        </m:sSub>
                      </m:e>
                    </m:acc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it-IT" sz="18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it-IT" sz="18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̃"/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sub>
                        </m:sSub>
                      </m:e>
                    </m:acc>
                    <m:r>
                      <a:rPr lang="it-IT" sz="18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33" name="CasellaDiTesto 32">
              <a:extLst>
                <a:ext uri="{FF2B5EF4-FFF2-40B4-BE49-F238E27FC236}">
                  <a16:creationId xmlns:a16="http://schemas.microsoft.com/office/drawing/2014/main" id="{C5FE6502-F432-491C-951D-2403E31CB4D1}"/>
                </a:ext>
              </a:extLst>
            </xdr:cNvPr>
            <xdr:cNvSpPr txBox="1"/>
          </xdr:nvSpPr>
          <xdr:spPr>
            <a:xfrm>
              <a:off x="242455" y="53553360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i="0">
                  <a:latin typeface="Cambria Math" panose="02040503050406030204" pitchFamily="18" charset="0"/>
                </a:rPr>
                <a:t>(</a:t>
              </a:r>
              <a:r>
                <a:rPr lang="it-IT" sz="1800" b="0" i="0">
                  <a:latin typeface="Cambria Math" panose="02040503050406030204" pitchFamily="18" charset="0"/>
                </a:rPr>
                <a:t>𝐶_𝑃 ) ̃=𝑅+(𝐶_𝑉 ) ̃  </a:t>
              </a:r>
              <a:endParaRPr lang="it-IT" sz="1800"/>
            </a:p>
          </xdr:txBody>
        </xdr:sp>
      </mc:Fallback>
    </mc:AlternateContent>
    <xdr:clientData/>
  </xdr:oneCellAnchor>
  <xdr:twoCellAnchor>
    <xdr:from>
      <xdr:col>0</xdr:col>
      <xdr:colOff>0</xdr:colOff>
      <xdr:row>277</xdr:row>
      <xdr:rowOff>173182</xdr:rowOff>
    </xdr:from>
    <xdr:to>
      <xdr:col>0</xdr:col>
      <xdr:colOff>1982932</xdr:colOff>
      <xdr:row>279</xdr:row>
      <xdr:rowOff>147204</xdr:rowOff>
    </xdr:to>
    <xdr:sp macro="" textlink="">
      <xdr:nvSpPr>
        <xdr:cNvPr id="34" name="CasellaDiTesto 33">
          <a:extLst>
            <a:ext uri="{FF2B5EF4-FFF2-40B4-BE49-F238E27FC236}">
              <a16:creationId xmlns:a16="http://schemas.microsoft.com/office/drawing/2014/main" id="{60F57894-5D00-41C8-9107-C0FBD3A3D5EA}"/>
            </a:ext>
          </a:extLst>
        </xdr:cNvPr>
        <xdr:cNvSpPr txBox="1"/>
      </xdr:nvSpPr>
      <xdr:spPr>
        <a:xfrm>
          <a:off x="0" y="53177902"/>
          <a:ext cx="1982932" cy="3397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from Mayer's</a:t>
          </a:r>
          <a:r>
            <a:rPr lang="it-IT" sz="1400" baseline="0"/>
            <a:t> relation:</a:t>
          </a:r>
          <a:endParaRPr lang="it-IT" sz="1400"/>
        </a:p>
      </xdr:txBody>
    </xdr:sp>
    <xdr:clientData/>
  </xdr:twoCellAnchor>
  <xdr:twoCellAnchor>
    <xdr:from>
      <xdr:col>0</xdr:col>
      <xdr:colOff>710046</xdr:colOff>
      <xdr:row>108</xdr:row>
      <xdr:rowOff>147204</xdr:rowOff>
    </xdr:from>
    <xdr:to>
      <xdr:col>2</xdr:col>
      <xdr:colOff>207819</xdr:colOff>
      <xdr:row>110</xdr:row>
      <xdr:rowOff>129886</xdr:rowOff>
    </xdr:to>
    <xdr:sp macro="" textlink="">
      <xdr:nvSpPr>
        <xdr:cNvPr id="35" name="CasellaDiTesto 34">
          <a:extLst>
            <a:ext uri="{FF2B5EF4-FFF2-40B4-BE49-F238E27FC236}">
              <a16:creationId xmlns:a16="http://schemas.microsoft.com/office/drawing/2014/main" id="{AE3508A5-2DF5-4588-A8F0-7F5A4D816F2A}"/>
            </a:ext>
          </a:extLst>
        </xdr:cNvPr>
        <xdr:cNvSpPr txBox="1"/>
      </xdr:nvSpPr>
      <xdr:spPr>
        <a:xfrm>
          <a:off x="710046" y="20690724"/>
          <a:ext cx="2682933" cy="4094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ho utilizzato però questa</a:t>
          </a:r>
          <a:r>
            <a:rPr lang="it-IT" sz="1100" baseline="0"/>
            <a:t> riscrittura:</a:t>
          </a:r>
          <a:endParaRPr lang="it-IT" sz="1100"/>
        </a:p>
      </xdr:txBody>
    </xdr:sp>
    <xdr:clientData/>
  </xdr:twoCellAnchor>
  <xdr:oneCellAnchor>
    <xdr:from>
      <xdr:col>0</xdr:col>
      <xdr:colOff>733423</xdr:colOff>
      <xdr:row>110</xdr:row>
      <xdr:rowOff>79664</xdr:rowOff>
    </xdr:from>
    <xdr:ext cx="2816804" cy="626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asellaDiTesto 35">
              <a:extLst>
                <a:ext uri="{FF2B5EF4-FFF2-40B4-BE49-F238E27FC236}">
                  <a16:creationId xmlns:a16="http://schemas.microsoft.com/office/drawing/2014/main" id="{E54D0363-FA67-4C1F-9D03-4000D3D8DCBB}"/>
                </a:ext>
              </a:extLst>
            </xdr:cNvPr>
            <xdr:cNvSpPr txBox="1"/>
          </xdr:nvSpPr>
          <xdr:spPr>
            <a:xfrm>
              <a:off x="733423" y="21049904"/>
              <a:ext cx="2816804" cy="626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SupPr>
                    <m:e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Q</m:t>
                      </m:r>
                    </m:e>
                    <m:sub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rot</m:t>
                      </m:r>
                    </m:sub>
                    <m:sup>
                      <m: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D</m:t>
                      </m:r>
                    </m:sup>
                  </m:sSubSup>
                  <m:r>
                    <a:rPr lang="it-IT" sz="2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 </m:t>
                  </m:r>
                  <m:f>
                    <m:fPr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fPr>
                    <m:num>
                      <m:rad>
                        <m:radPr>
                          <m:degHide m:val="on"/>
                          <m:ctrlPr>
                            <a:rPr lang="it-IT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radPr>
                        <m:deg/>
                        <m:e>
                          <m:r>
                            <m:rPr>
                              <m:sty m:val="p"/>
                            </m:rP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π</m:t>
                          </m:r>
                        </m:e>
                      </m:rad>
                    </m:num>
                    <m:den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σ</m:t>
                      </m:r>
                    </m:den>
                  </m:f>
                  <m:r>
                    <a:rPr lang="it-IT" sz="2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⋅</m:t>
                  </m:r>
                  <m:rad>
                    <m:radPr>
                      <m:degHide m:val="on"/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it-IT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T</m:t>
                              </m:r>
                            </m:e>
                            <m:sup>
                              <m: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3</m:t>
                              </m:r>
                            </m:sup>
                          </m:sSup>
                        </m:num>
                        <m:den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x</m:t>
                              </m:r>
                            </m:sub>
                          </m:sSub>
                          <m: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⋅</m:t>
                          </m:r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y</m:t>
                              </m:r>
                            </m:sub>
                          </m:sSub>
                          <m: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⋅</m:t>
                          </m:r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z</m:t>
                              </m:r>
                            </m:sub>
                          </m:sSub>
                        </m:den>
                      </m:f>
                    </m:e>
                  </m:rad>
                </m:oMath>
              </a14:m>
              <a:r>
                <a:rPr lang="it-IT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</xdr:txBody>
        </xdr:sp>
      </mc:Choice>
      <mc:Fallback xmlns="">
        <xdr:sp macro="" textlink="">
          <xdr:nvSpPr>
            <xdr:cNvPr id="36" name="CasellaDiTesto 35">
              <a:extLst>
                <a:ext uri="{FF2B5EF4-FFF2-40B4-BE49-F238E27FC236}">
                  <a16:creationId xmlns:a16="http://schemas.microsoft.com/office/drawing/2014/main" id="{E54D0363-FA67-4C1F-9D03-4000D3D8DCBB}"/>
                </a:ext>
              </a:extLst>
            </xdr:cNvPr>
            <xdr:cNvSpPr txBox="1"/>
          </xdr:nvSpPr>
          <xdr:spPr>
            <a:xfrm>
              <a:off x="733423" y="21049904"/>
              <a:ext cx="2816804" cy="626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Q_rot^3D=  √π/σ⋅√(T^3/(θ_x⋅θ_y⋅θ_z ))</a:t>
              </a:r>
              <a:r>
                <a:rPr lang="it-IT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</xdr:txBody>
        </xdr:sp>
      </mc:Fallback>
    </mc:AlternateContent>
    <xdr:clientData/>
  </xdr:oneCellAnchor>
  <xdr:twoCellAnchor>
    <xdr:from>
      <xdr:col>0</xdr:col>
      <xdr:colOff>666750</xdr:colOff>
      <xdr:row>115</xdr:row>
      <xdr:rowOff>34636</xdr:rowOff>
    </xdr:from>
    <xdr:to>
      <xdr:col>2</xdr:col>
      <xdr:colOff>112569</xdr:colOff>
      <xdr:row>119</xdr:row>
      <xdr:rowOff>95249</xdr:rowOff>
    </xdr:to>
    <xdr:sp macro="" textlink="">
      <xdr:nvSpPr>
        <xdr:cNvPr id="37" name="CasellaDiTesto 36">
          <a:extLst>
            <a:ext uri="{FF2B5EF4-FFF2-40B4-BE49-F238E27FC236}">
              <a16:creationId xmlns:a16="http://schemas.microsoft.com/office/drawing/2014/main" id="{6539D9E3-D2EB-4CD5-9745-AD2FE9D8C16A}"/>
            </a:ext>
          </a:extLst>
        </xdr:cNvPr>
        <xdr:cNvSpPr txBox="1"/>
      </xdr:nvSpPr>
      <xdr:spPr>
        <a:xfrm>
          <a:off x="666750" y="21926896"/>
          <a:ext cx="2630979" cy="792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dove le </a:t>
          </a:r>
          <a:r>
            <a:rPr lang="el-GR" sz="1100"/>
            <a:t>ϑ</a:t>
          </a:r>
          <a:r>
            <a:rPr lang="it-IT" sz="1100"/>
            <a:t> rappresentano le temperature rotazionali rispetto agli assi x, y e z</a:t>
          </a:r>
        </a:p>
      </xdr:txBody>
    </xdr:sp>
    <xdr:clientData/>
  </xdr:twoCellAnchor>
  <xdr:twoCellAnchor>
    <xdr:from>
      <xdr:col>2</xdr:col>
      <xdr:colOff>207818</xdr:colOff>
      <xdr:row>220</xdr:row>
      <xdr:rowOff>147205</xdr:rowOff>
    </xdr:from>
    <xdr:to>
      <xdr:col>3</xdr:col>
      <xdr:colOff>493568</xdr:colOff>
      <xdr:row>222</xdr:row>
      <xdr:rowOff>60614</xdr:rowOff>
    </xdr:to>
    <xdr:sp macro="" textlink="">
      <xdr:nvSpPr>
        <xdr:cNvPr id="39" name="CasellaDiTesto 38">
          <a:extLst>
            <a:ext uri="{FF2B5EF4-FFF2-40B4-BE49-F238E27FC236}">
              <a16:creationId xmlns:a16="http://schemas.microsoft.com/office/drawing/2014/main" id="{020C0923-A94E-4B2C-A88C-D899F03778F8}"/>
            </a:ext>
          </a:extLst>
        </xdr:cNvPr>
        <xdr:cNvSpPr txBox="1"/>
      </xdr:nvSpPr>
      <xdr:spPr>
        <a:xfrm>
          <a:off x="3392978" y="42468685"/>
          <a:ext cx="1291590" cy="279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for S_trasl</a:t>
          </a:r>
          <a:r>
            <a:rPr lang="it-IT" sz="1100" baseline="0"/>
            <a:t> : </a:t>
          </a:r>
          <a:endParaRPr lang="it-IT" sz="1100"/>
        </a:p>
      </xdr:txBody>
    </xdr:sp>
    <xdr:clientData/>
  </xdr:twoCellAnchor>
  <xdr:twoCellAnchor editAs="oneCell">
    <xdr:from>
      <xdr:col>3</xdr:col>
      <xdr:colOff>43297</xdr:colOff>
      <xdr:row>220</xdr:row>
      <xdr:rowOff>17320</xdr:rowOff>
    </xdr:from>
    <xdr:to>
      <xdr:col>3</xdr:col>
      <xdr:colOff>1853047</xdr:colOff>
      <xdr:row>222</xdr:row>
      <xdr:rowOff>83556</xdr:rowOff>
    </xdr:to>
    <xdr:pic>
      <xdr:nvPicPr>
        <xdr:cNvPr id="40" name="Immagine 39">
          <a:extLst>
            <a:ext uri="{FF2B5EF4-FFF2-40B4-BE49-F238E27FC236}">
              <a16:creationId xmlns:a16="http://schemas.microsoft.com/office/drawing/2014/main" id="{7523E092-0E6E-425F-893E-B110216D26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4297" y="42338800"/>
          <a:ext cx="1809750" cy="431996"/>
        </a:xfrm>
        <a:prstGeom prst="rect">
          <a:avLst/>
        </a:prstGeom>
      </xdr:spPr>
    </xdr:pic>
    <xdr:clientData/>
  </xdr:twoCellAnchor>
  <xdr:twoCellAnchor editAs="oneCell">
    <xdr:from>
      <xdr:col>8</xdr:col>
      <xdr:colOff>426840</xdr:colOff>
      <xdr:row>9</xdr:row>
      <xdr:rowOff>103910</xdr:rowOff>
    </xdr:from>
    <xdr:to>
      <xdr:col>11</xdr:col>
      <xdr:colOff>348</xdr:colOff>
      <xdr:row>24</xdr:row>
      <xdr:rowOff>61999</xdr:rowOff>
    </xdr:to>
    <xdr:pic>
      <xdr:nvPicPr>
        <xdr:cNvPr id="41" name="Immagine 40">
          <a:extLst>
            <a:ext uri="{FF2B5EF4-FFF2-40B4-BE49-F238E27FC236}">
              <a16:creationId xmlns:a16="http://schemas.microsoft.com/office/drawing/2014/main" id="{EAF85BE7-A35A-89BC-5F35-C28FA1604D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23885" y="1861705"/>
          <a:ext cx="3565349" cy="2919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415637</xdr:colOff>
      <xdr:row>74</xdr:row>
      <xdr:rowOff>69273</xdr:rowOff>
    </xdr:from>
    <xdr:ext cx="2764849" cy="10300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CasellaDiTesto 37">
              <a:extLst>
                <a:ext uri="{FF2B5EF4-FFF2-40B4-BE49-F238E27FC236}">
                  <a16:creationId xmlns:a16="http://schemas.microsoft.com/office/drawing/2014/main" id="{E84AAB4D-1A53-4007-901A-3D5C3924BEB7}"/>
                </a:ext>
              </a:extLst>
            </xdr:cNvPr>
            <xdr:cNvSpPr txBox="1"/>
          </xdr:nvSpPr>
          <xdr:spPr>
            <a:xfrm>
              <a:off x="415637" y="14148955"/>
              <a:ext cx="2764849" cy="1030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vib</m:t>
                        </m:r>
                      </m:sub>
                    </m:sSub>
                    <m:r>
                      <a:rPr lang="it-IT" sz="1800" b="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∏"/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𝑣𝑖𝑏</m:t>
                            </m:r>
                          </m:sub>
                        </m:sSub>
                      </m:sup>
                      <m:e>
                        <m:f>
                          <m:f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m:rPr>
                                <m:sty m:val="p"/>
                              </m:rPr>
                              <a:rPr lang="it-IT" sz="1800" b="0" i="0">
                                <a:latin typeface="Cambria Math" panose="02040503050406030204" pitchFamily="18" charset="0"/>
                              </a:rPr>
                              <m:t>exp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⁡(−</m:t>
                            </m:r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den>
                            </m:f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 )</m:t>
                            </m:r>
                          </m:num>
                          <m:den>
                            <m:r>
                              <a:rPr lang="it-IT" sz="1800" b="0" i="0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m:rPr>
                                <m:sty m:val="p"/>
                              </m:rPr>
                              <a:rPr lang="it-IT" sz="1800" b="0" i="0">
                                <a:latin typeface="Cambria Math" panose="02040503050406030204" pitchFamily="18" charset="0"/>
                              </a:rPr>
                              <m:t>exp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⁡(−</m:t>
                            </m:r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den>
                            </m:f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38" name="CasellaDiTesto 37">
              <a:extLst>
                <a:ext uri="{FF2B5EF4-FFF2-40B4-BE49-F238E27FC236}">
                  <a16:creationId xmlns:a16="http://schemas.microsoft.com/office/drawing/2014/main" id="{E84AAB4D-1A53-4007-901A-3D5C3924BEB7}"/>
                </a:ext>
              </a:extLst>
            </xdr:cNvPr>
            <xdr:cNvSpPr txBox="1"/>
          </xdr:nvSpPr>
          <xdr:spPr>
            <a:xfrm>
              <a:off x="415637" y="14148955"/>
              <a:ext cx="2764849" cy="1030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Q_vib=∏_(𝑖=1)^(𝑁_𝑣𝑖𝑏)▒(exp⁡(−(ℎ𝜈_𝑖)/(</a:t>
              </a:r>
              <a:r>
                <a:rPr lang="it-IT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〖2𝑘〗_𝐵 𝑇) </a:t>
              </a:r>
              <a:r>
                <a:rPr lang="it-IT" sz="1800" b="0" i="0">
                  <a:latin typeface="Cambria Math" panose="02040503050406030204" pitchFamily="18" charset="0"/>
                </a:rPr>
                <a:t> ))/(1−exp⁡(−(ℎ𝜈_𝑖)/(𝑘_𝐵 𝑇)))</a:t>
              </a:r>
              <a:endParaRPr lang="it-IT" sz="18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352424</xdr:colOff>
      <xdr:row>84</xdr:row>
      <xdr:rowOff>19049</xdr:rowOff>
    </xdr:from>
    <xdr:ext cx="3379644" cy="688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1C5649E3-00C6-498B-B3A6-4615553338B3}"/>
                </a:ext>
              </a:extLst>
            </xdr:cNvPr>
            <xdr:cNvSpPr txBox="1"/>
          </xdr:nvSpPr>
          <xdr:spPr>
            <a:xfrm>
              <a:off x="352424" y="16097249"/>
              <a:ext cx="3379644" cy="688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𝑡𝑟𝑎𝑠𝑙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𝜋</m:t>
                                </m:r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num>
                              <m:den>
                                <m:sSup>
                                  <m:sSup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h</m:t>
                                    </m:r>
                                  </m:e>
                                  <m:sup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3/2</m:t>
                        </m:r>
                      </m:sup>
                    </m:sSup>
                    <m:r>
                      <a:rPr lang="it-IT" sz="1800" b="0" i="1">
                        <a:latin typeface="Cambria Math" panose="02040503050406030204" pitchFamily="18" charset="0"/>
                      </a:rPr>
                      <m:t>⋅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1C5649E3-00C6-498B-B3A6-4615553338B3}"/>
                </a:ext>
              </a:extLst>
            </xdr:cNvPr>
            <xdr:cNvSpPr txBox="1"/>
          </xdr:nvSpPr>
          <xdr:spPr>
            <a:xfrm>
              <a:off x="352424" y="16097249"/>
              <a:ext cx="3379644" cy="688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𝑄_𝑡𝑟𝑎𝑠𝑙=((2𝜋𝑚𝑘_𝐵 𝑇)/ℎ^2 )^(3/2)⋅(𝑘_𝐵 𝑇)/𝑃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127289</xdr:colOff>
      <xdr:row>103</xdr:row>
      <xdr:rowOff>157596</xdr:rowOff>
    </xdr:from>
    <xdr:ext cx="4141643" cy="5943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BE8907B9-A017-4A20-80E9-EEE1E02B5CF9}"/>
                </a:ext>
              </a:extLst>
            </xdr:cNvPr>
            <xdr:cNvSpPr txBox="1"/>
          </xdr:nvSpPr>
          <xdr:spPr>
            <a:xfrm>
              <a:off x="127289" y="19733376"/>
              <a:ext cx="4141643" cy="594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𝑟𝑜𝑡</m:t>
                        </m:r>
                      </m:sub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𝐷</m:t>
                        </m:r>
                      </m:sup>
                    </m:sSubSup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8</m:t>
                        </m:r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(2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3/2</m:t>
                            </m:r>
                          </m:sup>
                        </m:sSup>
                        <m:rad>
                          <m:radPr>
                            <m:degHide m:val="on"/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𝑥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𝑦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𝐼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𝑧</m:t>
                                </m:r>
                              </m:sub>
                            </m:sSub>
                          </m:e>
                        </m:rad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𝜎</m:t>
                        </m:r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BE8907B9-A017-4A20-80E9-EEE1E02B5CF9}"/>
                </a:ext>
              </a:extLst>
            </xdr:cNvPr>
            <xdr:cNvSpPr txBox="1"/>
          </xdr:nvSpPr>
          <xdr:spPr>
            <a:xfrm>
              <a:off x="127289" y="19733376"/>
              <a:ext cx="4141643" cy="5943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𝑄_𝑟𝑜𝑡^3𝐷=(8𝜋^2 〖(2𝜋𝑘〗_𝐵 〖𝑇)〗^(3/2) √(𝐼_𝑥 𝐼_𝑦 𝐼_𝑧 ))/(𝜎ℎ^3 )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126</xdr:row>
      <xdr:rowOff>0</xdr:rowOff>
    </xdr:from>
    <xdr:ext cx="4141643" cy="452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2FC7F308-0B47-48F2-9518-F0200B41499A}"/>
                </a:ext>
              </a:extLst>
            </xdr:cNvPr>
            <xdr:cNvSpPr txBox="1"/>
          </xdr:nvSpPr>
          <xdr:spPr>
            <a:xfrm>
              <a:off x="0" y="23934420"/>
              <a:ext cx="414164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⋅</m:t>
                    </m:r>
                    <m:sSup>
                      <m:s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𝑒𝑙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𝐵</m:t>
                                </m:r>
                              </m:sub>
                            </m:s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2FC7F308-0B47-48F2-9518-F0200B41499A}"/>
                </a:ext>
              </a:extLst>
            </xdr:cNvPr>
            <xdr:cNvSpPr txBox="1"/>
          </xdr:nvSpPr>
          <xdr:spPr>
            <a:xfrm>
              <a:off x="0" y="23934420"/>
              <a:ext cx="414164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Q_el=𝑔_𝑒𝑙⋅𝑒^(−𝐸_𝑒𝑙/(𝑘_𝐵 𝑇))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216478</xdr:colOff>
      <xdr:row>153</xdr:row>
      <xdr:rowOff>114298</xdr:rowOff>
    </xdr:from>
    <xdr:ext cx="3717348" cy="5750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A89F2FCC-2C87-452F-8375-0D916986D0C0}"/>
                </a:ext>
              </a:extLst>
            </xdr:cNvPr>
            <xdr:cNvSpPr txBox="1"/>
          </xdr:nvSpPr>
          <xdr:spPr>
            <a:xfrm>
              <a:off x="216478" y="29535118"/>
              <a:ext cx="3717348" cy="5750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8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𝑡𝑟𝑎𝑠𝑙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×</m:t>
                    </m:r>
                    <m:sSubSup>
                      <m:sSub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𝑟𝑜𝑡</m:t>
                        </m:r>
                      </m:sub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𝐷</m:t>
                        </m:r>
                      </m:sup>
                    </m:sSubSup>
                    <m:r>
                      <a:rPr lang="it-IT" sz="1800" b="0" i="1">
                        <a:latin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𝑣𝑖𝑏</m:t>
                        </m:r>
                      </m:sub>
                    </m:sSub>
                  </m:oMath>
                </m:oMathPara>
              </a14:m>
              <a:endParaRPr lang="it-IT" sz="1800" b="0"/>
            </a:p>
            <a:p>
              <a:endParaRPr lang="it-IT" sz="1800"/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A89F2FCC-2C87-452F-8375-0D916986D0C0}"/>
                </a:ext>
              </a:extLst>
            </xdr:cNvPr>
            <xdr:cNvSpPr txBox="1"/>
          </xdr:nvSpPr>
          <xdr:spPr>
            <a:xfrm>
              <a:off x="216478" y="29535118"/>
              <a:ext cx="3717348" cy="5750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𝑄=𝑄_𝑡𝑟𝑎𝑠𝑙×𝑄_𝑒𝑙×𝑄_𝑟𝑜𝑡^3𝐷×𝑄_𝑣𝑖𝑏</a:t>
              </a:r>
              <a:endParaRPr lang="it-IT" sz="1800" b="0"/>
            </a:p>
            <a:p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0</xdr:colOff>
      <xdr:row>140</xdr:row>
      <xdr:rowOff>0</xdr:rowOff>
    </xdr:from>
    <xdr:ext cx="4141643" cy="2843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A2477772-D31E-4F5D-8E9C-CF498765779D}"/>
                </a:ext>
              </a:extLst>
            </xdr:cNvPr>
            <xdr:cNvSpPr txBox="1"/>
          </xdr:nvSpPr>
          <xdr:spPr>
            <a:xfrm>
              <a:off x="0" y="26845260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A2477772-D31E-4F5D-8E9C-CF498765779D}"/>
                </a:ext>
              </a:extLst>
            </xdr:cNvPr>
            <xdr:cNvSpPr txBox="1"/>
          </xdr:nvSpPr>
          <xdr:spPr>
            <a:xfrm>
              <a:off x="0" y="26845260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Q_el=𝑔_𝑒𝑙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141</xdr:row>
      <xdr:rowOff>138545</xdr:rowOff>
    </xdr:from>
    <xdr:ext cx="4141643" cy="2843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40341DA2-F7B4-4020-B038-62B099E6A1E2}"/>
                </a:ext>
              </a:extLst>
            </xdr:cNvPr>
            <xdr:cNvSpPr txBox="1"/>
          </xdr:nvSpPr>
          <xdr:spPr>
            <a:xfrm>
              <a:off x="0" y="27181925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40341DA2-F7B4-4020-B038-62B099E6A1E2}"/>
                </a:ext>
              </a:extLst>
            </xdr:cNvPr>
            <xdr:cNvSpPr txBox="1"/>
          </xdr:nvSpPr>
          <xdr:spPr>
            <a:xfrm>
              <a:off x="0" y="27181925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Q_el=1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993198</xdr:colOff>
      <xdr:row>175</xdr:row>
      <xdr:rowOff>140278</xdr:rowOff>
    </xdr:from>
    <xdr:ext cx="1448666" cy="2975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24F8BA03-64B9-41E9-A581-1D4987DD8559}"/>
                </a:ext>
              </a:extLst>
            </xdr:cNvPr>
            <xdr:cNvSpPr txBox="1"/>
          </xdr:nvSpPr>
          <xdr:spPr>
            <a:xfrm>
              <a:off x="993198" y="33942598"/>
              <a:ext cx="1448666" cy="297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24F8BA03-64B9-41E9-A581-1D4987DD8559}"/>
                </a:ext>
              </a:extLst>
            </xdr:cNvPr>
            <xdr:cNvSpPr txBox="1"/>
          </xdr:nvSpPr>
          <xdr:spPr>
            <a:xfrm>
              <a:off x="993198" y="33942598"/>
              <a:ext cx="1448666" cy="297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𝑈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857250</xdr:colOff>
      <xdr:row>201</xdr:row>
      <xdr:rowOff>173182</xdr:rowOff>
    </xdr:from>
    <xdr:ext cx="1448666" cy="2964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87C03C29-6F55-426E-8600-69929B2CCCAB}"/>
                </a:ext>
              </a:extLst>
            </xdr:cNvPr>
            <xdr:cNvSpPr txBox="1"/>
          </xdr:nvSpPr>
          <xdr:spPr>
            <a:xfrm>
              <a:off x="857250" y="38913262"/>
              <a:ext cx="1448666" cy="2964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87C03C29-6F55-426E-8600-69929B2CCCAB}"/>
                </a:ext>
              </a:extLst>
            </xdr:cNvPr>
            <xdr:cNvSpPr txBox="1"/>
          </xdr:nvSpPr>
          <xdr:spPr>
            <a:xfrm>
              <a:off x="857250" y="38913262"/>
              <a:ext cx="1448666" cy="2964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𝑆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4</xdr:col>
      <xdr:colOff>92652</xdr:colOff>
      <xdr:row>218</xdr:row>
      <xdr:rowOff>114300</xdr:rowOff>
    </xdr:from>
    <xdr:ext cx="65" cy="172227"/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C154701F-A02D-4D2C-AC02-8A10FC2C2DB1}"/>
            </a:ext>
          </a:extLst>
        </xdr:cNvPr>
        <xdr:cNvSpPr txBox="1"/>
      </xdr:nvSpPr>
      <xdr:spPr>
        <a:xfrm>
          <a:off x="6333432" y="42077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1047750</xdr:colOff>
      <xdr:row>225</xdr:row>
      <xdr:rowOff>147205</xdr:rowOff>
    </xdr:from>
    <xdr:ext cx="1448666" cy="578172"/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7CAA952E-D31B-41E3-9AF4-36628E70029C}"/>
            </a:ext>
          </a:extLst>
        </xdr:cNvPr>
        <xdr:cNvSpPr txBox="1"/>
      </xdr:nvSpPr>
      <xdr:spPr>
        <a:xfrm>
          <a:off x="1047750" y="43451665"/>
          <a:ext cx="1448666" cy="578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it-IT" sz="1800" b="0"/>
        </a:p>
        <a:p>
          <a:endParaRPr lang="it-IT" sz="1800"/>
        </a:p>
      </xdr:txBody>
    </xdr:sp>
    <xdr:clientData/>
  </xdr:oneCellAnchor>
  <xdr:oneCellAnchor>
    <xdr:from>
      <xdr:col>0</xdr:col>
      <xdr:colOff>839932</xdr:colOff>
      <xdr:row>226</xdr:row>
      <xdr:rowOff>25977</xdr:rowOff>
    </xdr:from>
    <xdr:ext cx="1448666" cy="3009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F0F5758C-468A-4C54-914C-7D94AEFAEA11}"/>
                </a:ext>
              </a:extLst>
            </xdr:cNvPr>
            <xdr:cNvSpPr txBox="1"/>
          </xdr:nvSpPr>
          <xdr:spPr>
            <a:xfrm>
              <a:off x="839932" y="43520937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F0F5758C-468A-4C54-914C-7D94AEFAEA11}"/>
                </a:ext>
              </a:extLst>
            </xdr:cNvPr>
            <xdr:cNvSpPr txBox="1"/>
          </xdr:nvSpPr>
          <xdr:spPr>
            <a:xfrm>
              <a:off x="839932" y="43520937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i="0">
                  <a:latin typeface="Cambria Math" panose="02040503050406030204" pitchFamily="18" charset="0"/>
                </a:rPr>
                <a:t>(</a:t>
              </a:r>
              <a:r>
                <a:rPr lang="it-IT" sz="1800" b="0" i="0">
                  <a:latin typeface="Cambria Math" panose="02040503050406030204" pitchFamily="18" charset="0"/>
                </a:rPr>
                <a:t>𝐶_𝑉 )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3</xdr:col>
      <xdr:colOff>92652</xdr:colOff>
      <xdr:row>242</xdr:row>
      <xdr:rowOff>114300</xdr:rowOff>
    </xdr:from>
    <xdr:ext cx="65" cy="172227"/>
    <xdr:sp macro="" textlink="">
      <xdr:nvSpPr>
        <xdr:cNvPr id="14" name="CasellaDiTesto 13">
          <a:extLst>
            <a:ext uri="{FF2B5EF4-FFF2-40B4-BE49-F238E27FC236}">
              <a16:creationId xmlns:a16="http://schemas.microsoft.com/office/drawing/2014/main" id="{687C0231-0BA7-4A04-A55B-C7751A24D533}"/>
            </a:ext>
          </a:extLst>
        </xdr:cNvPr>
        <xdr:cNvSpPr txBox="1"/>
      </xdr:nvSpPr>
      <xdr:spPr>
        <a:xfrm>
          <a:off x="4283652" y="46596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5</xdr:col>
      <xdr:colOff>1235651</xdr:colOff>
      <xdr:row>196</xdr:row>
      <xdr:rowOff>71005</xdr:rowOff>
    </xdr:from>
    <xdr:ext cx="2184689" cy="4383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1E4E1BF6-0B96-4A06-8A8B-C8C4E088B3F0}"/>
                </a:ext>
              </a:extLst>
            </xdr:cNvPr>
            <xdr:cNvSpPr txBox="1"/>
          </xdr:nvSpPr>
          <xdr:spPr>
            <a:xfrm>
              <a:off x="8482271" y="37797625"/>
              <a:ext cx="2184689" cy="438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400" b="0" i="1">
                      <a:latin typeface="Cambria Math" panose="02040503050406030204" pitchFamily="18" charset="0"/>
                    </a:rPr>
                    <m:t>𝐼</m:t>
                  </m:r>
                  <m:r>
                    <a:rPr lang="it-IT" sz="1400" b="0" i="1">
                      <a:latin typeface="Cambria Math" panose="02040503050406030204" pitchFamily="18" charset="0"/>
                    </a:rPr>
                    <m:t>=</m:t>
                  </m:r>
                  <m:rad>
                    <m:radPr>
                      <m:degHide m:val="on"/>
                      <m:ctrlPr>
                        <a:rPr lang="it-IT" sz="1400" b="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bSup>
                        <m:sSubSupPr>
                          <m:ctrlPr>
                            <a:rPr lang="it-IT" sz="14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sub>
                        <m:sup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  <m:r>
                        <a:rPr lang="it-IT" sz="1400" b="0" i="1">
                          <a:latin typeface="Cambria Math" panose="02040503050406030204" pitchFamily="18" charset="0"/>
                        </a:rPr>
                        <m:t>+</m:t>
                      </m:r>
                      <m:sSubSup>
                        <m:sSubSupPr>
                          <m:ctrlPr>
                            <a:rPr lang="it-IT" sz="14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𝑦</m:t>
                          </m:r>
                        </m:sub>
                        <m:sup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  <m:r>
                        <a:rPr lang="it-IT" sz="1400" b="0" i="1">
                          <a:latin typeface="Cambria Math" panose="02040503050406030204" pitchFamily="18" charset="0"/>
                        </a:rPr>
                        <m:t>+</m:t>
                      </m:r>
                      <m:sSubSup>
                        <m:sSubSupPr>
                          <m:ctrlPr>
                            <a:rPr lang="it-IT" sz="14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𝑧</m:t>
                          </m:r>
                        </m:sub>
                        <m:sup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</m:e>
                  </m:rad>
                </m:oMath>
              </a14:m>
              <a:r>
                <a:rPr lang="it-IT" sz="1400"/>
                <a:t> =</a:t>
              </a:r>
            </a:p>
          </xdr:txBody>
        </xdr:sp>
      </mc:Choice>
      <mc:Fallback xmlns="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1E4E1BF6-0B96-4A06-8A8B-C8C4E088B3F0}"/>
                </a:ext>
              </a:extLst>
            </xdr:cNvPr>
            <xdr:cNvSpPr txBox="1"/>
          </xdr:nvSpPr>
          <xdr:spPr>
            <a:xfrm>
              <a:off x="8482271" y="37797625"/>
              <a:ext cx="2184689" cy="438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400" b="0" i="0">
                  <a:latin typeface="Cambria Math" panose="02040503050406030204" pitchFamily="18" charset="0"/>
                </a:rPr>
                <a:t>𝐼=√(𝐼_𝑥^2+𝐼_𝑦^2+𝐼_𝑧^2 )</a:t>
              </a:r>
              <a:r>
                <a:rPr lang="it-IT" sz="1400"/>
                <a:t> =</a:t>
              </a:r>
            </a:p>
          </xdr:txBody>
        </xdr:sp>
      </mc:Fallback>
    </mc:AlternateContent>
    <xdr:clientData/>
  </xdr:oneCellAnchor>
  <xdr:oneCellAnchor>
    <xdr:from>
      <xdr:col>0</xdr:col>
      <xdr:colOff>1079788</xdr:colOff>
      <xdr:row>248</xdr:row>
      <xdr:rowOff>62346</xdr:rowOff>
    </xdr:from>
    <xdr:ext cx="660689" cy="2956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51986200-BD39-4CCB-98BB-8AE2DE7566C4}"/>
                </a:ext>
              </a:extLst>
            </xdr:cNvPr>
            <xdr:cNvSpPr txBox="1"/>
          </xdr:nvSpPr>
          <xdr:spPr>
            <a:xfrm>
              <a:off x="1079788" y="47702586"/>
              <a:ext cx="660689" cy="295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51986200-BD39-4CCB-98BB-8AE2DE7566C4}"/>
                </a:ext>
              </a:extLst>
            </xdr:cNvPr>
            <xdr:cNvSpPr txBox="1"/>
          </xdr:nvSpPr>
          <xdr:spPr>
            <a:xfrm>
              <a:off x="1079788" y="47702586"/>
              <a:ext cx="660689" cy="295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𝐹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1047750</xdr:colOff>
      <xdr:row>248</xdr:row>
      <xdr:rowOff>147205</xdr:rowOff>
    </xdr:from>
    <xdr:ext cx="1448666" cy="578172"/>
    <xdr:sp macro="" textlink="">
      <xdr:nvSpPr>
        <xdr:cNvPr id="17" name="CasellaDiTesto 16">
          <a:extLst>
            <a:ext uri="{FF2B5EF4-FFF2-40B4-BE49-F238E27FC236}">
              <a16:creationId xmlns:a16="http://schemas.microsoft.com/office/drawing/2014/main" id="{D7FF02FD-C14C-4E9D-A861-CD5F274C76A3}"/>
            </a:ext>
          </a:extLst>
        </xdr:cNvPr>
        <xdr:cNvSpPr txBox="1"/>
      </xdr:nvSpPr>
      <xdr:spPr>
        <a:xfrm>
          <a:off x="1047750" y="47787445"/>
          <a:ext cx="1448666" cy="578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it-IT" sz="1800" b="0"/>
        </a:p>
        <a:p>
          <a:endParaRPr lang="it-IT" sz="1800"/>
        </a:p>
      </xdr:txBody>
    </xdr:sp>
    <xdr:clientData/>
  </xdr:oneCellAnchor>
  <xdr:oneCellAnchor>
    <xdr:from>
      <xdr:col>3</xdr:col>
      <xdr:colOff>92652</xdr:colOff>
      <xdr:row>265</xdr:row>
      <xdr:rowOff>114300</xdr:rowOff>
    </xdr:from>
    <xdr:ext cx="65" cy="172227"/>
    <xdr:sp macro="" textlink="">
      <xdr:nvSpPr>
        <xdr:cNvPr id="18" name="CasellaDiTesto 17">
          <a:extLst>
            <a:ext uri="{FF2B5EF4-FFF2-40B4-BE49-F238E27FC236}">
              <a16:creationId xmlns:a16="http://schemas.microsoft.com/office/drawing/2014/main" id="{6F08B245-2633-44A7-9309-FF843D655147}"/>
            </a:ext>
          </a:extLst>
        </xdr:cNvPr>
        <xdr:cNvSpPr txBox="1"/>
      </xdr:nvSpPr>
      <xdr:spPr>
        <a:xfrm>
          <a:off x="4283652" y="5087112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9</xdr:col>
      <xdr:colOff>92652</xdr:colOff>
      <xdr:row>218</xdr:row>
      <xdr:rowOff>114300</xdr:rowOff>
    </xdr:from>
    <xdr:ext cx="65" cy="172227"/>
    <xdr:sp macro="" textlink="">
      <xdr:nvSpPr>
        <xdr:cNvPr id="19" name="CasellaDiTesto 18">
          <a:extLst>
            <a:ext uri="{FF2B5EF4-FFF2-40B4-BE49-F238E27FC236}">
              <a16:creationId xmlns:a16="http://schemas.microsoft.com/office/drawing/2014/main" id="{C45494B8-20D9-4810-ACEF-095729F32207}"/>
            </a:ext>
          </a:extLst>
        </xdr:cNvPr>
        <xdr:cNvSpPr txBox="1"/>
      </xdr:nvSpPr>
      <xdr:spPr>
        <a:xfrm>
          <a:off x="12238932" y="42077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144605</xdr:colOff>
      <xdr:row>138</xdr:row>
      <xdr:rowOff>140276</xdr:rowOff>
    </xdr:from>
    <xdr:ext cx="1791131" cy="2528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FE722039-A031-4C40-9CE9-3339D0CA353C}"/>
                </a:ext>
              </a:extLst>
            </xdr:cNvPr>
            <xdr:cNvSpPr txBox="1"/>
          </xdr:nvSpPr>
          <xdr:spPr>
            <a:xfrm>
              <a:off x="144605" y="26589296"/>
              <a:ext cx="1791131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600" b="0" i="1">
                        <a:latin typeface="Cambria Math" panose="02040503050406030204" pitchFamily="18" charset="0"/>
                      </a:rPr>
                      <m:t>𝑠𝑖𝑐𝑐𝑜𝑚𝑒</m:t>
                    </m:r>
                    <m:r>
                      <a:rPr lang="it-IT" sz="16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it-IT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6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it-IT" sz="16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  <m:r>
                      <a:rPr lang="it-IT" sz="1600" b="0" i="1">
                        <a:latin typeface="Cambria Math" panose="02040503050406030204" pitchFamily="18" charset="0"/>
                      </a:rPr>
                      <m:t>≫</m:t>
                    </m:r>
                    <m:sSub>
                      <m:sSubPr>
                        <m:ctrlPr>
                          <a:rPr lang="it-IT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6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it-IT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  <m:r>
                      <a:rPr lang="it-IT" sz="16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it-IT" sz="1600" b="0" i="1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FE722039-A031-4C40-9CE9-3339D0CA353C}"/>
                </a:ext>
              </a:extLst>
            </xdr:cNvPr>
            <xdr:cNvSpPr txBox="1"/>
          </xdr:nvSpPr>
          <xdr:spPr>
            <a:xfrm>
              <a:off x="144605" y="26589296"/>
              <a:ext cx="1791131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600" b="0" i="0">
                  <a:latin typeface="Cambria Math" panose="02040503050406030204" pitchFamily="18" charset="0"/>
                </a:rPr>
                <a:t>𝑠𝑖𝑐𝑐𝑜𝑚𝑒 𝐸_𝑒𝑙≫𝐾_𝑏 𝑇:</a:t>
              </a:r>
              <a:endParaRPr lang="it-IT" sz="1100"/>
            </a:p>
          </xdr:txBody>
        </xdr:sp>
      </mc:Fallback>
    </mc:AlternateContent>
    <xdr:clientData/>
  </xdr:oneCellAnchor>
  <xdr:twoCellAnchor>
    <xdr:from>
      <xdr:col>5</xdr:col>
      <xdr:colOff>251112</xdr:colOff>
      <xdr:row>178</xdr:row>
      <xdr:rowOff>60614</xdr:rowOff>
    </xdr:from>
    <xdr:to>
      <xdr:col>6</xdr:col>
      <xdr:colOff>588817</xdr:colOff>
      <xdr:row>188</xdr:row>
      <xdr:rowOff>8659</xdr:rowOff>
    </xdr:to>
    <xdr:sp macro="" textlink="">
      <xdr:nvSpPr>
        <xdr:cNvPr id="21" name="CasellaDiTesto 20">
          <a:extLst>
            <a:ext uri="{FF2B5EF4-FFF2-40B4-BE49-F238E27FC236}">
              <a16:creationId xmlns:a16="http://schemas.microsoft.com/office/drawing/2014/main" id="{3D9EA363-7C13-4066-B7D6-274BC8907013}"/>
            </a:ext>
          </a:extLst>
        </xdr:cNvPr>
        <xdr:cNvSpPr txBox="1"/>
      </xdr:nvSpPr>
      <xdr:spPr>
        <a:xfrm>
          <a:off x="7497732" y="34472534"/>
          <a:ext cx="1671205" cy="1784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Since there are no temperature dependent terms in the partition function, the electronic</a:t>
          </a:r>
        </a:p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heat capacity and the internal thermal energy due to electronic motion are both zero.</a:t>
          </a:r>
          <a:endParaRPr lang="it-IT" sz="1100"/>
        </a:p>
      </xdr:txBody>
    </xdr:sp>
    <xdr:clientData/>
  </xdr:twoCellAnchor>
  <xdr:twoCellAnchor>
    <xdr:from>
      <xdr:col>5</xdr:col>
      <xdr:colOff>112569</xdr:colOff>
      <xdr:row>230</xdr:row>
      <xdr:rowOff>77931</xdr:rowOff>
    </xdr:from>
    <xdr:to>
      <xdr:col>6</xdr:col>
      <xdr:colOff>207819</xdr:colOff>
      <xdr:row>242</xdr:row>
      <xdr:rowOff>0</xdr:rowOff>
    </xdr:to>
    <xdr:sp macro="" textlink="">
      <xdr:nvSpPr>
        <xdr:cNvPr id="22" name="CasellaDiTesto 21">
          <a:extLst>
            <a:ext uri="{FF2B5EF4-FFF2-40B4-BE49-F238E27FC236}">
              <a16:creationId xmlns:a16="http://schemas.microsoft.com/office/drawing/2014/main" id="{2711DAAA-5E5A-4CA7-A998-760B0708DEF0}"/>
            </a:ext>
          </a:extLst>
        </xdr:cNvPr>
        <xdr:cNvSpPr txBox="1"/>
      </xdr:nvSpPr>
      <xdr:spPr>
        <a:xfrm>
          <a:off x="7359189" y="44357751"/>
          <a:ext cx="1428750" cy="212424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Since there are no temperature dependent terms in the partition function, the electronic</a:t>
          </a:r>
        </a:p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heat capacity and the internal thermal energy due to electronic motion are both zero.</a:t>
          </a:r>
          <a:endParaRPr lang="it-IT" sz="1100"/>
        </a:p>
      </xdr:txBody>
    </xdr:sp>
    <xdr:clientData/>
  </xdr:twoCellAnchor>
  <xdr:twoCellAnchor>
    <xdr:from>
      <xdr:col>5</xdr:col>
      <xdr:colOff>710046</xdr:colOff>
      <xdr:row>226</xdr:row>
      <xdr:rowOff>69272</xdr:rowOff>
    </xdr:from>
    <xdr:to>
      <xdr:col>5</xdr:col>
      <xdr:colOff>762000</xdr:colOff>
      <xdr:row>230</xdr:row>
      <xdr:rowOff>25976</xdr:rowOff>
    </xdr:to>
    <xdr:cxnSp macro="">
      <xdr:nvCxnSpPr>
        <xdr:cNvPr id="23" name="Connettore 2 22">
          <a:extLst>
            <a:ext uri="{FF2B5EF4-FFF2-40B4-BE49-F238E27FC236}">
              <a16:creationId xmlns:a16="http://schemas.microsoft.com/office/drawing/2014/main" id="{98C239B2-CC9E-41D5-A708-4B9A9078B911}"/>
            </a:ext>
          </a:extLst>
        </xdr:cNvPr>
        <xdr:cNvCxnSpPr/>
      </xdr:nvCxnSpPr>
      <xdr:spPr>
        <a:xfrm>
          <a:off x="7956666" y="43564232"/>
          <a:ext cx="51954" cy="7415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787977</xdr:colOff>
      <xdr:row>176</xdr:row>
      <xdr:rowOff>95250</xdr:rowOff>
    </xdr:from>
    <xdr:to>
      <xdr:col>5</xdr:col>
      <xdr:colOff>796636</xdr:colOff>
      <xdr:row>177</xdr:row>
      <xdr:rowOff>216477</xdr:rowOff>
    </xdr:to>
    <xdr:cxnSp macro="">
      <xdr:nvCxnSpPr>
        <xdr:cNvPr id="24" name="Connettore 2 23">
          <a:extLst>
            <a:ext uri="{FF2B5EF4-FFF2-40B4-BE49-F238E27FC236}">
              <a16:creationId xmlns:a16="http://schemas.microsoft.com/office/drawing/2014/main" id="{45D286AC-BAA4-4610-87F7-9797FD75AD1A}"/>
            </a:ext>
          </a:extLst>
        </xdr:cNvPr>
        <xdr:cNvCxnSpPr/>
      </xdr:nvCxnSpPr>
      <xdr:spPr>
        <a:xfrm>
          <a:off x="8034597" y="34088070"/>
          <a:ext cx="8659" cy="3041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943840</xdr:colOff>
      <xdr:row>198</xdr:row>
      <xdr:rowOff>34636</xdr:rowOff>
    </xdr:from>
    <xdr:ext cx="1220932" cy="3057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sellaDiTesto 24">
              <a:extLst>
                <a:ext uri="{FF2B5EF4-FFF2-40B4-BE49-F238E27FC236}">
                  <a16:creationId xmlns:a16="http://schemas.microsoft.com/office/drawing/2014/main" id="{61D5202A-69C4-450F-A5D4-AAC942DFF32D}"/>
                </a:ext>
              </a:extLst>
            </xdr:cNvPr>
            <xdr:cNvSpPr txBox="1"/>
          </xdr:nvSpPr>
          <xdr:spPr>
            <a:xfrm>
              <a:off x="2993620" y="38165116"/>
              <a:ext cx="1220932" cy="305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05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</m:acc>
                    <m:r>
                      <a:rPr lang="it-IT" sz="105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05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105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05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05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it-IT" sz="1050"/>
            </a:p>
          </xdr:txBody>
        </xdr:sp>
      </mc:Choice>
      <mc:Fallback xmlns="">
        <xdr:sp macro="" textlink="">
          <xdr:nvSpPr>
            <xdr:cNvPr id="25" name="CasellaDiTesto 24">
              <a:extLst>
                <a:ext uri="{FF2B5EF4-FFF2-40B4-BE49-F238E27FC236}">
                  <a16:creationId xmlns:a16="http://schemas.microsoft.com/office/drawing/2014/main" id="{61D5202A-69C4-450F-A5D4-AAC942DFF32D}"/>
                </a:ext>
              </a:extLst>
            </xdr:cNvPr>
            <xdr:cNvSpPr txBox="1"/>
          </xdr:nvSpPr>
          <xdr:spPr>
            <a:xfrm>
              <a:off x="2993620" y="38165116"/>
              <a:ext cx="1220932" cy="305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050" b="0" i="0">
                  <a:latin typeface="Cambria Math" panose="02040503050406030204" pitchFamily="18" charset="0"/>
                </a:rPr>
                <a:t>𝑉 ̃=(𝑘_𝐵 𝑇)/𝑃</a:t>
              </a:r>
              <a:endParaRPr lang="it-IT" sz="1050"/>
            </a:p>
          </xdr:txBody>
        </xdr:sp>
      </mc:Fallback>
    </mc:AlternateContent>
    <xdr:clientData/>
  </xdr:oneCellAnchor>
  <xdr:oneCellAnchor>
    <xdr:from>
      <xdr:col>9</xdr:col>
      <xdr:colOff>92652</xdr:colOff>
      <xdr:row>242</xdr:row>
      <xdr:rowOff>114300</xdr:rowOff>
    </xdr:from>
    <xdr:ext cx="65" cy="172227"/>
    <xdr:sp macro="" textlink="">
      <xdr:nvSpPr>
        <xdr:cNvPr id="26" name="CasellaDiTesto 25">
          <a:extLst>
            <a:ext uri="{FF2B5EF4-FFF2-40B4-BE49-F238E27FC236}">
              <a16:creationId xmlns:a16="http://schemas.microsoft.com/office/drawing/2014/main" id="{0D53275F-D84A-4E33-8EF7-84AE75064DFD}"/>
            </a:ext>
          </a:extLst>
        </xdr:cNvPr>
        <xdr:cNvSpPr txBox="1"/>
      </xdr:nvSpPr>
      <xdr:spPr>
        <a:xfrm>
          <a:off x="12238932" y="46596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1047750</xdr:colOff>
      <xdr:row>273</xdr:row>
      <xdr:rowOff>147205</xdr:rowOff>
    </xdr:from>
    <xdr:ext cx="1448666" cy="578172"/>
    <xdr:sp macro="" textlink="">
      <xdr:nvSpPr>
        <xdr:cNvPr id="27" name="CasellaDiTesto 26">
          <a:extLst>
            <a:ext uri="{FF2B5EF4-FFF2-40B4-BE49-F238E27FC236}">
              <a16:creationId xmlns:a16="http://schemas.microsoft.com/office/drawing/2014/main" id="{AAC2F86F-DC37-450D-A50F-F618EC90B111}"/>
            </a:ext>
          </a:extLst>
        </xdr:cNvPr>
        <xdr:cNvSpPr txBox="1"/>
      </xdr:nvSpPr>
      <xdr:spPr>
        <a:xfrm>
          <a:off x="1047750" y="52428025"/>
          <a:ext cx="1448666" cy="578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it-IT" sz="1800" b="0"/>
        </a:p>
        <a:p>
          <a:endParaRPr lang="it-IT" sz="1800"/>
        </a:p>
      </xdr:txBody>
    </xdr:sp>
    <xdr:clientData/>
  </xdr:oneCellAnchor>
  <xdr:oneCellAnchor>
    <xdr:from>
      <xdr:col>0</xdr:col>
      <xdr:colOff>839932</xdr:colOff>
      <xdr:row>274</xdr:row>
      <xdr:rowOff>25977</xdr:rowOff>
    </xdr:from>
    <xdr:ext cx="1448666" cy="3009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sellaDiTesto 27">
              <a:extLst>
                <a:ext uri="{FF2B5EF4-FFF2-40B4-BE49-F238E27FC236}">
                  <a16:creationId xmlns:a16="http://schemas.microsoft.com/office/drawing/2014/main" id="{B7187A4F-29F3-43E8-A5AD-F00D754662F8}"/>
                </a:ext>
              </a:extLst>
            </xdr:cNvPr>
            <xdr:cNvSpPr txBox="1"/>
          </xdr:nvSpPr>
          <xdr:spPr>
            <a:xfrm>
              <a:off x="839932" y="52497297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28" name="CasellaDiTesto 27">
              <a:extLst>
                <a:ext uri="{FF2B5EF4-FFF2-40B4-BE49-F238E27FC236}">
                  <a16:creationId xmlns:a16="http://schemas.microsoft.com/office/drawing/2014/main" id="{B7187A4F-29F3-43E8-A5AD-F00D754662F8}"/>
                </a:ext>
              </a:extLst>
            </xdr:cNvPr>
            <xdr:cNvSpPr txBox="1"/>
          </xdr:nvSpPr>
          <xdr:spPr>
            <a:xfrm>
              <a:off x="839932" y="52497297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i="0">
                  <a:latin typeface="Cambria Math" panose="02040503050406030204" pitchFamily="18" charset="0"/>
                </a:rPr>
                <a:t>(</a:t>
              </a:r>
              <a:r>
                <a:rPr lang="it-IT" sz="1800" b="0" i="0">
                  <a:latin typeface="Cambria Math" panose="02040503050406030204" pitchFamily="18" charset="0"/>
                </a:rPr>
                <a:t>𝐶_𝑃 )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3</xdr:col>
      <xdr:colOff>92652</xdr:colOff>
      <xdr:row>290</xdr:row>
      <xdr:rowOff>114300</xdr:rowOff>
    </xdr:from>
    <xdr:ext cx="65" cy="172227"/>
    <xdr:sp macro="" textlink="">
      <xdr:nvSpPr>
        <xdr:cNvPr id="29" name="CasellaDiTesto 28">
          <a:extLst>
            <a:ext uri="{FF2B5EF4-FFF2-40B4-BE49-F238E27FC236}">
              <a16:creationId xmlns:a16="http://schemas.microsoft.com/office/drawing/2014/main" id="{05B21A83-4D3D-4014-849C-02D03E346555}"/>
            </a:ext>
          </a:extLst>
        </xdr:cNvPr>
        <xdr:cNvSpPr txBox="1"/>
      </xdr:nvSpPr>
      <xdr:spPr>
        <a:xfrm>
          <a:off x="4283652" y="555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5</xdr:col>
      <xdr:colOff>112569</xdr:colOff>
      <xdr:row>278</xdr:row>
      <xdr:rowOff>77931</xdr:rowOff>
    </xdr:from>
    <xdr:to>
      <xdr:col>6</xdr:col>
      <xdr:colOff>207819</xdr:colOff>
      <xdr:row>290</xdr:row>
      <xdr:rowOff>0</xdr:rowOff>
    </xdr:to>
    <xdr:sp macro="" textlink="">
      <xdr:nvSpPr>
        <xdr:cNvPr id="30" name="CasellaDiTesto 29">
          <a:extLst>
            <a:ext uri="{FF2B5EF4-FFF2-40B4-BE49-F238E27FC236}">
              <a16:creationId xmlns:a16="http://schemas.microsoft.com/office/drawing/2014/main" id="{7F599747-D73E-4D5D-B537-9CB2E6BB24B0}"/>
            </a:ext>
          </a:extLst>
        </xdr:cNvPr>
        <xdr:cNvSpPr txBox="1"/>
      </xdr:nvSpPr>
      <xdr:spPr>
        <a:xfrm>
          <a:off x="7359189" y="53280771"/>
          <a:ext cx="1428750" cy="211662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Since there are no temperature dependent terms in the partition function, the electronic</a:t>
          </a:r>
        </a:p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heat capacity and the internal thermal energy due to electronic motion are both zero.</a:t>
          </a:r>
          <a:endParaRPr lang="it-IT" sz="1100"/>
        </a:p>
      </xdr:txBody>
    </xdr:sp>
    <xdr:clientData/>
  </xdr:twoCellAnchor>
  <xdr:twoCellAnchor>
    <xdr:from>
      <xdr:col>5</xdr:col>
      <xdr:colOff>710046</xdr:colOff>
      <xdr:row>274</xdr:row>
      <xdr:rowOff>69272</xdr:rowOff>
    </xdr:from>
    <xdr:to>
      <xdr:col>5</xdr:col>
      <xdr:colOff>762000</xdr:colOff>
      <xdr:row>278</xdr:row>
      <xdr:rowOff>25976</xdr:rowOff>
    </xdr:to>
    <xdr:cxnSp macro="">
      <xdr:nvCxnSpPr>
        <xdr:cNvPr id="31" name="Connettore 2 30">
          <a:extLst>
            <a:ext uri="{FF2B5EF4-FFF2-40B4-BE49-F238E27FC236}">
              <a16:creationId xmlns:a16="http://schemas.microsoft.com/office/drawing/2014/main" id="{7A7B9D15-9C1A-49E5-BBF1-F375EB3295F8}"/>
            </a:ext>
          </a:extLst>
        </xdr:cNvPr>
        <xdr:cNvCxnSpPr/>
      </xdr:nvCxnSpPr>
      <xdr:spPr>
        <a:xfrm>
          <a:off x="7956666" y="52540592"/>
          <a:ext cx="51954" cy="6882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92652</xdr:colOff>
      <xdr:row>290</xdr:row>
      <xdr:rowOff>114300</xdr:rowOff>
    </xdr:from>
    <xdr:ext cx="65" cy="172227"/>
    <xdr:sp macro="" textlink="">
      <xdr:nvSpPr>
        <xdr:cNvPr id="32" name="CasellaDiTesto 31">
          <a:extLst>
            <a:ext uri="{FF2B5EF4-FFF2-40B4-BE49-F238E27FC236}">
              <a16:creationId xmlns:a16="http://schemas.microsoft.com/office/drawing/2014/main" id="{05E89474-B0DF-402F-833B-E45129DB2833}"/>
            </a:ext>
          </a:extLst>
        </xdr:cNvPr>
        <xdr:cNvSpPr txBox="1"/>
      </xdr:nvSpPr>
      <xdr:spPr>
        <a:xfrm>
          <a:off x="12238932" y="555117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242455</xdr:colOff>
      <xdr:row>280</xdr:row>
      <xdr:rowOff>0</xdr:rowOff>
    </xdr:from>
    <xdr:ext cx="1448666" cy="3009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sellaDiTesto 32">
              <a:extLst>
                <a:ext uri="{FF2B5EF4-FFF2-40B4-BE49-F238E27FC236}">
                  <a16:creationId xmlns:a16="http://schemas.microsoft.com/office/drawing/2014/main" id="{0382901D-80DB-4DB7-8358-3E9A8D8DDF23}"/>
                </a:ext>
              </a:extLst>
            </xdr:cNvPr>
            <xdr:cNvSpPr txBox="1"/>
          </xdr:nvSpPr>
          <xdr:spPr>
            <a:xfrm>
              <a:off x="242455" y="53568600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sub>
                        </m:sSub>
                      </m:e>
                    </m:acc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it-IT" sz="18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it-IT" sz="18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̃"/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sub>
                        </m:sSub>
                      </m:e>
                    </m:acc>
                    <m:r>
                      <a:rPr lang="it-IT" sz="18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33" name="CasellaDiTesto 32">
              <a:extLst>
                <a:ext uri="{FF2B5EF4-FFF2-40B4-BE49-F238E27FC236}">
                  <a16:creationId xmlns:a16="http://schemas.microsoft.com/office/drawing/2014/main" id="{0382901D-80DB-4DB7-8358-3E9A8D8DDF23}"/>
                </a:ext>
              </a:extLst>
            </xdr:cNvPr>
            <xdr:cNvSpPr txBox="1"/>
          </xdr:nvSpPr>
          <xdr:spPr>
            <a:xfrm>
              <a:off x="242455" y="53568600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i="0">
                  <a:latin typeface="Cambria Math" panose="02040503050406030204" pitchFamily="18" charset="0"/>
                </a:rPr>
                <a:t>(</a:t>
              </a:r>
              <a:r>
                <a:rPr lang="it-IT" sz="1800" b="0" i="0">
                  <a:latin typeface="Cambria Math" panose="02040503050406030204" pitchFamily="18" charset="0"/>
                </a:rPr>
                <a:t>𝐶_𝑃 ) ̃=𝑅+(𝐶_𝑉 ) ̃  </a:t>
              </a:r>
              <a:endParaRPr lang="it-IT" sz="1800"/>
            </a:p>
          </xdr:txBody>
        </xdr:sp>
      </mc:Fallback>
    </mc:AlternateContent>
    <xdr:clientData/>
  </xdr:oneCellAnchor>
  <xdr:twoCellAnchor>
    <xdr:from>
      <xdr:col>0</xdr:col>
      <xdr:colOff>0</xdr:colOff>
      <xdr:row>277</xdr:row>
      <xdr:rowOff>173182</xdr:rowOff>
    </xdr:from>
    <xdr:to>
      <xdr:col>0</xdr:col>
      <xdr:colOff>1982932</xdr:colOff>
      <xdr:row>279</xdr:row>
      <xdr:rowOff>147204</xdr:rowOff>
    </xdr:to>
    <xdr:sp macro="" textlink="">
      <xdr:nvSpPr>
        <xdr:cNvPr id="34" name="CasellaDiTesto 33">
          <a:extLst>
            <a:ext uri="{FF2B5EF4-FFF2-40B4-BE49-F238E27FC236}">
              <a16:creationId xmlns:a16="http://schemas.microsoft.com/office/drawing/2014/main" id="{CD198552-A4DB-4397-90F3-3C4E21886A24}"/>
            </a:ext>
          </a:extLst>
        </xdr:cNvPr>
        <xdr:cNvSpPr txBox="1"/>
      </xdr:nvSpPr>
      <xdr:spPr>
        <a:xfrm>
          <a:off x="0" y="53193142"/>
          <a:ext cx="1982932" cy="3397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from Mayer's</a:t>
          </a:r>
          <a:r>
            <a:rPr lang="it-IT" sz="1400" baseline="0"/>
            <a:t> relation:</a:t>
          </a:r>
          <a:endParaRPr lang="it-IT" sz="1400"/>
        </a:p>
      </xdr:txBody>
    </xdr:sp>
    <xdr:clientData/>
  </xdr:twoCellAnchor>
  <xdr:twoCellAnchor>
    <xdr:from>
      <xdr:col>0</xdr:col>
      <xdr:colOff>710046</xdr:colOff>
      <xdr:row>108</xdr:row>
      <xdr:rowOff>147204</xdr:rowOff>
    </xdr:from>
    <xdr:to>
      <xdr:col>2</xdr:col>
      <xdr:colOff>207819</xdr:colOff>
      <xdr:row>110</xdr:row>
      <xdr:rowOff>129886</xdr:rowOff>
    </xdr:to>
    <xdr:sp macro="" textlink="">
      <xdr:nvSpPr>
        <xdr:cNvPr id="35" name="CasellaDiTesto 34">
          <a:extLst>
            <a:ext uri="{FF2B5EF4-FFF2-40B4-BE49-F238E27FC236}">
              <a16:creationId xmlns:a16="http://schemas.microsoft.com/office/drawing/2014/main" id="{247E8EC0-7F39-47FA-B1FE-5CB21F5811F4}"/>
            </a:ext>
          </a:extLst>
        </xdr:cNvPr>
        <xdr:cNvSpPr txBox="1"/>
      </xdr:nvSpPr>
      <xdr:spPr>
        <a:xfrm>
          <a:off x="710046" y="20705964"/>
          <a:ext cx="2682933" cy="4094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ho utilizzato però questa</a:t>
          </a:r>
          <a:r>
            <a:rPr lang="it-IT" sz="1100" baseline="0"/>
            <a:t> riscrittura:</a:t>
          </a:r>
          <a:endParaRPr lang="it-IT" sz="1100"/>
        </a:p>
      </xdr:txBody>
    </xdr:sp>
    <xdr:clientData/>
  </xdr:twoCellAnchor>
  <xdr:oneCellAnchor>
    <xdr:from>
      <xdr:col>0</xdr:col>
      <xdr:colOff>733423</xdr:colOff>
      <xdr:row>110</xdr:row>
      <xdr:rowOff>79664</xdr:rowOff>
    </xdr:from>
    <xdr:ext cx="2816804" cy="6263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CasellaDiTesto 35">
              <a:extLst>
                <a:ext uri="{FF2B5EF4-FFF2-40B4-BE49-F238E27FC236}">
                  <a16:creationId xmlns:a16="http://schemas.microsoft.com/office/drawing/2014/main" id="{7CEE0D48-9CAF-415D-B71D-4014B9DD4282}"/>
                </a:ext>
              </a:extLst>
            </xdr:cNvPr>
            <xdr:cNvSpPr txBox="1"/>
          </xdr:nvSpPr>
          <xdr:spPr>
            <a:xfrm>
              <a:off x="733423" y="21065144"/>
              <a:ext cx="2816804" cy="626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Sup>
                    <m:sSubSupPr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sSubSupPr>
                    <m:e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Q</m:t>
                      </m:r>
                    </m:e>
                    <m:sub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rot</m:t>
                      </m:r>
                    </m:sub>
                    <m:sup>
                      <m: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3</m:t>
                      </m:r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D</m:t>
                      </m:r>
                    </m:sup>
                  </m:sSubSup>
                  <m:r>
                    <a:rPr lang="it-IT" sz="2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= </m:t>
                  </m:r>
                  <m:f>
                    <m:fPr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fPr>
                    <m:num>
                      <m:rad>
                        <m:radPr>
                          <m:degHide m:val="on"/>
                          <m:ctrlPr>
                            <a:rPr lang="it-IT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radPr>
                        <m:deg/>
                        <m:e>
                          <m:r>
                            <m:rPr>
                              <m:sty m:val="p"/>
                            </m:rP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π</m:t>
                          </m:r>
                        </m:e>
                      </m:rad>
                    </m:num>
                    <m:den>
                      <m:r>
                        <m:rPr>
                          <m:sty m:val="p"/>
                        </m:rPr>
                        <a:rPr lang="it-IT" sz="2000" b="0" i="0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  <m:t>σ</m:t>
                      </m:r>
                    </m:den>
                  </m:f>
                  <m:r>
                    <a:rPr lang="it-IT" sz="2000" b="0" i="0">
                      <a:solidFill>
                        <a:schemeClr val="tx1"/>
                      </a:solidFill>
                      <a:effectLst/>
                      <a:latin typeface="Cambria Math" panose="02040503050406030204" pitchFamily="18" charset="0"/>
                      <a:ea typeface="Cambria Math" panose="02040503050406030204" pitchFamily="18" charset="0"/>
                      <a:cs typeface="+mn-cs"/>
                    </a:rPr>
                    <m:t>⋅</m:t>
                  </m:r>
                  <m:rad>
                    <m:radPr>
                      <m:degHide m:val="on"/>
                      <m:ctrlPr>
                        <a:rPr lang="it-IT" sz="20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Cambria Math" panose="02040503050406030204" pitchFamily="18" charset="0"/>
                          <a:cs typeface="+mn-cs"/>
                        </a:rPr>
                      </m:ctrlPr>
                    </m:radPr>
                    <m:deg/>
                    <m:e>
                      <m:f>
                        <m:fPr>
                          <m:ctrlPr>
                            <a:rPr lang="it-IT" sz="20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</m:ctrlPr>
                        </m:fPr>
                        <m:num>
                          <m:sSup>
                            <m:sSup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T</m:t>
                              </m:r>
                            </m:e>
                            <m:sup>
                              <m: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3</m:t>
                              </m:r>
                            </m:sup>
                          </m:sSup>
                        </m:num>
                        <m:den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x</m:t>
                              </m:r>
                            </m:sub>
                          </m:sSub>
                          <m: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⋅</m:t>
                          </m:r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y</m:t>
                              </m:r>
                            </m:sub>
                          </m:sSub>
                          <m:r>
                            <a:rPr lang="it-IT" sz="2000" b="0" i="0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Cambria Math" panose="02040503050406030204" pitchFamily="18" charset="0"/>
                              <a:cs typeface="+mn-cs"/>
                            </a:rPr>
                            <m:t>⋅</m:t>
                          </m:r>
                          <m:sSub>
                            <m:sSubPr>
                              <m:ctrlPr>
                                <a:rPr lang="it-IT" sz="20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</m:ctrlPr>
                            </m:sSubPr>
                            <m:e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θ</m:t>
                              </m:r>
                            </m:e>
                            <m:sub>
                              <m:r>
                                <m:rPr>
                                  <m:sty m:val="p"/>
                                </m:rPr>
                                <a:rPr lang="it-IT" sz="2000" b="0" i="0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Cambria Math" panose="02040503050406030204" pitchFamily="18" charset="0"/>
                                  <a:cs typeface="+mn-cs"/>
                                </a:rPr>
                                <m:t>z</m:t>
                              </m:r>
                            </m:sub>
                          </m:sSub>
                        </m:den>
                      </m:f>
                    </m:e>
                  </m:rad>
                </m:oMath>
              </a14:m>
              <a:r>
                <a:rPr lang="it-IT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</xdr:txBody>
        </xdr:sp>
      </mc:Choice>
      <mc:Fallback xmlns="">
        <xdr:sp macro="" textlink="">
          <xdr:nvSpPr>
            <xdr:cNvPr id="36" name="CasellaDiTesto 35">
              <a:extLst>
                <a:ext uri="{FF2B5EF4-FFF2-40B4-BE49-F238E27FC236}">
                  <a16:creationId xmlns:a16="http://schemas.microsoft.com/office/drawing/2014/main" id="{7CEE0D48-9CAF-415D-B71D-4014B9DD4282}"/>
                </a:ext>
              </a:extLst>
            </xdr:cNvPr>
            <xdr:cNvSpPr txBox="1"/>
          </xdr:nvSpPr>
          <xdr:spPr>
            <a:xfrm>
              <a:off x="733423" y="21065144"/>
              <a:ext cx="2816804" cy="6263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20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Q_rot^3D=  √π/σ⋅√(T^3/(θ_x⋅θ_y⋅θ_z ))</a:t>
              </a:r>
              <a:r>
                <a:rPr lang="it-IT" sz="2000" i="0">
                  <a:latin typeface="Cambria Math" panose="02040503050406030204" pitchFamily="18" charset="0"/>
                  <a:ea typeface="Cambria Math" panose="02040503050406030204" pitchFamily="18" charset="0"/>
                </a:rPr>
                <a:t> </a:t>
              </a:r>
            </a:p>
          </xdr:txBody>
        </xdr:sp>
      </mc:Fallback>
    </mc:AlternateContent>
    <xdr:clientData/>
  </xdr:oneCellAnchor>
  <xdr:twoCellAnchor>
    <xdr:from>
      <xdr:col>0</xdr:col>
      <xdr:colOff>666750</xdr:colOff>
      <xdr:row>115</xdr:row>
      <xdr:rowOff>34636</xdr:rowOff>
    </xdr:from>
    <xdr:to>
      <xdr:col>2</xdr:col>
      <xdr:colOff>112569</xdr:colOff>
      <xdr:row>119</xdr:row>
      <xdr:rowOff>95249</xdr:rowOff>
    </xdr:to>
    <xdr:sp macro="" textlink="">
      <xdr:nvSpPr>
        <xdr:cNvPr id="37" name="CasellaDiTesto 36">
          <a:extLst>
            <a:ext uri="{FF2B5EF4-FFF2-40B4-BE49-F238E27FC236}">
              <a16:creationId xmlns:a16="http://schemas.microsoft.com/office/drawing/2014/main" id="{DC479D9B-3F67-402D-9635-0CD6AD4934F9}"/>
            </a:ext>
          </a:extLst>
        </xdr:cNvPr>
        <xdr:cNvSpPr txBox="1"/>
      </xdr:nvSpPr>
      <xdr:spPr>
        <a:xfrm>
          <a:off x="666750" y="21942136"/>
          <a:ext cx="2630979" cy="7921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dove le </a:t>
          </a:r>
          <a:r>
            <a:rPr lang="el-GR" sz="1100"/>
            <a:t>ϑ</a:t>
          </a:r>
          <a:r>
            <a:rPr lang="it-IT" sz="1100"/>
            <a:t> rappresentano le temperature rotazionali rispetto agli assi x, y e z</a:t>
          </a:r>
        </a:p>
      </xdr:txBody>
    </xdr:sp>
    <xdr:clientData/>
  </xdr:twoCellAnchor>
  <xdr:twoCellAnchor>
    <xdr:from>
      <xdr:col>2</xdr:col>
      <xdr:colOff>207818</xdr:colOff>
      <xdr:row>220</xdr:row>
      <xdr:rowOff>147205</xdr:rowOff>
    </xdr:from>
    <xdr:to>
      <xdr:col>3</xdr:col>
      <xdr:colOff>493568</xdr:colOff>
      <xdr:row>222</xdr:row>
      <xdr:rowOff>60614</xdr:rowOff>
    </xdr:to>
    <xdr:sp macro="" textlink="">
      <xdr:nvSpPr>
        <xdr:cNvPr id="38" name="CasellaDiTesto 37">
          <a:extLst>
            <a:ext uri="{FF2B5EF4-FFF2-40B4-BE49-F238E27FC236}">
              <a16:creationId xmlns:a16="http://schemas.microsoft.com/office/drawing/2014/main" id="{09430E8D-838A-4405-9F37-7DAE17B95421}"/>
            </a:ext>
          </a:extLst>
        </xdr:cNvPr>
        <xdr:cNvSpPr txBox="1"/>
      </xdr:nvSpPr>
      <xdr:spPr>
        <a:xfrm>
          <a:off x="3392978" y="42483925"/>
          <a:ext cx="1291590" cy="279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for S_trasl</a:t>
          </a:r>
          <a:r>
            <a:rPr lang="it-IT" sz="1100" baseline="0"/>
            <a:t> : </a:t>
          </a:r>
          <a:endParaRPr lang="it-IT" sz="1100"/>
        </a:p>
      </xdr:txBody>
    </xdr:sp>
    <xdr:clientData/>
  </xdr:twoCellAnchor>
  <xdr:twoCellAnchor editAs="oneCell">
    <xdr:from>
      <xdr:col>3</xdr:col>
      <xdr:colOff>43297</xdr:colOff>
      <xdr:row>220</xdr:row>
      <xdr:rowOff>17320</xdr:rowOff>
    </xdr:from>
    <xdr:to>
      <xdr:col>3</xdr:col>
      <xdr:colOff>1853047</xdr:colOff>
      <xdr:row>222</xdr:row>
      <xdr:rowOff>83556</xdr:rowOff>
    </xdr:to>
    <xdr:pic>
      <xdr:nvPicPr>
        <xdr:cNvPr id="39" name="Immagine 38">
          <a:extLst>
            <a:ext uri="{FF2B5EF4-FFF2-40B4-BE49-F238E27FC236}">
              <a16:creationId xmlns:a16="http://schemas.microsoft.com/office/drawing/2014/main" id="{B706AF84-8732-4686-9D3C-FC52C8553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4297" y="42354040"/>
          <a:ext cx="1809750" cy="431997"/>
        </a:xfrm>
        <a:prstGeom prst="rect">
          <a:avLst/>
        </a:prstGeom>
      </xdr:spPr>
    </xdr:pic>
    <xdr:clientData/>
  </xdr:twoCellAnchor>
  <xdr:twoCellAnchor editAs="oneCell">
    <xdr:from>
      <xdr:col>8</xdr:col>
      <xdr:colOff>431303</xdr:colOff>
      <xdr:row>9</xdr:row>
      <xdr:rowOff>60613</xdr:rowOff>
    </xdr:from>
    <xdr:to>
      <xdr:col>11</xdr:col>
      <xdr:colOff>225297</xdr:colOff>
      <xdr:row>23</xdr:row>
      <xdr:rowOff>178417</xdr:rowOff>
    </xdr:to>
    <xdr:pic>
      <xdr:nvPicPr>
        <xdr:cNvPr id="41" name="Immagine 40">
          <a:extLst>
            <a:ext uri="{FF2B5EF4-FFF2-40B4-BE49-F238E27FC236}">
              <a16:creationId xmlns:a16="http://schemas.microsoft.com/office/drawing/2014/main" id="{B99F8DBD-F9A2-9DA6-E825-E453112941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28348" y="1818408"/>
          <a:ext cx="3785835" cy="2897373"/>
        </a:xfrm>
        <a:prstGeom prst="rect">
          <a:avLst/>
        </a:prstGeom>
      </xdr:spPr>
    </xdr:pic>
    <xdr:clientData/>
  </xdr:twoCellAnchor>
  <xdr:oneCellAnchor>
    <xdr:from>
      <xdr:col>0</xdr:col>
      <xdr:colOff>406977</xdr:colOff>
      <xdr:row>73</xdr:row>
      <xdr:rowOff>129886</xdr:rowOff>
    </xdr:from>
    <xdr:ext cx="2764849" cy="10300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asellaDiTesto 39">
              <a:extLst>
                <a:ext uri="{FF2B5EF4-FFF2-40B4-BE49-F238E27FC236}">
                  <a16:creationId xmlns:a16="http://schemas.microsoft.com/office/drawing/2014/main" id="{99C0DFE6-47D3-4F52-92F1-6921CC1EEEBA}"/>
                </a:ext>
              </a:extLst>
            </xdr:cNvPr>
            <xdr:cNvSpPr txBox="1"/>
          </xdr:nvSpPr>
          <xdr:spPr>
            <a:xfrm>
              <a:off x="406977" y="14027727"/>
              <a:ext cx="2764849" cy="1030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vib</m:t>
                        </m:r>
                      </m:sub>
                    </m:sSub>
                    <m:r>
                      <a:rPr lang="it-IT" sz="1800" b="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∏"/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𝑣𝑖𝑏</m:t>
                            </m:r>
                          </m:sub>
                        </m:sSub>
                      </m:sup>
                      <m:e>
                        <m:f>
                          <m:f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m:rPr>
                                <m:sty m:val="p"/>
                              </m:rPr>
                              <a:rPr lang="it-IT" sz="1800" b="0" i="0">
                                <a:latin typeface="Cambria Math" panose="02040503050406030204" pitchFamily="18" charset="0"/>
                              </a:rPr>
                              <m:t>exp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⁡(−</m:t>
                            </m:r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den>
                            </m:f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 )</m:t>
                            </m:r>
                          </m:num>
                          <m:den>
                            <m:r>
                              <a:rPr lang="it-IT" sz="1800" b="0" i="0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m:rPr>
                                <m:sty m:val="p"/>
                              </m:rPr>
                              <a:rPr lang="it-IT" sz="1800" b="0" i="0">
                                <a:latin typeface="Cambria Math" panose="02040503050406030204" pitchFamily="18" charset="0"/>
                              </a:rPr>
                              <m:t>exp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⁡(−</m:t>
                            </m:r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den>
                            </m:f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40" name="CasellaDiTesto 39">
              <a:extLst>
                <a:ext uri="{FF2B5EF4-FFF2-40B4-BE49-F238E27FC236}">
                  <a16:creationId xmlns:a16="http://schemas.microsoft.com/office/drawing/2014/main" id="{99C0DFE6-47D3-4F52-92F1-6921CC1EEEBA}"/>
                </a:ext>
              </a:extLst>
            </xdr:cNvPr>
            <xdr:cNvSpPr txBox="1"/>
          </xdr:nvSpPr>
          <xdr:spPr>
            <a:xfrm>
              <a:off x="406977" y="14027727"/>
              <a:ext cx="2764849" cy="1030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Q_vib=∏_(𝑖=1)^(𝑁_𝑣𝑖𝑏)▒(exp⁡(−(ℎ𝜈_𝑖)/(</a:t>
              </a:r>
              <a:r>
                <a:rPr lang="it-IT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〖2𝑘〗_𝐵 𝑇) </a:t>
              </a:r>
              <a:r>
                <a:rPr lang="it-IT" sz="1800" b="0" i="0">
                  <a:latin typeface="Cambria Math" panose="02040503050406030204" pitchFamily="18" charset="0"/>
                </a:rPr>
                <a:t> ))/(1−exp⁡(−(ℎ𝜈_𝑖)/(𝑘_𝐵 𝑇)))</a:t>
              </a:r>
              <a:endParaRPr lang="it-IT" sz="18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352424</xdr:colOff>
      <xdr:row>84</xdr:row>
      <xdr:rowOff>19049</xdr:rowOff>
    </xdr:from>
    <xdr:ext cx="3379644" cy="68820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F8B72AD0-7E18-4AD8-B030-03555AD49A55}"/>
                </a:ext>
              </a:extLst>
            </xdr:cNvPr>
            <xdr:cNvSpPr txBox="1"/>
          </xdr:nvSpPr>
          <xdr:spPr>
            <a:xfrm>
              <a:off x="352424" y="16097249"/>
              <a:ext cx="3379644" cy="688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𝑡𝑟𝑎𝑠𝑙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𝜋</m:t>
                                </m:r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𝑚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num>
                              <m:den>
                                <m:sSup>
                                  <m:sSup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p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h</m:t>
                                    </m:r>
                                  </m:e>
                                  <m:sup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2</m:t>
                                    </m:r>
                                  </m:sup>
                                </m:sSup>
                              </m:den>
                            </m:f>
                          </m:e>
                        </m:d>
                      </m:e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3/2</m:t>
                        </m:r>
                      </m:sup>
                    </m:sSup>
                    <m:r>
                      <a:rPr lang="it-IT" sz="1800" b="0" i="1">
                        <a:latin typeface="Cambria Math" panose="02040503050406030204" pitchFamily="18" charset="0"/>
                      </a:rPr>
                      <m:t>⋅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3" name="CasellaDiTesto 2">
              <a:extLst>
                <a:ext uri="{FF2B5EF4-FFF2-40B4-BE49-F238E27FC236}">
                  <a16:creationId xmlns:a16="http://schemas.microsoft.com/office/drawing/2014/main" id="{F8B72AD0-7E18-4AD8-B030-03555AD49A55}"/>
                </a:ext>
              </a:extLst>
            </xdr:cNvPr>
            <xdr:cNvSpPr txBox="1"/>
          </xdr:nvSpPr>
          <xdr:spPr>
            <a:xfrm>
              <a:off x="352424" y="16097249"/>
              <a:ext cx="3379644" cy="6882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𝑄_𝑡𝑟𝑎𝑠𝑙=((2𝜋𝑚𝑘_𝐵 𝑇)/ℎ^2 )^(3/2)⋅(𝑘_𝐵 𝑇)/𝑃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127289</xdr:colOff>
      <xdr:row>103</xdr:row>
      <xdr:rowOff>157596</xdr:rowOff>
    </xdr:from>
    <xdr:ext cx="4141643" cy="5558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066339A6-0737-4071-BE4E-34F259EBFA09}"/>
                </a:ext>
              </a:extLst>
            </xdr:cNvPr>
            <xdr:cNvSpPr txBox="1"/>
          </xdr:nvSpPr>
          <xdr:spPr>
            <a:xfrm>
              <a:off x="127289" y="19666528"/>
              <a:ext cx="4141643" cy="5558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𝑟𝑜𝑡</m:t>
                        </m:r>
                      </m:sub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𝐷</m:t>
                        </m:r>
                      </m:sup>
                    </m:sSubSup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8</m:t>
                        </m:r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𝜋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𝑇𝐼</m:t>
                        </m:r>
                      </m:num>
                      <m:den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𝜎</m:t>
                        </m:r>
                        <m:sSup>
                          <m:sSup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h</m:t>
                            </m:r>
                          </m:e>
                          <m:sup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4" name="CasellaDiTesto 3">
              <a:extLst>
                <a:ext uri="{FF2B5EF4-FFF2-40B4-BE49-F238E27FC236}">
                  <a16:creationId xmlns:a16="http://schemas.microsoft.com/office/drawing/2014/main" id="{066339A6-0737-4071-BE4E-34F259EBFA09}"/>
                </a:ext>
              </a:extLst>
            </xdr:cNvPr>
            <xdr:cNvSpPr txBox="1"/>
          </xdr:nvSpPr>
          <xdr:spPr>
            <a:xfrm>
              <a:off x="127289" y="19666528"/>
              <a:ext cx="4141643" cy="5558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𝑄_𝑟𝑜𝑡^2𝐷=(8𝜋^2 𝑘_𝐵 𝑇𝐼)/(𝜎ℎ^2 )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126</xdr:row>
      <xdr:rowOff>0</xdr:rowOff>
    </xdr:from>
    <xdr:ext cx="4141643" cy="4521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A05C07E3-0B75-4C91-AE1B-39F085E0F113}"/>
                </a:ext>
              </a:extLst>
            </xdr:cNvPr>
            <xdr:cNvSpPr txBox="1"/>
          </xdr:nvSpPr>
          <xdr:spPr>
            <a:xfrm>
              <a:off x="0" y="23934420"/>
              <a:ext cx="414164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⋅</m:t>
                    </m:r>
                    <m:sSup>
                      <m:s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−</m:t>
                        </m:r>
                        <m:f>
                          <m:f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𝐸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𝑒𝑙</m:t>
                                </m:r>
                              </m:sub>
                            </m:sSub>
                          </m:num>
                          <m:den>
                            <m:sSub>
                              <m:sSub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e>
                              <m: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𝐵</m:t>
                                </m:r>
                              </m:sub>
                            </m:s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𝑇</m:t>
                            </m:r>
                          </m:den>
                        </m:f>
                      </m:sup>
                    </m:sSup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5" name="CasellaDiTesto 4">
              <a:extLst>
                <a:ext uri="{FF2B5EF4-FFF2-40B4-BE49-F238E27FC236}">
                  <a16:creationId xmlns:a16="http://schemas.microsoft.com/office/drawing/2014/main" id="{A05C07E3-0B75-4C91-AE1B-39F085E0F113}"/>
                </a:ext>
              </a:extLst>
            </xdr:cNvPr>
            <xdr:cNvSpPr txBox="1"/>
          </xdr:nvSpPr>
          <xdr:spPr>
            <a:xfrm>
              <a:off x="0" y="23934420"/>
              <a:ext cx="4141643" cy="4521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Q_el=𝑔_𝑒𝑙⋅𝑒^(−𝐸_𝑒𝑙/(𝑘_𝐵 𝑇))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216478</xdr:colOff>
      <xdr:row>153</xdr:row>
      <xdr:rowOff>114298</xdr:rowOff>
    </xdr:from>
    <xdr:ext cx="3717348" cy="5750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174C8AD4-A109-42EF-BD3C-7F1095B32235}"/>
                </a:ext>
              </a:extLst>
            </xdr:cNvPr>
            <xdr:cNvSpPr txBox="1"/>
          </xdr:nvSpPr>
          <xdr:spPr>
            <a:xfrm>
              <a:off x="216478" y="29550358"/>
              <a:ext cx="3717348" cy="5750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800" b="0" i="1">
                        <a:latin typeface="Cambria Math" panose="02040503050406030204" pitchFamily="18" charset="0"/>
                      </a:rPr>
                      <m:t>𝑄</m:t>
                    </m:r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𝑡𝑟𝑎𝑠𝑙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×</m:t>
                    </m:r>
                    <m:sSubSup>
                      <m:sSubSup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𝑟𝑜𝑡</m:t>
                        </m:r>
                      </m:sub>
                      <m:sup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3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𝐷</m:t>
                        </m:r>
                      </m:sup>
                    </m:sSubSup>
                    <m:r>
                      <a:rPr lang="it-IT" sz="1800" b="0" i="1">
                        <a:latin typeface="Cambria Math" panose="02040503050406030204" pitchFamily="18" charset="0"/>
                      </a:rPr>
                      <m:t>×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𝑄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𝑣𝑖𝑏</m:t>
                        </m:r>
                      </m:sub>
                    </m:sSub>
                  </m:oMath>
                </m:oMathPara>
              </a14:m>
              <a:endParaRPr lang="it-IT" sz="1800" b="0"/>
            </a:p>
            <a:p>
              <a:endParaRPr lang="it-IT" sz="1800"/>
            </a:p>
          </xdr:txBody>
        </xdr:sp>
      </mc:Choice>
      <mc:Fallback xmlns="">
        <xdr:sp macro="" textlink="">
          <xdr:nvSpPr>
            <xdr:cNvPr id="6" name="CasellaDiTesto 5">
              <a:extLst>
                <a:ext uri="{FF2B5EF4-FFF2-40B4-BE49-F238E27FC236}">
                  <a16:creationId xmlns:a16="http://schemas.microsoft.com/office/drawing/2014/main" id="{174C8AD4-A109-42EF-BD3C-7F1095B32235}"/>
                </a:ext>
              </a:extLst>
            </xdr:cNvPr>
            <xdr:cNvSpPr txBox="1"/>
          </xdr:nvSpPr>
          <xdr:spPr>
            <a:xfrm>
              <a:off x="216478" y="29550358"/>
              <a:ext cx="3717348" cy="5750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𝑄=𝑄_𝑡𝑟𝑎𝑠𝑙×𝑄_𝑒𝑙×𝑄_𝑟𝑜𝑡^3𝐷×𝑄_𝑣𝑖𝑏</a:t>
              </a:r>
              <a:endParaRPr lang="it-IT" sz="1800" b="0"/>
            </a:p>
            <a:p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0</xdr:colOff>
      <xdr:row>140</xdr:row>
      <xdr:rowOff>0</xdr:rowOff>
    </xdr:from>
    <xdr:ext cx="4141643" cy="2843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77BABA95-ADC7-40A9-B299-513B6897616B}"/>
                </a:ext>
              </a:extLst>
            </xdr:cNvPr>
            <xdr:cNvSpPr txBox="1"/>
          </xdr:nvSpPr>
          <xdr:spPr>
            <a:xfrm>
              <a:off x="0" y="26860500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𝑔</m:t>
                        </m:r>
                      </m:e>
                      <m:sub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7" name="CasellaDiTesto 6">
              <a:extLst>
                <a:ext uri="{FF2B5EF4-FFF2-40B4-BE49-F238E27FC236}">
                  <a16:creationId xmlns:a16="http://schemas.microsoft.com/office/drawing/2014/main" id="{77BABA95-ADC7-40A9-B299-513B6897616B}"/>
                </a:ext>
              </a:extLst>
            </xdr:cNvPr>
            <xdr:cNvSpPr txBox="1"/>
          </xdr:nvSpPr>
          <xdr:spPr>
            <a:xfrm>
              <a:off x="0" y="26860500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Q_el=𝑔_𝑒𝑙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141</xdr:row>
      <xdr:rowOff>138545</xdr:rowOff>
    </xdr:from>
    <xdr:ext cx="4141643" cy="2843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37BD1430-90C1-487C-9AED-715891D0E82A}"/>
                </a:ext>
              </a:extLst>
            </xdr:cNvPr>
            <xdr:cNvSpPr txBox="1"/>
          </xdr:nvSpPr>
          <xdr:spPr>
            <a:xfrm>
              <a:off x="0" y="27197165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el</m:t>
                        </m:r>
                      </m:sub>
                    </m:sSub>
                    <m:r>
                      <a:rPr lang="it-IT" sz="1800" b="0" i="1">
                        <a:latin typeface="Cambria Math" panose="02040503050406030204" pitchFamily="18" charset="0"/>
                      </a:rPr>
                      <m:t>=1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8" name="CasellaDiTesto 7">
              <a:extLst>
                <a:ext uri="{FF2B5EF4-FFF2-40B4-BE49-F238E27FC236}">
                  <a16:creationId xmlns:a16="http://schemas.microsoft.com/office/drawing/2014/main" id="{37BD1430-90C1-487C-9AED-715891D0E82A}"/>
                </a:ext>
              </a:extLst>
            </xdr:cNvPr>
            <xdr:cNvSpPr txBox="1"/>
          </xdr:nvSpPr>
          <xdr:spPr>
            <a:xfrm>
              <a:off x="0" y="27197165"/>
              <a:ext cx="4141643" cy="284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Q_el=1</a:t>
              </a:r>
              <a:endParaRPr lang="it-IT" sz="1100"/>
            </a:p>
          </xdr:txBody>
        </xdr:sp>
      </mc:Fallback>
    </mc:AlternateContent>
    <xdr:clientData/>
  </xdr:oneCellAnchor>
  <xdr:oneCellAnchor>
    <xdr:from>
      <xdr:col>0</xdr:col>
      <xdr:colOff>993198</xdr:colOff>
      <xdr:row>175</xdr:row>
      <xdr:rowOff>140278</xdr:rowOff>
    </xdr:from>
    <xdr:ext cx="1448666" cy="29758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C61CD1E3-4CE0-4C07-AC4A-B7F9A37F4F2E}"/>
                </a:ext>
              </a:extLst>
            </xdr:cNvPr>
            <xdr:cNvSpPr txBox="1"/>
          </xdr:nvSpPr>
          <xdr:spPr>
            <a:xfrm>
              <a:off x="993198" y="33957838"/>
              <a:ext cx="1448666" cy="297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𝑈</m:t>
                        </m:r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9" name="CasellaDiTesto 8">
              <a:extLst>
                <a:ext uri="{FF2B5EF4-FFF2-40B4-BE49-F238E27FC236}">
                  <a16:creationId xmlns:a16="http://schemas.microsoft.com/office/drawing/2014/main" id="{C61CD1E3-4CE0-4C07-AC4A-B7F9A37F4F2E}"/>
                </a:ext>
              </a:extLst>
            </xdr:cNvPr>
            <xdr:cNvSpPr txBox="1"/>
          </xdr:nvSpPr>
          <xdr:spPr>
            <a:xfrm>
              <a:off x="993198" y="33957838"/>
              <a:ext cx="1448666" cy="29758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𝑈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857250</xdr:colOff>
      <xdr:row>201</xdr:row>
      <xdr:rowOff>173182</xdr:rowOff>
    </xdr:from>
    <xdr:ext cx="1448666" cy="2964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AD824ECC-79C9-4B6B-90B3-C2235DFFF4BC}"/>
                </a:ext>
              </a:extLst>
            </xdr:cNvPr>
            <xdr:cNvSpPr txBox="1"/>
          </xdr:nvSpPr>
          <xdr:spPr>
            <a:xfrm>
              <a:off x="857250" y="38943742"/>
              <a:ext cx="1448666" cy="2964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𝑆</m:t>
                        </m:r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0" name="CasellaDiTesto 9">
              <a:extLst>
                <a:ext uri="{FF2B5EF4-FFF2-40B4-BE49-F238E27FC236}">
                  <a16:creationId xmlns:a16="http://schemas.microsoft.com/office/drawing/2014/main" id="{AD824ECC-79C9-4B6B-90B3-C2235DFFF4BC}"/>
                </a:ext>
              </a:extLst>
            </xdr:cNvPr>
            <xdr:cNvSpPr txBox="1"/>
          </xdr:nvSpPr>
          <xdr:spPr>
            <a:xfrm>
              <a:off x="857250" y="38943742"/>
              <a:ext cx="1448666" cy="2964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𝑆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4</xdr:col>
      <xdr:colOff>92652</xdr:colOff>
      <xdr:row>218</xdr:row>
      <xdr:rowOff>114300</xdr:rowOff>
    </xdr:from>
    <xdr:ext cx="65" cy="172227"/>
    <xdr:sp macro="" textlink="">
      <xdr:nvSpPr>
        <xdr:cNvPr id="11" name="CasellaDiTesto 10">
          <a:extLst>
            <a:ext uri="{FF2B5EF4-FFF2-40B4-BE49-F238E27FC236}">
              <a16:creationId xmlns:a16="http://schemas.microsoft.com/office/drawing/2014/main" id="{6C6C69F6-F459-4AAE-85F5-2CE678F39AB3}"/>
            </a:ext>
          </a:extLst>
        </xdr:cNvPr>
        <xdr:cNvSpPr txBox="1"/>
      </xdr:nvSpPr>
      <xdr:spPr>
        <a:xfrm>
          <a:off x="6333432" y="421233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1047750</xdr:colOff>
      <xdr:row>225</xdr:row>
      <xdr:rowOff>147205</xdr:rowOff>
    </xdr:from>
    <xdr:ext cx="1448666" cy="578172"/>
    <xdr:sp macro="" textlink="">
      <xdr:nvSpPr>
        <xdr:cNvPr id="12" name="CasellaDiTesto 11">
          <a:extLst>
            <a:ext uri="{FF2B5EF4-FFF2-40B4-BE49-F238E27FC236}">
              <a16:creationId xmlns:a16="http://schemas.microsoft.com/office/drawing/2014/main" id="{1E85638A-7899-4162-8506-37806E62ACBD}"/>
            </a:ext>
          </a:extLst>
        </xdr:cNvPr>
        <xdr:cNvSpPr txBox="1"/>
      </xdr:nvSpPr>
      <xdr:spPr>
        <a:xfrm>
          <a:off x="1047750" y="43497385"/>
          <a:ext cx="1448666" cy="578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it-IT" sz="1800" b="0"/>
        </a:p>
        <a:p>
          <a:endParaRPr lang="it-IT" sz="1800"/>
        </a:p>
      </xdr:txBody>
    </xdr:sp>
    <xdr:clientData/>
  </xdr:oneCellAnchor>
  <xdr:oneCellAnchor>
    <xdr:from>
      <xdr:col>0</xdr:col>
      <xdr:colOff>839932</xdr:colOff>
      <xdr:row>226</xdr:row>
      <xdr:rowOff>25977</xdr:rowOff>
    </xdr:from>
    <xdr:ext cx="1448666" cy="3009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F2B4259A-1123-4F2A-BB73-BC62EF505E8A}"/>
                </a:ext>
              </a:extLst>
            </xdr:cNvPr>
            <xdr:cNvSpPr txBox="1"/>
          </xdr:nvSpPr>
          <xdr:spPr>
            <a:xfrm>
              <a:off x="839932" y="43566657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3" name="CasellaDiTesto 12">
              <a:extLst>
                <a:ext uri="{FF2B5EF4-FFF2-40B4-BE49-F238E27FC236}">
                  <a16:creationId xmlns:a16="http://schemas.microsoft.com/office/drawing/2014/main" id="{F2B4259A-1123-4F2A-BB73-BC62EF505E8A}"/>
                </a:ext>
              </a:extLst>
            </xdr:cNvPr>
            <xdr:cNvSpPr txBox="1"/>
          </xdr:nvSpPr>
          <xdr:spPr>
            <a:xfrm>
              <a:off x="839932" y="43566657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i="0">
                  <a:latin typeface="Cambria Math" panose="02040503050406030204" pitchFamily="18" charset="0"/>
                </a:rPr>
                <a:t>(</a:t>
              </a:r>
              <a:r>
                <a:rPr lang="it-IT" sz="1800" b="0" i="0">
                  <a:latin typeface="Cambria Math" panose="02040503050406030204" pitchFamily="18" charset="0"/>
                </a:rPr>
                <a:t>𝐶_𝑉 )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3</xdr:col>
      <xdr:colOff>92652</xdr:colOff>
      <xdr:row>242</xdr:row>
      <xdr:rowOff>114300</xdr:rowOff>
    </xdr:from>
    <xdr:ext cx="65" cy="172227"/>
    <xdr:sp macro="" textlink="">
      <xdr:nvSpPr>
        <xdr:cNvPr id="14" name="CasellaDiTesto 13">
          <a:extLst>
            <a:ext uri="{FF2B5EF4-FFF2-40B4-BE49-F238E27FC236}">
              <a16:creationId xmlns:a16="http://schemas.microsoft.com/office/drawing/2014/main" id="{493AB6A5-FF5F-4C15-B690-DE6BE86E9C4A}"/>
            </a:ext>
          </a:extLst>
        </xdr:cNvPr>
        <xdr:cNvSpPr txBox="1"/>
      </xdr:nvSpPr>
      <xdr:spPr>
        <a:xfrm>
          <a:off x="4283652" y="46657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5</xdr:col>
      <xdr:colOff>1235651</xdr:colOff>
      <xdr:row>196</xdr:row>
      <xdr:rowOff>71005</xdr:rowOff>
    </xdr:from>
    <xdr:ext cx="2184689" cy="4383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C7CF506E-9185-44D4-B3A1-B6A8DD37E12D}"/>
                </a:ext>
              </a:extLst>
            </xdr:cNvPr>
            <xdr:cNvSpPr txBox="1"/>
          </xdr:nvSpPr>
          <xdr:spPr>
            <a:xfrm>
              <a:off x="8482271" y="37828105"/>
              <a:ext cx="2184689" cy="438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400" b="0" i="1">
                      <a:latin typeface="Cambria Math" panose="02040503050406030204" pitchFamily="18" charset="0"/>
                    </a:rPr>
                    <m:t>𝐼</m:t>
                  </m:r>
                  <m:r>
                    <a:rPr lang="it-IT" sz="1400" b="0" i="1">
                      <a:latin typeface="Cambria Math" panose="02040503050406030204" pitchFamily="18" charset="0"/>
                    </a:rPr>
                    <m:t>=</m:t>
                  </m:r>
                  <m:rad>
                    <m:radPr>
                      <m:degHide m:val="on"/>
                      <m:ctrlPr>
                        <a:rPr lang="it-IT" sz="1400" b="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bSup>
                        <m:sSubSupPr>
                          <m:ctrlPr>
                            <a:rPr lang="it-IT" sz="14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sub>
                        <m:sup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  <m:r>
                        <a:rPr lang="it-IT" sz="1400" b="0" i="1">
                          <a:latin typeface="Cambria Math" panose="02040503050406030204" pitchFamily="18" charset="0"/>
                        </a:rPr>
                        <m:t>+</m:t>
                      </m:r>
                      <m:sSubSup>
                        <m:sSubSupPr>
                          <m:ctrlPr>
                            <a:rPr lang="it-IT" sz="14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𝑦</m:t>
                          </m:r>
                        </m:sub>
                        <m:sup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  <m:r>
                        <a:rPr lang="it-IT" sz="1400" b="0" i="1">
                          <a:latin typeface="Cambria Math" panose="02040503050406030204" pitchFamily="18" charset="0"/>
                        </a:rPr>
                        <m:t>+</m:t>
                      </m:r>
                      <m:sSubSup>
                        <m:sSubSupPr>
                          <m:ctrlPr>
                            <a:rPr lang="it-IT" sz="14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𝑧</m:t>
                          </m:r>
                        </m:sub>
                        <m:sup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</m:e>
                  </m:rad>
                </m:oMath>
              </a14:m>
              <a:r>
                <a:rPr lang="it-IT" sz="1400"/>
                <a:t> =</a:t>
              </a:r>
            </a:p>
          </xdr:txBody>
        </xdr:sp>
      </mc:Choice>
      <mc:Fallback xmlns="">
        <xdr:sp macro="" textlink="">
          <xdr:nvSpPr>
            <xdr:cNvPr id="15" name="CasellaDiTesto 14">
              <a:extLst>
                <a:ext uri="{FF2B5EF4-FFF2-40B4-BE49-F238E27FC236}">
                  <a16:creationId xmlns:a16="http://schemas.microsoft.com/office/drawing/2014/main" id="{C7CF506E-9185-44D4-B3A1-B6A8DD37E12D}"/>
                </a:ext>
              </a:extLst>
            </xdr:cNvPr>
            <xdr:cNvSpPr txBox="1"/>
          </xdr:nvSpPr>
          <xdr:spPr>
            <a:xfrm>
              <a:off x="8482271" y="37828105"/>
              <a:ext cx="2184689" cy="438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400" b="0" i="0">
                  <a:latin typeface="Cambria Math" panose="02040503050406030204" pitchFamily="18" charset="0"/>
                </a:rPr>
                <a:t>𝐼=√(𝐼_𝑥^2+𝐼_𝑦^2+𝐼_𝑧^2 )</a:t>
              </a:r>
              <a:r>
                <a:rPr lang="it-IT" sz="1400"/>
                <a:t> =</a:t>
              </a:r>
            </a:p>
          </xdr:txBody>
        </xdr:sp>
      </mc:Fallback>
    </mc:AlternateContent>
    <xdr:clientData/>
  </xdr:oneCellAnchor>
  <xdr:oneCellAnchor>
    <xdr:from>
      <xdr:col>0</xdr:col>
      <xdr:colOff>1079788</xdr:colOff>
      <xdr:row>248</xdr:row>
      <xdr:rowOff>62346</xdr:rowOff>
    </xdr:from>
    <xdr:ext cx="660689" cy="2956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DB93C8DB-D5A4-45B2-AEBC-D9799F5DA4BA}"/>
                </a:ext>
              </a:extLst>
            </xdr:cNvPr>
            <xdr:cNvSpPr txBox="1"/>
          </xdr:nvSpPr>
          <xdr:spPr>
            <a:xfrm>
              <a:off x="1079788" y="47763546"/>
              <a:ext cx="660689" cy="295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𝐹</m:t>
                        </m:r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16" name="CasellaDiTesto 15">
              <a:extLst>
                <a:ext uri="{FF2B5EF4-FFF2-40B4-BE49-F238E27FC236}">
                  <a16:creationId xmlns:a16="http://schemas.microsoft.com/office/drawing/2014/main" id="{DB93C8DB-D5A4-45B2-AEBC-D9799F5DA4BA}"/>
                </a:ext>
              </a:extLst>
            </xdr:cNvPr>
            <xdr:cNvSpPr txBox="1"/>
          </xdr:nvSpPr>
          <xdr:spPr>
            <a:xfrm>
              <a:off x="1079788" y="47763546"/>
              <a:ext cx="660689" cy="2956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𝐹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0</xdr:col>
      <xdr:colOff>1047750</xdr:colOff>
      <xdr:row>248</xdr:row>
      <xdr:rowOff>147205</xdr:rowOff>
    </xdr:from>
    <xdr:ext cx="1448666" cy="578172"/>
    <xdr:sp macro="" textlink="">
      <xdr:nvSpPr>
        <xdr:cNvPr id="17" name="CasellaDiTesto 16">
          <a:extLst>
            <a:ext uri="{FF2B5EF4-FFF2-40B4-BE49-F238E27FC236}">
              <a16:creationId xmlns:a16="http://schemas.microsoft.com/office/drawing/2014/main" id="{D9AE26AA-C3B7-4C25-A341-BB8038D7CFDF}"/>
            </a:ext>
          </a:extLst>
        </xdr:cNvPr>
        <xdr:cNvSpPr txBox="1"/>
      </xdr:nvSpPr>
      <xdr:spPr>
        <a:xfrm>
          <a:off x="1047750" y="47848405"/>
          <a:ext cx="1448666" cy="578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it-IT" sz="1800" b="0"/>
        </a:p>
        <a:p>
          <a:endParaRPr lang="it-IT" sz="1800"/>
        </a:p>
      </xdr:txBody>
    </xdr:sp>
    <xdr:clientData/>
  </xdr:oneCellAnchor>
  <xdr:oneCellAnchor>
    <xdr:from>
      <xdr:col>3</xdr:col>
      <xdr:colOff>92652</xdr:colOff>
      <xdr:row>265</xdr:row>
      <xdr:rowOff>114300</xdr:rowOff>
    </xdr:from>
    <xdr:ext cx="65" cy="172227"/>
    <xdr:sp macro="" textlink="">
      <xdr:nvSpPr>
        <xdr:cNvPr id="18" name="CasellaDiTesto 17">
          <a:extLst>
            <a:ext uri="{FF2B5EF4-FFF2-40B4-BE49-F238E27FC236}">
              <a16:creationId xmlns:a16="http://schemas.microsoft.com/office/drawing/2014/main" id="{47C7BF63-76DD-48C4-8F34-4739B41F747D}"/>
            </a:ext>
          </a:extLst>
        </xdr:cNvPr>
        <xdr:cNvSpPr txBox="1"/>
      </xdr:nvSpPr>
      <xdr:spPr>
        <a:xfrm>
          <a:off x="4283652" y="5093208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9</xdr:col>
      <xdr:colOff>92652</xdr:colOff>
      <xdr:row>218</xdr:row>
      <xdr:rowOff>114300</xdr:rowOff>
    </xdr:from>
    <xdr:ext cx="65" cy="172227"/>
    <xdr:sp macro="" textlink="">
      <xdr:nvSpPr>
        <xdr:cNvPr id="19" name="CasellaDiTesto 18">
          <a:extLst>
            <a:ext uri="{FF2B5EF4-FFF2-40B4-BE49-F238E27FC236}">
              <a16:creationId xmlns:a16="http://schemas.microsoft.com/office/drawing/2014/main" id="{1D857C8D-4742-4E7B-8D51-EB8FB8FE1A3C}"/>
            </a:ext>
          </a:extLst>
        </xdr:cNvPr>
        <xdr:cNvSpPr txBox="1"/>
      </xdr:nvSpPr>
      <xdr:spPr>
        <a:xfrm>
          <a:off x="12238932" y="421233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144605</xdr:colOff>
      <xdr:row>138</xdr:row>
      <xdr:rowOff>140276</xdr:rowOff>
    </xdr:from>
    <xdr:ext cx="1791131" cy="2528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F3C0AF17-79F9-4B2C-9D4A-4D8E869E15CC}"/>
                </a:ext>
              </a:extLst>
            </xdr:cNvPr>
            <xdr:cNvSpPr txBox="1"/>
          </xdr:nvSpPr>
          <xdr:spPr>
            <a:xfrm>
              <a:off x="144605" y="26604536"/>
              <a:ext cx="1791131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it-IT" sz="1600" b="0" i="1">
                        <a:latin typeface="Cambria Math" panose="02040503050406030204" pitchFamily="18" charset="0"/>
                      </a:rPr>
                      <m:t>𝑠𝑖𝑐𝑐𝑜𝑚𝑒</m:t>
                    </m:r>
                    <m:r>
                      <a:rPr lang="it-IT" sz="1600" b="0" i="1">
                        <a:latin typeface="Cambria Math" panose="02040503050406030204" pitchFamily="18" charset="0"/>
                      </a:rPr>
                      <m:t> </m:t>
                    </m:r>
                    <m:sSub>
                      <m:sSubPr>
                        <m:ctrlPr>
                          <a:rPr lang="it-IT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600" b="0" i="1">
                            <a:latin typeface="Cambria Math" panose="02040503050406030204" pitchFamily="18" charset="0"/>
                          </a:rPr>
                          <m:t>𝐸</m:t>
                        </m:r>
                      </m:e>
                      <m:sub>
                        <m:r>
                          <a:rPr lang="it-IT" sz="1600" b="0" i="1">
                            <a:latin typeface="Cambria Math" panose="02040503050406030204" pitchFamily="18" charset="0"/>
                          </a:rPr>
                          <m:t>𝑒𝑙</m:t>
                        </m:r>
                      </m:sub>
                    </m:sSub>
                    <m:r>
                      <a:rPr lang="it-IT" sz="1600" b="0" i="1">
                        <a:latin typeface="Cambria Math" panose="02040503050406030204" pitchFamily="18" charset="0"/>
                      </a:rPr>
                      <m:t>≫</m:t>
                    </m:r>
                    <m:sSub>
                      <m:sSubPr>
                        <m:ctrlPr>
                          <a:rPr lang="it-IT" sz="16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it-IT" sz="16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it-IT" sz="1600" b="0" i="1">
                            <a:latin typeface="Cambria Math" panose="02040503050406030204" pitchFamily="18" charset="0"/>
                          </a:rPr>
                          <m:t>𝑏</m:t>
                        </m:r>
                      </m:sub>
                    </m:sSub>
                    <m:r>
                      <a:rPr lang="it-IT" sz="1600" b="0" i="1">
                        <a:latin typeface="Cambria Math" panose="02040503050406030204" pitchFamily="18" charset="0"/>
                      </a:rPr>
                      <m:t>𝑇</m:t>
                    </m:r>
                    <m:r>
                      <a:rPr lang="it-IT" sz="1600" b="0" i="1">
                        <a:latin typeface="Cambria Math" panose="02040503050406030204" pitchFamily="18" charset="0"/>
                      </a:rPr>
                      <m:t>:</m:t>
                    </m:r>
                  </m:oMath>
                </m:oMathPara>
              </a14:m>
              <a:endParaRPr lang="it-IT" sz="1100"/>
            </a:p>
          </xdr:txBody>
        </xdr:sp>
      </mc:Choice>
      <mc:Fallback xmlns="">
        <xdr:sp macro="" textlink="">
          <xdr:nvSpPr>
            <xdr:cNvPr id="20" name="CasellaDiTesto 19">
              <a:extLst>
                <a:ext uri="{FF2B5EF4-FFF2-40B4-BE49-F238E27FC236}">
                  <a16:creationId xmlns:a16="http://schemas.microsoft.com/office/drawing/2014/main" id="{F3C0AF17-79F9-4B2C-9D4A-4D8E869E15CC}"/>
                </a:ext>
              </a:extLst>
            </xdr:cNvPr>
            <xdr:cNvSpPr txBox="1"/>
          </xdr:nvSpPr>
          <xdr:spPr>
            <a:xfrm>
              <a:off x="144605" y="26604536"/>
              <a:ext cx="1791131" cy="2528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it-IT" sz="1600" b="0" i="0">
                  <a:latin typeface="Cambria Math" panose="02040503050406030204" pitchFamily="18" charset="0"/>
                </a:rPr>
                <a:t>𝑠𝑖𝑐𝑐𝑜𝑚𝑒 𝐸_𝑒𝑙≫𝐾_𝑏 𝑇:</a:t>
              </a:r>
              <a:endParaRPr lang="it-IT" sz="1100"/>
            </a:p>
          </xdr:txBody>
        </xdr:sp>
      </mc:Fallback>
    </mc:AlternateContent>
    <xdr:clientData/>
  </xdr:oneCellAnchor>
  <xdr:twoCellAnchor>
    <xdr:from>
      <xdr:col>5</xdr:col>
      <xdr:colOff>251112</xdr:colOff>
      <xdr:row>178</xdr:row>
      <xdr:rowOff>60614</xdr:rowOff>
    </xdr:from>
    <xdr:to>
      <xdr:col>6</xdr:col>
      <xdr:colOff>588817</xdr:colOff>
      <xdr:row>188</xdr:row>
      <xdr:rowOff>8659</xdr:rowOff>
    </xdr:to>
    <xdr:sp macro="" textlink="">
      <xdr:nvSpPr>
        <xdr:cNvPr id="21" name="CasellaDiTesto 20">
          <a:extLst>
            <a:ext uri="{FF2B5EF4-FFF2-40B4-BE49-F238E27FC236}">
              <a16:creationId xmlns:a16="http://schemas.microsoft.com/office/drawing/2014/main" id="{F649CA3C-15FC-4F8B-A8F8-002607F66B80}"/>
            </a:ext>
          </a:extLst>
        </xdr:cNvPr>
        <xdr:cNvSpPr txBox="1"/>
      </xdr:nvSpPr>
      <xdr:spPr>
        <a:xfrm>
          <a:off x="7497732" y="34487774"/>
          <a:ext cx="1671205" cy="17920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Since there are no temperature dependent terms in the partition function, the electronic</a:t>
          </a:r>
        </a:p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heat capacity and the internal thermal energy due to electronic motion are both zero.</a:t>
          </a:r>
          <a:endParaRPr lang="it-IT" sz="1100"/>
        </a:p>
      </xdr:txBody>
    </xdr:sp>
    <xdr:clientData/>
  </xdr:twoCellAnchor>
  <xdr:twoCellAnchor>
    <xdr:from>
      <xdr:col>5</xdr:col>
      <xdr:colOff>112569</xdr:colOff>
      <xdr:row>230</xdr:row>
      <xdr:rowOff>77931</xdr:rowOff>
    </xdr:from>
    <xdr:to>
      <xdr:col>6</xdr:col>
      <xdr:colOff>207819</xdr:colOff>
      <xdr:row>242</xdr:row>
      <xdr:rowOff>0</xdr:rowOff>
    </xdr:to>
    <xdr:sp macro="" textlink="">
      <xdr:nvSpPr>
        <xdr:cNvPr id="22" name="CasellaDiTesto 21">
          <a:extLst>
            <a:ext uri="{FF2B5EF4-FFF2-40B4-BE49-F238E27FC236}">
              <a16:creationId xmlns:a16="http://schemas.microsoft.com/office/drawing/2014/main" id="{5818ADF3-41C8-42C8-B74B-DAD070D4FA5F}"/>
            </a:ext>
          </a:extLst>
        </xdr:cNvPr>
        <xdr:cNvSpPr txBox="1"/>
      </xdr:nvSpPr>
      <xdr:spPr>
        <a:xfrm>
          <a:off x="7359189" y="44403471"/>
          <a:ext cx="1428750" cy="213948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Since there are no temperature dependent terms in the partition function, the electronic</a:t>
          </a:r>
        </a:p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heat capacity and the internal thermal energy due to electronic motion are both zero.</a:t>
          </a:r>
          <a:endParaRPr lang="it-IT" sz="1100"/>
        </a:p>
      </xdr:txBody>
    </xdr:sp>
    <xdr:clientData/>
  </xdr:twoCellAnchor>
  <xdr:twoCellAnchor>
    <xdr:from>
      <xdr:col>5</xdr:col>
      <xdr:colOff>710046</xdr:colOff>
      <xdr:row>226</xdr:row>
      <xdr:rowOff>69272</xdr:rowOff>
    </xdr:from>
    <xdr:to>
      <xdr:col>5</xdr:col>
      <xdr:colOff>762000</xdr:colOff>
      <xdr:row>230</xdr:row>
      <xdr:rowOff>25976</xdr:rowOff>
    </xdr:to>
    <xdr:cxnSp macro="">
      <xdr:nvCxnSpPr>
        <xdr:cNvPr id="23" name="Connettore 2 22">
          <a:extLst>
            <a:ext uri="{FF2B5EF4-FFF2-40B4-BE49-F238E27FC236}">
              <a16:creationId xmlns:a16="http://schemas.microsoft.com/office/drawing/2014/main" id="{0E58D0FC-A669-40DD-AFBC-CE9670C1452C}"/>
            </a:ext>
          </a:extLst>
        </xdr:cNvPr>
        <xdr:cNvCxnSpPr/>
      </xdr:nvCxnSpPr>
      <xdr:spPr>
        <a:xfrm>
          <a:off x="7956666" y="43609952"/>
          <a:ext cx="51954" cy="74156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787977</xdr:colOff>
      <xdr:row>176</xdr:row>
      <xdr:rowOff>95250</xdr:rowOff>
    </xdr:from>
    <xdr:to>
      <xdr:col>5</xdr:col>
      <xdr:colOff>796636</xdr:colOff>
      <xdr:row>177</xdr:row>
      <xdr:rowOff>216477</xdr:rowOff>
    </xdr:to>
    <xdr:cxnSp macro="">
      <xdr:nvCxnSpPr>
        <xdr:cNvPr id="24" name="Connettore 2 23">
          <a:extLst>
            <a:ext uri="{FF2B5EF4-FFF2-40B4-BE49-F238E27FC236}">
              <a16:creationId xmlns:a16="http://schemas.microsoft.com/office/drawing/2014/main" id="{D179F8F4-6FC0-4604-A3B0-15E9D4E94308}"/>
            </a:ext>
          </a:extLst>
        </xdr:cNvPr>
        <xdr:cNvCxnSpPr/>
      </xdr:nvCxnSpPr>
      <xdr:spPr>
        <a:xfrm>
          <a:off x="8034597" y="34103310"/>
          <a:ext cx="8659" cy="304107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943840</xdr:colOff>
      <xdr:row>198</xdr:row>
      <xdr:rowOff>34636</xdr:rowOff>
    </xdr:from>
    <xdr:ext cx="1220932" cy="30572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CasellaDiTesto 24">
              <a:extLst>
                <a:ext uri="{FF2B5EF4-FFF2-40B4-BE49-F238E27FC236}">
                  <a16:creationId xmlns:a16="http://schemas.microsoft.com/office/drawing/2014/main" id="{1EF6BF11-2D67-4146-BD19-1CECB37854FA}"/>
                </a:ext>
              </a:extLst>
            </xdr:cNvPr>
            <xdr:cNvSpPr txBox="1"/>
          </xdr:nvSpPr>
          <xdr:spPr>
            <a:xfrm>
              <a:off x="2993620" y="38195596"/>
              <a:ext cx="1220932" cy="305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05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𝑉</m:t>
                        </m:r>
                      </m:e>
                    </m:acc>
                    <m:r>
                      <a:rPr lang="it-IT" sz="1050" b="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it-IT" sz="105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it-IT" sz="105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050" b="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e>
                          <m:sub>
                            <m:r>
                              <a:rPr lang="it-IT" sz="1050" b="0" i="1">
                                <a:latin typeface="Cambria Math" panose="02040503050406030204" pitchFamily="18" charset="0"/>
                              </a:rPr>
                              <m:t>𝐵</m:t>
                            </m:r>
                          </m:sub>
                        </m:sSub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𝑇</m:t>
                        </m:r>
                      </m:num>
                      <m:den>
                        <m:r>
                          <a:rPr lang="it-IT" sz="1050" b="0" i="1">
                            <a:latin typeface="Cambria Math" panose="02040503050406030204" pitchFamily="18" charset="0"/>
                          </a:rPr>
                          <m:t>𝑃</m:t>
                        </m:r>
                      </m:den>
                    </m:f>
                  </m:oMath>
                </m:oMathPara>
              </a14:m>
              <a:endParaRPr lang="it-IT" sz="1050"/>
            </a:p>
          </xdr:txBody>
        </xdr:sp>
      </mc:Choice>
      <mc:Fallback xmlns="">
        <xdr:sp macro="" textlink="">
          <xdr:nvSpPr>
            <xdr:cNvPr id="25" name="CasellaDiTesto 24">
              <a:extLst>
                <a:ext uri="{FF2B5EF4-FFF2-40B4-BE49-F238E27FC236}">
                  <a16:creationId xmlns:a16="http://schemas.microsoft.com/office/drawing/2014/main" id="{1EF6BF11-2D67-4146-BD19-1CECB37854FA}"/>
                </a:ext>
              </a:extLst>
            </xdr:cNvPr>
            <xdr:cNvSpPr txBox="1"/>
          </xdr:nvSpPr>
          <xdr:spPr>
            <a:xfrm>
              <a:off x="2993620" y="38195596"/>
              <a:ext cx="1220932" cy="30572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050" b="0" i="0">
                  <a:latin typeface="Cambria Math" panose="02040503050406030204" pitchFamily="18" charset="0"/>
                </a:rPr>
                <a:t>𝑉 ̃=(𝑘_𝐵 𝑇)/𝑃</a:t>
              </a:r>
              <a:endParaRPr lang="it-IT" sz="1050"/>
            </a:p>
          </xdr:txBody>
        </xdr:sp>
      </mc:Fallback>
    </mc:AlternateContent>
    <xdr:clientData/>
  </xdr:oneCellAnchor>
  <xdr:oneCellAnchor>
    <xdr:from>
      <xdr:col>9</xdr:col>
      <xdr:colOff>92652</xdr:colOff>
      <xdr:row>242</xdr:row>
      <xdr:rowOff>114300</xdr:rowOff>
    </xdr:from>
    <xdr:ext cx="65" cy="172227"/>
    <xdr:sp macro="" textlink="">
      <xdr:nvSpPr>
        <xdr:cNvPr id="26" name="CasellaDiTesto 25">
          <a:extLst>
            <a:ext uri="{FF2B5EF4-FFF2-40B4-BE49-F238E27FC236}">
              <a16:creationId xmlns:a16="http://schemas.microsoft.com/office/drawing/2014/main" id="{6155A040-037F-4A11-8C73-B54960372815}"/>
            </a:ext>
          </a:extLst>
        </xdr:cNvPr>
        <xdr:cNvSpPr txBox="1"/>
      </xdr:nvSpPr>
      <xdr:spPr>
        <a:xfrm>
          <a:off x="12238932" y="46657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1047750</xdr:colOff>
      <xdr:row>273</xdr:row>
      <xdr:rowOff>147205</xdr:rowOff>
    </xdr:from>
    <xdr:ext cx="1448666" cy="578172"/>
    <xdr:sp macro="" textlink="">
      <xdr:nvSpPr>
        <xdr:cNvPr id="27" name="CasellaDiTesto 26">
          <a:extLst>
            <a:ext uri="{FF2B5EF4-FFF2-40B4-BE49-F238E27FC236}">
              <a16:creationId xmlns:a16="http://schemas.microsoft.com/office/drawing/2014/main" id="{C06DD8F3-C150-4571-B0F7-D79106283ED1}"/>
            </a:ext>
          </a:extLst>
        </xdr:cNvPr>
        <xdr:cNvSpPr txBox="1"/>
      </xdr:nvSpPr>
      <xdr:spPr>
        <a:xfrm>
          <a:off x="1047750" y="52488985"/>
          <a:ext cx="1448666" cy="57817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it-IT" sz="1800" b="0"/>
        </a:p>
        <a:p>
          <a:endParaRPr lang="it-IT" sz="1800"/>
        </a:p>
      </xdr:txBody>
    </xdr:sp>
    <xdr:clientData/>
  </xdr:oneCellAnchor>
  <xdr:oneCellAnchor>
    <xdr:from>
      <xdr:col>0</xdr:col>
      <xdr:colOff>839932</xdr:colOff>
      <xdr:row>274</xdr:row>
      <xdr:rowOff>25977</xdr:rowOff>
    </xdr:from>
    <xdr:ext cx="1448666" cy="3009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CasellaDiTesto 27">
              <a:extLst>
                <a:ext uri="{FF2B5EF4-FFF2-40B4-BE49-F238E27FC236}">
                  <a16:creationId xmlns:a16="http://schemas.microsoft.com/office/drawing/2014/main" id="{B41E4C9B-F024-4F1B-BC9F-974CDC0AFA0B}"/>
                </a:ext>
              </a:extLst>
            </xdr:cNvPr>
            <xdr:cNvSpPr txBox="1"/>
          </xdr:nvSpPr>
          <xdr:spPr>
            <a:xfrm>
              <a:off x="839932" y="52558257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sub>
                        </m:sSub>
                      </m:e>
                    </m:acc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28" name="CasellaDiTesto 27">
              <a:extLst>
                <a:ext uri="{FF2B5EF4-FFF2-40B4-BE49-F238E27FC236}">
                  <a16:creationId xmlns:a16="http://schemas.microsoft.com/office/drawing/2014/main" id="{B41E4C9B-F024-4F1B-BC9F-974CDC0AFA0B}"/>
                </a:ext>
              </a:extLst>
            </xdr:cNvPr>
            <xdr:cNvSpPr txBox="1"/>
          </xdr:nvSpPr>
          <xdr:spPr>
            <a:xfrm>
              <a:off x="839932" y="52558257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i="0">
                  <a:latin typeface="Cambria Math" panose="02040503050406030204" pitchFamily="18" charset="0"/>
                </a:rPr>
                <a:t>(</a:t>
              </a:r>
              <a:r>
                <a:rPr lang="it-IT" sz="1800" b="0" i="0">
                  <a:latin typeface="Cambria Math" panose="02040503050406030204" pitchFamily="18" charset="0"/>
                </a:rPr>
                <a:t>𝐶_𝑃 ) ̃</a:t>
              </a:r>
              <a:endParaRPr lang="it-IT" sz="1800"/>
            </a:p>
          </xdr:txBody>
        </xdr:sp>
      </mc:Fallback>
    </mc:AlternateContent>
    <xdr:clientData/>
  </xdr:oneCellAnchor>
  <xdr:oneCellAnchor>
    <xdr:from>
      <xdr:col>3</xdr:col>
      <xdr:colOff>92652</xdr:colOff>
      <xdr:row>290</xdr:row>
      <xdr:rowOff>114300</xdr:rowOff>
    </xdr:from>
    <xdr:ext cx="65" cy="172227"/>
    <xdr:sp macro="" textlink="">
      <xdr:nvSpPr>
        <xdr:cNvPr id="29" name="CasellaDiTesto 28">
          <a:extLst>
            <a:ext uri="{FF2B5EF4-FFF2-40B4-BE49-F238E27FC236}">
              <a16:creationId xmlns:a16="http://schemas.microsoft.com/office/drawing/2014/main" id="{4CDDD6C4-0704-43B2-BE08-61E7247F56AA}"/>
            </a:ext>
          </a:extLst>
        </xdr:cNvPr>
        <xdr:cNvSpPr txBox="1"/>
      </xdr:nvSpPr>
      <xdr:spPr>
        <a:xfrm>
          <a:off x="4283652" y="555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twoCellAnchor>
    <xdr:from>
      <xdr:col>5</xdr:col>
      <xdr:colOff>112569</xdr:colOff>
      <xdr:row>278</xdr:row>
      <xdr:rowOff>77931</xdr:rowOff>
    </xdr:from>
    <xdr:to>
      <xdr:col>6</xdr:col>
      <xdr:colOff>207819</xdr:colOff>
      <xdr:row>290</xdr:row>
      <xdr:rowOff>0</xdr:rowOff>
    </xdr:to>
    <xdr:sp macro="" textlink="">
      <xdr:nvSpPr>
        <xdr:cNvPr id="30" name="CasellaDiTesto 29">
          <a:extLst>
            <a:ext uri="{FF2B5EF4-FFF2-40B4-BE49-F238E27FC236}">
              <a16:creationId xmlns:a16="http://schemas.microsoft.com/office/drawing/2014/main" id="{8B1746D2-34F5-4CC3-B9EC-8C362E591689}"/>
            </a:ext>
          </a:extLst>
        </xdr:cNvPr>
        <xdr:cNvSpPr txBox="1"/>
      </xdr:nvSpPr>
      <xdr:spPr>
        <a:xfrm>
          <a:off x="7359189" y="53341731"/>
          <a:ext cx="1428750" cy="2116629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Since there are no temperature dependent terms in the partition function, the electronic</a:t>
          </a:r>
        </a:p>
        <a:p>
          <a:r>
            <a:rPr lang="it-IT" sz="1100" b="0" i="0" u="none" strike="noStrike" baseline="0">
              <a:solidFill>
                <a:schemeClr val="dk1"/>
              </a:solidFill>
              <a:latin typeface="+mn-lt"/>
              <a:ea typeface="+mn-ea"/>
              <a:cs typeface="+mn-cs"/>
            </a:rPr>
            <a:t>heat capacity and the internal thermal energy due to electronic motion are both zero.</a:t>
          </a:r>
          <a:endParaRPr lang="it-IT" sz="1100"/>
        </a:p>
      </xdr:txBody>
    </xdr:sp>
    <xdr:clientData/>
  </xdr:twoCellAnchor>
  <xdr:twoCellAnchor>
    <xdr:from>
      <xdr:col>5</xdr:col>
      <xdr:colOff>710046</xdr:colOff>
      <xdr:row>274</xdr:row>
      <xdr:rowOff>69272</xdr:rowOff>
    </xdr:from>
    <xdr:to>
      <xdr:col>5</xdr:col>
      <xdr:colOff>762000</xdr:colOff>
      <xdr:row>278</xdr:row>
      <xdr:rowOff>25976</xdr:rowOff>
    </xdr:to>
    <xdr:cxnSp macro="">
      <xdr:nvCxnSpPr>
        <xdr:cNvPr id="31" name="Connettore 2 30">
          <a:extLst>
            <a:ext uri="{FF2B5EF4-FFF2-40B4-BE49-F238E27FC236}">
              <a16:creationId xmlns:a16="http://schemas.microsoft.com/office/drawing/2014/main" id="{75E8A488-2B5C-4EFA-BD86-C16D0491061C}"/>
            </a:ext>
          </a:extLst>
        </xdr:cNvPr>
        <xdr:cNvCxnSpPr/>
      </xdr:nvCxnSpPr>
      <xdr:spPr>
        <a:xfrm>
          <a:off x="7956666" y="52601552"/>
          <a:ext cx="51954" cy="6882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9</xdr:col>
      <xdr:colOff>92652</xdr:colOff>
      <xdr:row>290</xdr:row>
      <xdr:rowOff>114300</xdr:rowOff>
    </xdr:from>
    <xdr:ext cx="65" cy="172227"/>
    <xdr:sp macro="" textlink="">
      <xdr:nvSpPr>
        <xdr:cNvPr id="32" name="CasellaDiTesto 31">
          <a:extLst>
            <a:ext uri="{FF2B5EF4-FFF2-40B4-BE49-F238E27FC236}">
              <a16:creationId xmlns:a16="http://schemas.microsoft.com/office/drawing/2014/main" id="{0DAB959F-D064-49A2-91FF-CCC8C6CD488C}"/>
            </a:ext>
          </a:extLst>
        </xdr:cNvPr>
        <xdr:cNvSpPr txBox="1"/>
      </xdr:nvSpPr>
      <xdr:spPr>
        <a:xfrm>
          <a:off x="12238932" y="555726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it-IT" sz="1100"/>
        </a:p>
      </xdr:txBody>
    </xdr:sp>
    <xdr:clientData/>
  </xdr:oneCellAnchor>
  <xdr:oneCellAnchor>
    <xdr:from>
      <xdr:col>0</xdr:col>
      <xdr:colOff>242455</xdr:colOff>
      <xdr:row>280</xdr:row>
      <xdr:rowOff>0</xdr:rowOff>
    </xdr:from>
    <xdr:ext cx="1448666" cy="30091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CasellaDiTesto 32">
              <a:extLst>
                <a:ext uri="{FF2B5EF4-FFF2-40B4-BE49-F238E27FC236}">
                  <a16:creationId xmlns:a16="http://schemas.microsoft.com/office/drawing/2014/main" id="{B5BACC1C-2A6B-4E02-9CB8-1EDB83B1E335}"/>
                </a:ext>
              </a:extLst>
            </xdr:cNvPr>
            <xdr:cNvSpPr txBox="1"/>
          </xdr:nvSpPr>
          <xdr:spPr>
            <a:xfrm>
              <a:off x="242455" y="53629560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̃"/>
                        <m:ctrlPr>
                          <a:rPr lang="it-IT" sz="180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𝑃</m:t>
                            </m:r>
                          </m:sub>
                        </m:sSub>
                      </m:e>
                    </m:acc>
                    <m:r>
                      <a:rPr lang="it-IT" sz="1800" b="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it-IT" sz="1800" b="0" i="1">
                        <a:latin typeface="Cambria Math" panose="02040503050406030204" pitchFamily="18" charset="0"/>
                      </a:rPr>
                      <m:t>𝑅</m:t>
                    </m:r>
                    <m:r>
                      <a:rPr lang="it-IT" sz="1800" b="0" i="1">
                        <a:latin typeface="Cambria Math" panose="02040503050406030204" pitchFamily="18" charset="0"/>
                      </a:rPr>
                      <m:t>+</m:t>
                    </m:r>
                    <m:acc>
                      <m:accPr>
                        <m:chr m:val="̃"/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𝐶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𝑉</m:t>
                            </m:r>
                          </m:sub>
                        </m:sSub>
                      </m:e>
                    </m:acc>
                    <m:r>
                      <a:rPr lang="it-IT" sz="18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33" name="CasellaDiTesto 32">
              <a:extLst>
                <a:ext uri="{FF2B5EF4-FFF2-40B4-BE49-F238E27FC236}">
                  <a16:creationId xmlns:a16="http://schemas.microsoft.com/office/drawing/2014/main" id="{B5BACC1C-2A6B-4E02-9CB8-1EDB83B1E335}"/>
                </a:ext>
              </a:extLst>
            </xdr:cNvPr>
            <xdr:cNvSpPr txBox="1"/>
          </xdr:nvSpPr>
          <xdr:spPr>
            <a:xfrm>
              <a:off x="242455" y="53629560"/>
              <a:ext cx="1448666" cy="30091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i="0">
                  <a:latin typeface="Cambria Math" panose="02040503050406030204" pitchFamily="18" charset="0"/>
                </a:rPr>
                <a:t>(</a:t>
              </a:r>
              <a:r>
                <a:rPr lang="it-IT" sz="1800" b="0" i="0">
                  <a:latin typeface="Cambria Math" panose="02040503050406030204" pitchFamily="18" charset="0"/>
                </a:rPr>
                <a:t>𝐶_𝑃 ) ̃=𝑅+(𝐶_𝑉 ) ̃  </a:t>
              </a:r>
              <a:endParaRPr lang="it-IT" sz="1800"/>
            </a:p>
          </xdr:txBody>
        </xdr:sp>
      </mc:Fallback>
    </mc:AlternateContent>
    <xdr:clientData/>
  </xdr:oneCellAnchor>
  <xdr:twoCellAnchor>
    <xdr:from>
      <xdr:col>0</xdr:col>
      <xdr:colOff>0</xdr:colOff>
      <xdr:row>277</xdr:row>
      <xdr:rowOff>173182</xdr:rowOff>
    </xdr:from>
    <xdr:to>
      <xdr:col>0</xdr:col>
      <xdr:colOff>1982932</xdr:colOff>
      <xdr:row>279</xdr:row>
      <xdr:rowOff>147204</xdr:rowOff>
    </xdr:to>
    <xdr:sp macro="" textlink="">
      <xdr:nvSpPr>
        <xdr:cNvPr id="34" name="CasellaDiTesto 33">
          <a:extLst>
            <a:ext uri="{FF2B5EF4-FFF2-40B4-BE49-F238E27FC236}">
              <a16:creationId xmlns:a16="http://schemas.microsoft.com/office/drawing/2014/main" id="{8178FFBA-81AB-4BA0-B366-4A5A6740C246}"/>
            </a:ext>
          </a:extLst>
        </xdr:cNvPr>
        <xdr:cNvSpPr txBox="1"/>
      </xdr:nvSpPr>
      <xdr:spPr>
        <a:xfrm>
          <a:off x="0" y="53254102"/>
          <a:ext cx="1982932" cy="33978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400"/>
            <a:t>from Mayer's</a:t>
          </a:r>
          <a:r>
            <a:rPr lang="it-IT" sz="1400" baseline="0"/>
            <a:t> relation:</a:t>
          </a:r>
          <a:endParaRPr lang="it-IT" sz="1400"/>
        </a:p>
      </xdr:txBody>
    </xdr:sp>
    <xdr:clientData/>
  </xdr:twoCellAnchor>
  <xdr:twoCellAnchor>
    <xdr:from>
      <xdr:col>2</xdr:col>
      <xdr:colOff>207818</xdr:colOff>
      <xdr:row>220</xdr:row>
      <xdr:rowOff>147205</xdr:rowOff>
    </xdr:from>
    <xdr:to>
      <xdr:col>3</xdr:col>
      <xdr:colOff>493568</xdr:colOff>
      <xdr:row>222</xdr:row>
      <xdr:rowOff>60614</xdr:rowOff>
    </xdr:to>
    <xdr:sp macro="" textlink="">
      <xdr:nvSpPr>
        <xdr:cNvPr id="38" name="CasellaDiTesto 37">
          <a:extLst>
            <a:ext uri="{FF2B5EF4-FFF2-40B4-BE49-F238E27FC236}">
              <a16:creationId xmlns:a16="http://schemas.microsoft.com/office/drawing/2014/main" id="{85BDB969-0AAF-4994-8D27-B3E7BD7C3520}"/>
            </a:ext>
          </a:extLst>
        </xdr:cNvPr>
        <xdr:cNvSpPr txBox="1"/>
      </xdr:nvSpPr>
      <xdr:spPr>
        <a:xfrm>
          <a:off x="3392978" y="42529645"/>
          <a:ext cx="1291590" cy="2791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it-IT" sz="1100"/>
            <a:t>for S_trasl</a:t>
          </a:r>
          <a:r>
            <a:rPr lang="it-IT" sz="1100" baseline="0"/>
            <a:t> : </a:t>
          </a:r>
          <a:endParaRPr lang="it-IT" sz="1100"/>
        </a:p>
      </xdr:txBody>
    </xdr:sp>
    <xdr:clientData/>
  </xdr:twoCellAnchor>
  <xdr:twoCellAnchor editAs="oneCell">
    <xdr:from>
      <xdr:col>3</xdr:col>
      <xdr:colOff>43297</xdr:colOff>
      <xdr:row>220</xdr:row>
      <xdr:rowOff>17320</xdr:rowOff>
    </xdr:from>
    <xdr:to>
      <xdr:col>3</xdr:col>
      <xdr:colOff>1853047</xdr:colOff>
      <xdr:row>222</xdr:row>
      <xdr:rowOff>83556</xdr:rowOff>
    </xdr:to>
    <xdr:pic>
      <xdr:nvPicPr>
        <xdr:cNvPr id="39" name="Immagine 38">
          <a:extLst>
            <a:ext uri="{FF2B5EF4-FFF2-40B4-BE49-F238E27FC236}">
              <a16:creationId xmlns:a16="http://schemas.microsoft.com/office/drawing/2014/main" id="{0E744832-B192-4360-9EC4-692E301975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4297" y="42399760"/>
          <a:ext cx="1809750" cy="431996"/>
        </a:xfrm>
        <a:prstGeom prst="rect">
          <a:avLst/>
        </a:prstGeom>
      </xdr:spPr>
    </xdr:pic>
    <xdr:clientData/>
  </xdr:twoCellAnchor>
  <xdr:twoCellAnchor editAs="oneCell">
    <xdr:from>
      <xdr:col>8</xdr:col>
      <xdr:colOff>674390</xdr:colOff>
      <xdr:row>8</xdr:row>
      <xdr:rowOff>51955</xdr:rowOff>
    </xdr:from>
    <xdr:to>
      <xdr:col>11</xdr:col>
      <xdr:colOff>96290</xdr:colOff>
      <xdr:row>22</xdr:row>
      <xdr:rowOff>110835</xdr:rowOff>
    </xdr:to>
    <xdr:pic>
      <xdr:nvPicPr>
        <xdr:cNvPr id="41" name="Immagine 40">
          <a:extLst>
            <a:ext uri="{FF2B5EF4-FFF2-40B4-BE49-F238E27FC236}">
              <a16:creationId xmlns:a16="http://schemas.microsoft.com/office/drawing/2014/main" id="{7ECF4282-20F6-566C-348E-9248BD9CFD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71435" y="1619250"/>
          <a:ext cx="3413741" cy="2838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40696</xdr:colOff>
      <xdr:row>109</xdr:row>
      <xdr:rowOff>53687</xdr:rowOff>
    </xdr:from>
    <xdr:ext cx="2184689" cy="4383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asellaDiTesto 41">
              <a:extLst>
                <a:ext uri="{FF2B5EF4-FFF2-40B4-BE49-F238E27FC236}">
                  <a16:creationId xmlns:a16="http://schemas.microsoft.com/office/drawing/2014/main" id="{18B90FA3-5E65-4DBC-B4F0-56107331F7EF}"/>
                </a:ext>
              </a:extLst>
            </xdr:cNvPr>
            <xdr:cNvSpPr txBox="1"/>
          </xdr:nvSpPr>
          <xdr:spPr>
            <a:xfrm>
              <a:off x="40696" y="20731596"/>
              <a:ext cx="2184689" cy="438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it-IT" sz="1400" b="0" i="1">
                      <a:latin typeface="Cambria Math" panose="02040503050406030204" pitchFamily="18" charset="0"/>
                    </a:rPr>
                    <m:t>𝐼</m:t>
                  </m:r>
                  <m:r>
                    <a:rPr lang="it-IT" sz="1400" b="0" i="1">
                      <a:latin typeface="Cambria Math" panose="02040503050406030204" pitchFamily="18" charset="0"/>
                    </a:rPr>
                    <m:t>=</m:t>
                  </m:r>
                  <m:rad>
                    <m:radPr>
                      <m:degHide m:val="on"/>
                      <m:ctrlPr>
                        <a:rPr lang="it-IT" sz="1400" b="0" i="1">
                          <a:latin typeface="Cambria Math" panose="02040503050406030204" pitchFamily="18" charset="0"/>
                        </a:rPr>
                      </m:ctrlPr>
                    </m:radPr>
                    <m:deg/>
                    <m:e>
                      <m:sSubSup>
                        <m:sSubSupPr>
                          <m:ctrlPr>
                            <a:rPr lang="it-IT" sz="14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𝑥</m:t>
                          </m:r>
                        </m:sub>
                        <m:sup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  <m:r>
                        <a:rPr lang="it-IT" sz="1400" b="0" i="1">
                          <a:latin typeface="Cambria Math" panose="02040503050406030204" pitchFamily="18" charset="0"/>
                        </a:rPr>
                        <m:t>+</m:t>
                      </m:r>
                      <m:sSubSup>
                        <m:sSubSupPr>
                          <m:ctrlPr>
                            <a:rPr lang="it-IT" sz="14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𝑦</m:t>
                          </m:r>
                        </m:sub>
                        <m:sup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  <m:r>
                        <a:rPr lang="it-IT" sz="1400" b="0" i="1">
                          <a:latin typeface="Cambria Math" panose="02040503050406030204" pitchFamily="18" charset="0"/>
                        </a:rPr>
                        <m:t>+</m:t>
                      </m:r>
                      <m:sSubSup>
                        <m:sSubSupPr>
                          <m:ctrlPr>
                            <a:rPr lang="it-IT" sz="1400" b="0" i="1">
                              <a:latin typeface="Cambria Math" panose="02040503050406030204" pitchFamily="18" charset="0"/>
                            </a:rPr>
                          </m:ctrlPr>
                        </m:sSubSupPr>
                        <m:e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𝐼</m:t>
                          </m:r>
                        </m:e>
                        <m:sub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𝑧</m:t>
                          </m:r>
                        </m:sub>
                        <m:sup>
                          <m:r>
                            <a:rPr lang="it-IT" sz="1400" b="0" i="1"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bSup>
                    </m:e>
                  </m:rad>
                </m:oMath>
              </a14:m>
              <a:r>
                <a:rPr lang="it-IT" sz="1400"/>
                <a:t> =</a:t>
              </a:r>
            </a:p>
          </xdr:txBody>
        </xdr:sp>
      </mc:Choice>
      <mc:Fallback xmlns="">
        <xdr:sp macro="" textlink="">
          <xdr:nvSpPr>
            <xdr:cNvPr id="42" name="CasellaDiTesto 41">
              <a:extLst>
                <a:ext uri="{FF2B5EF4-FFF2-40B4-BE49-F238E27FC236}">
                  <a16:creationId xmlns:a16="http://schemas.microsoft.com/office/drawing/2014/main" id="{18B90FA3-5E65-4DBC-B4F0-56107331F7EF}"/>
                </a:ext>
              </a:extLst>
            </xdr:cNvPr>
            <xdr:cNvSpPr txBox="1"/>
          </xdr:nvSpPr>
          <xdr:spPr>
            <a:xfrm>
              <a:off x="40696" y="20731596"/>
              <a:ext cx="2184689" cy="4383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it-IT" sz="1400" b="0" i="0">
                  <a:latin typeface="Cambria Math" panose="02040503050406030204" pitchFamily="18" charset="0"/>
                </a:rPr>
                <a:t>𝐼=√(𝐼_𝑥^2+𝐼_𝑦^2+𝐼_𝑧^2 )</a:t>
              </a:r>
              <a:r>
                <a:rPr lang="it-IT" sz="1400"/>
                <a:t> =</a:t>
              </a:r>
            </a:p>
          </xdr:txBody>
        </xdr:sp>
      </mc:Fallback>
    </mc:AlternateContent>
    <xdr:clientData/>
  </xdr:oneCellAnchor>
  <xdr:oneCellAnchor>
    <xdr:from>
      <xdr:col>0</xdr:col>
      <xdr:colOff>476250</xdr:colOff>
      <xdr:row>74</xdr:row>
      <xdr:rowOff>0</xdr:rowOff>
    </xdr:from>
    <xdr:ext cx="2764849" cy="10300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CasellaDiTesto 34">
              <a:extLst>
                <a:ext uri="{FF2B5EF4-FFF2-40B4-BE49-F238E27FC236}">
                  <a16:creationId xmlns:a16="http://schemas.microsoft.com/office/drawing/2014/main" id="{1AE4C940-A4DC-48F5-BC4D-5BE938CCDCB4}"/>
                </a:ext>
              </a:extLst>
            </xdr:cNvPr>
            <xdr:cNvSpPr txBox="1"/>
          </xdr:nvSpPr>
          <xdr:spPr>
            <a:xfrm>
              <a:off x="476250" y="14071023"/>
              <a:ext cx="2764849" cy="1030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Q</m:t>
                        </m:r>
                      </m:e>
                      <m:sub>
                        <m:r>
                          <m:rPr>
                            <m:sty m:val="p"/>
                          </m:rPr>
                          <a:rPr lang="it-IT" sz="1800" b="0" i="0">
                            <a:latin typeface="Cambria Math" panose="02040503050406030204" pitchFamily="18" charset="0"/>
                          </a:rPr>
                          <m:t>vib</m:t>
                        </m:r>
                      </m:sub>
                    </m:sSub>
                    <m:r>
                      <a:rPr lang="it-IT" sz="1800" b="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∏"/>
                        <m:ctrlPr>
                          <a:rPr lang="it-IT" sz="18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it-IT" sz="18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it-IT" sz="1800" b="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sSub>
                          <m:sSub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e>
                          <m:sub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𝑣𝑖𝑏</m:t>
                            </m:r>
                          </m:sub>
                        </m:sSub>
                      </m:sup>
                      <m:e>
                        <m:f>
                          <m:fPr>
                            <m:ctrlPr>
                              <a:rPr lang="it-IT" sz="1800" b="0" i="1"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r>
                              <m:rPr>
                                <m:sty m:val="p"/>
                              </m:rPr>
                              <a:rPr lang="it-IT" sz="1800" b="0" i="0">
                                <a:latin typeface="Cambria Math" panose="02040503050406030204" pitchFamily="18" charset="0"/>
                              </a:rPr>
                              <m:t>exp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⁡(−</m:t>
                            </m:r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2</m:t>
                                    </m:r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𝑇</m:t>
                                </m:r>
                              </m:den>
                            </m:f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 )</m:t>
                            </m:r>
                          </m:num>
                          <m:den>
                            <m:r>
                              <a:rPr lang="it-IT" sz="1800" b="0" i="0">
                                <a:latin typeface="Cambria Math" panose="02040503050406030204" pitchFamily="18" charset="0"/>
                              </a:rPr>
                              <m:t>1−</m:t>
                            </m:r>
                            <m:r>
                              <m:rPr>
                                <m:sty m:val="p"/>
                              </m:rPr>
                              <a:rPr lang="it-IT" sz="1800" b="0" i="0">
                                <a:latin typeface="Cambria Math" panose="02040503050406030204" pitchFamily="18" charset="0"/>
                              </a:rPr>
                              <m:t>exp</m:t>
                            </m:r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⁡(−</m:t>
                            </m:r>
                            <m:f>
                              <m:fPr>
                                <m:ctrlP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h</m:t>
                                </m:r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𝜈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𝑖</m:t>
                                    </m:r>
                                  </m:sub>
                                </m:sSub>
                              </m:num>
                              <m:den>
                                <m:sSub>
                                  <m:sSubPr>
                                    <m:ctrlP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</m:ctrlPr>
                                  </m:sSubPr>
                                  <m:e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𝑘</m:t>
                                    </m:r>
                                  </m:e>
                                  <m:sub>
                                    <m:r>
                                      <a:rPr lang="it-IT" sz="1800" b="0" i="1">
                                        <a:latin typeface="Cambria Math" panose="02040503050406030204" pitchFamily="18" charset="0"/>
                                      </a:rPr>
                                      <m:t>𝐵</m:t>
                                    </m:r>
                                  </m:sub>
                                </m:sSub>
                                <m:r>
                                  <a:rPr lang="it-IT" sz="1800" b="0" i="1">
                                    <a:latin typeface="Cambria Math" panose="02040503050406030204" pitchFamily="18" charset="0"/>
                                  </a:rPr>
                                  <m:t>𝑇</m:t>
                                </m:r>
                              </m:den>
                            </m:f>
                            <m:r>
                              <a:rPr lang="it-IT" sz="1800" b="0" i="1">
                                <a:latin typeface="Cambria Math" panose="02040503050406030204" pitchFamily="18" charset="0"/>
                              </a:rPr>
                              <m:t>)</m:t>
                            </m:r>
                          </m:den>
                        </m:f>
                      </m:e>
                    </m:nary>
                  </m:oMath>
                </m:oMathPara>
              </a14:m>
              <a:endParaRPr lang="it-IT" sz="1800"/>
            </a:p>
          </xdr:txBody>
        </xdr:sp>
      </mc:Choice>
      <mc:Fallback xmlns="">
        <xdr:sp macro="" textlink="">
          <xdr:nvSpPr>
            <xdr:cNvPr id="35" name="CasellaDiTesto 34">
              <a:extLst>
                <a:ext uri="{FF2B5EF4-FFF2-40B4-BE49-F238E27FC236}">
                  <a16:creationId xmlns:a16="http://schemas.microsoft.com/office/drawing/2014/main" id="{1AE4C940-A4DC-48F5-BC4D-5BE938CCDCB4}"/>
                </a:ext>
              </a:extLst>
            </xdr:cNvPr>
            <xdr:cNvSpPr txBox="1"/>
          </xdr:nvSpPr>
          <xdr:spPr>
            <a:xfrm>
              <a:off x="476250" y="14071023"/>
              <a:ext cx="2764849" cy="10300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it-IT" sz="1800" b="0" i="0">
                  <a:latin typeface="Cambria Math" panose="02040503050406030204" pitchFamily="18" charset="0"/>
                </a:rPr>
                <a:t>Q_vib=∏_(𝑖=1)^(𝑁_𝑣𝑖𝑏)▒(exp⁡(−(ℎ𝜈_𝑖)/(</a:t>
              </a:r>
              <a:r>
                <a:rPr lang="it-IT" sz="18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〖2𝑘〗_𝐵 𝑇) </a:t>
              </a:r>
              <a:r>
                <a:rPr lang="it-IT" sz="1800" b="0" i="0">
                  <a:latin typeface="Cambria Math" panose="02040503050406030204" pitchFamily="18" charset="0"/>
                </a:rPr>
                <a:t> ))/(1−exp⁡(−(ℎ𝜈_𝑖)/(𝑘_𝐵 𝑇)))</a:t>
              </a:r>
              <a:endParaRPr lang="it-IT" sz="18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C6B7-0E29-4609-A83B-8EFA697F7A23}">
  <dimension ref="A1:W292"/>
  <sheetViews>
    <sheetView topLeftCell="A240" zoomScale="88" workbookViewId="0">
      <selection activeCell="P215" sqref="P215"/>
    </sheetView>
  </sheetViews>
  <sheetFormatPr defaultRowHeight="14.4" x14ac:dyDescent="0.3"/>
  <cols>
    <col min="1" max="1" width="29.88671875" style="2" bestFit="1" customWidth="1"/>
    <col min="2" max="2" width="16.5546875" style="2" bestFit="1" customWidth="1"/>
    <col min="3" max="3" width="14.6640625" style="2" bestFit="1" customWidth="1"/>
    <col min="4" max="4" width="29.88671875" style="2" bestFit="1" customWidth="1"/>
    <col min="5" max="5" width="14.6640625" style="2" bestFit="1" customWidth="1"/>
    <col min="6" max="6" width="19.44140625" style="2" bestFit="1" customWidth="1"/>
    <col min="7" max="7" width="16" style="2" bestFit="1" customWidth="1"/>
    <col min="8" max="8" width="19.21875" style="2" bestFit="1" customWidth="1"/>
    <col min="9" max="9" width="16.77734375" style="2" bestFit="1" customWidth="1"/>
    <col min="10" max="10" width="20.33203125" style="2" bestFit="1" customWidth="1"/>
    <col min="11" max="11" width="21.109375" style="2" bestFit="1" customWidth="1"/>
    <col min="12" max="12" width="15.21875" style="2" bestFit="1" customWidth="1"/>
    <col min="13" max="14" width="20.33203125" style="2" bestFit="1" customWidth="1"/>
    <col min="15" max="15" width="14.77734375" style="2" bestFit="1" customWidth="1"/>
    <col min="16" max="16" width="8.88671875" style="2"/>
    <col min="17" max="17" width="12.33203125" style="2" customWidth="1"/>
    <col min="18" max="18" width="12.77734375" style="2" bestFit="1" customWidth="1"/>
    <col min="19" max="19" width="16" style="2" bestFit="1" customWidth="1"/>
    <col min="20" max="16384" width="8.88671875" style="2"/>
  </cols>
  <sheetData>
    <row r="1" spans="1:21" x14ac:dyDescent="0.3">
      <c r="A1" s="65" t="s">
        <v>31</v>
      </c>
      <c r="B1" s="66" t="s">
        <v>0</v>
      </c>
      <c r="C1" s="67" t="s">
        <v>1</v>
      </c>
      <c r="D1" s="67" t="s">
        <v>2</v>
      </c>
      <c r="E1" s="67" t="s">
        <v>20</v>
      </c>
      <c r="F1" s="67" t="s">
        <v>32</v>
      </c>
      <c r="G1" s="67" t="s">
        <v>22</v>
      </c>
      <c r="H1" s="67" t="s">
        <v>33</v>
      </c>
      <c r="I1" s="67" t="s">
        <v>40</v>
      </c>
      <c r="J1" s="68" t="s">
        <v>44</v>
      </c>
    </row>
    <row r="2" spans="1:21" ht="15" thickBot="1" x14ac:dyDescent="0.35">
      <c r="A2" s="69">
        <v>1.3805999999999999E-23</v>
      </c>
      <c r="B2" s="70">
        <v>3.1415899999999999</v>
      </c>
      <c r="C2" s="70">
        <v>6.626068E-34</v>
      </c>
      <c r="D2" s="70">
        <v>8.3144720000000003</v>
      </c>
      <c r="E2" s="71">
        <f>30.04695*1.66E-27</f>
        <v>4.9877936999999996E-26</v>
      </c>
      <c r="F2" s="70">
        <v>6.0221407599999999E+23</v>
      </c>
      <c r="G2" s="70">
        <f>((2*$E$2*$B$2*$A$2*$H$2)/($C$2*$C$2))^1.5</f>
        <v>1.5926426230875949E+32</v>
      </c>
      <c r="H2" s="71">
        <f>298.15</f>
        <v>298.14999999999998</v>
      </c>
      <c r="I2" s="91">
        <v>29979300000</v>
      </c>
      <c r="J2" s="90">
        <v>101325</v>
      </c>
    </row>
    <row r="3" spans="1:21" ht="15" thickBot="1" x14ac:dyDescent="0.35"/>
    <row r="4" spans="1:21" ht="15" thickBot="1" x14ac:dyDescent="0.35">
      <c r="E4" s="12" t="s">
        <v>25</v>
      </c>
      <c r="F4" s="22" t="s">
        <v>26</v>
      </c>
      <c r="G4" s="13" t="s">
        <v>27</v>
      </c>
      <c r="I4" s="12" t="s">
        <v>34</v>
      </c>
      <c r="J4" s="22" t="s">
        <v>35</v>
      </c>
      <c r="K4" s="22" t="s">
        <v>36</v>
      </c>
      <c r="L4" s="50" t="s">
        <v>37</v>
      </c>
    </row>
    <row r="5" spans="1:21" ht="16.8" thickBot="1" x14ac:dyDescent="0.35">
      <c r="B5" s="30" t="s">
        <v>29</v>
      </c>
      <c r="D5" s="37" t="s">
        <v>57</v>
      </c>
      <c r="E5" s="18">
        <v>22.48949</v>
      </c>
      <c r="F5" s="21">
        <v>90.862790000000004</v>
      </c>
      <c r="G5" s="19">
        <v>90.862700000000004</v>
      </c>
      <c r="I5" s="51">
        <v>7.4606000000000006E-2</v>
      </c>
      <c r="J5" s="52">
        <f>I5*627.509474</f>
        <v>46.815971817243998</v>
      </c>
      <c r="K5" s="52">
        <f>I5*4.35974E-18</f>
        <v>3.2526276244000001E-19</v>
      </c>
      <c r="L5" s="53">
        <f>(2*K5)/(C2)</f>
        <v>981767052315189.13</v>
      </c>
    </row>
    <row r="6" spans="1:21" ht="16.8" thickBot="1" x14ac:dyDescent="0.35">
      <c r="A6" s="7" t="s">
        <v>28</v>
      </c>
      <c r="B6" s="31">
        <v>6</v>
      </c>
      <c r="D6" s="31" t="s">
        <v>58</v>
      </c>
      <c r="E6" s="16">
        <f>E5*1.66E-47</f>
        <v>3.7332553399999997E-46</v>
      </c>
      <c r="F6" s="23">
        <f t="shared" ref="F6:G6" si="0">F5*1.66E-47</f>
        <v>1.5083223139999999E-45</v>
      </c>
      <c r="G6" s="17">
        <f t="shared" si="0"/>
        <v>1.50832082E-45</v>
      </c>
      <c r="U6" s="5"/>
    </row>
    <row r="7" spans="1:21" ht="15" thickBot="1" x14ac:dyDescent="0.35">
      <c r="U7" s="5"/>
    </row>
    <row r="8" spans="1:21" ht="15" thickBot="1" x14ac:dyDescent="0.35">
      <c r="D8" s="7" t="s">
        <v>24</v>
      </c>
      <c r="E8" s="18">
        <v>80.24821</v>
      </c>
      <c r="F8" s="21">
        <v>19.862269999999999</v>
      </c>
      <c r="G8" s="19">
        <v>19.862269999999999</v>
      </c>
      <c r="U8" s="5"/>
    </row>
    <row r="9" spans="1:21" ht="15" thickBot="1" x14ac:dyDescent="0.35">
      <c r="E9" s="16">
        <f>E8*1000000000</f>
        <v>80248210000</v>
      </c>
      <c r="F9" s="23">
        <f>F8*1000000000</f>
        <v>19862270000</v>
      </c>
      <c r="G9" s="17">
        <f>G8*1000000000</f>
        <v>19862270000</v>
      </c>
    </row>
    <row r="10" spans="1:21" ht="15" customHeight="1" thickBot="1" x14ac:dyDescent="0.35"/>
    <row r="11" spans="1:21" ht="15" customHeight="1" thickBot="1" x14ac:dyDescent="0.35">
      <c r="D11" s="32" t="s">
        <v>56</v>
      </c>
      <c r="E11" s="33">
        <v>3.8513000000000002</v>
      </c>
      <c r="F11" s="33">
        <v>0.95323999999999998</v>
      </c>
      <c r="G11" s="34">
        <v>0.95323999999999998</v>
      </c>
    </row>
    <row r="12" spans="1:21" ht="27" customHeight="1" x14ac:dyDescent="0.3">
      <c r="A12" s="35" t="s">
        <v>30</v>
      </c>
      <c r="B12" s="19">
        <v>443.48</v>
      </c>
    </row>
    <row r="13" spans="1:21" ht="15" thickBot="1" x14ac:dyDescent="0.35">
      <c r="A13" s="14"/>
      <c r="B13" s="15">
        <v>1186.22</v>
      </c>
      <c r="S13" s="5"/>
      <c r="T13" s="5"/>
    </row>
    <row r="14" spans="1:21" ht="15.6" x14ac:dyDescent="0.3">
      <c r="A14" s="14"/>
      <c r="B14" s="15">
        <v>1186.22</v>
      </c>
      <c r="D14" s="24" t="s">
        <v>50</v>
      </c>
      <c r="E14" s="72"/>
      <c r="F14" s="67" t="s">
        <v>21</v>
      </c>
      <c r="G14" s="67" t="s">
        <v>82</v>
      </c>
      <c r="H14" s="68" t="s">
        <v>3</v>
      </c>
    </row>
    <row r="15" spans="1:21" x14ac:dyDescent="0.3">
      <c r="A15" s="14"/>
      <c r="B15" s="15">
        <v>1436.64</v>
      </c>
      <c r="E15" s="73"/>
      <c r="F15" s="77" t="s">
        <v>4</v>
      </c>
      <c r="G15" s="77" t="s">
        <v>5</v>
      </c>
      <c r="H15" s="78" t="s">
        <v>5</v>
      </c>
    </row>
    <row r="16" spans="1:21" x14ac:dyDescent="0.3">
      <c r="A16" s="14"/>
      <c r="B16" s="15">
        <v>1754.08</v>
      </c>
      <c r="E16" s="73" t="s">
        <v>6</v>
      </c>
      <c r="F16" s="111">
        <v>49.003999999999998</v>
      </c>
      <c r="G16" s="111">
        <v>10.096</v>
      </c>
      <c r="H16" s="110">
        <v>54.427999999999997</v>
      </c>
    </row>
    <row r="17" spans="1:10" x14ac:dyDescent="0.3">
      <c r="A17" s="14"/>
      <c r="B17" s="15">
        <v>1754.08</v>
      </c>
      <c r="E17" s="73" t="s">
        <v>7</v>
      </c>
      <c r="F17" s="79" t="s">
        <v>8</v>
      </c>
      <c r="G17" s="79" t="s">
        <v>8</v>
      </c>
      <c r="H17" s="80" t="s">
        <v>8</v>
      </c>
    </row>
    <row r="18" spans="1:10" x14ac:dyDescent="0.3">
      <c r="A18" s="14"/>
      <c r="B18" s="15">
        <v>2026.31</v>
      </c>
      <c r="E18" s="73" t="s">
        <v>9</v>
      </c>
      <c r="F18" s="79">
        <v>0.88900000000000001</v>
      </c>
      <c r="G18" s="79">
        <v>2.9809999999999999</v>
      </c>
      <c r="H18" s="80">
        <v>36.134</v>
      </c>
    </row>
    <row r="19" spans="1:10" x14ac:dyDescent="0.3">
      <c r="A19" s="14"/>
      <c r="B19" s="15">
        <v>2057.39</v>
      </c>
      <c r="E19" s="73" t="s">
        <v>10</v>
      </c>
      <c r="F19" s="79">
        <v>0.88900000000000001</v>
      </c>
      <c r="G19" s="79">
        <v>2.9809999999999999</v>
      </c>
      <c r="H19" s="80">
        <v>16.295999999999999</v>
      </c>
    </row>
    <row r="20" spans="1:10" x14ac:dyDescent="0.3">
      <c r="A20" s="14"/>
      <c r="B20" s="15">
        <v>2169.4899999999998</v>
      </c>
      <c r="E20" s="73" t="s">
        <v>11</v>
      </c>
      <c r="F20" s="79">
        <v>47.226999999999997</v>
      </c>
      <c r="G20" s="79">
        <v>4.1349999999999998</v>
      </c>
      <c r="H20" s="80">
        <v>1.998</v>
      </c>
    </row>
    <row r="21" spans="1:10" ht="15" thickBot="1" x14ac:dyDescent="0.35">
      <c r="A21" s="14"/>
      <c r="B21" s="15">
        <v>2169.4899999999998</v>
      </c>
      <c r="E21" s="74" t="s">
        <v>12</v>
      </c>
      <c r="F21" s="81">
        <v>0.69799999999999995</v>
      </c>
      <c r="G21" s="81">
        <v>1.6579999999999999</v>
      </c>
      <c r="H21" s="82">
        <v>1.3720000000000001</v>
      </c>
    </row>
    <row r="22" spans="1:10" x14ac:dyDescent="0.3">
      <c r="A22" s="14"/>
      <c r="B22" s="15">
        <v>2171.83</v>
      </c>
      <c r="E22" s="72"/>
      <c r="F22" s="68" t="s">
        <v>13</v>
      </c>
    </row>
    <row r="23" spans="1:10" x14ac:dyDescent="0.3">
      <c r="A23" s="14"/>
      <c r="B23" s="15">
        <v>2171.83</v>
      </c>
      <c r="E23" s="73" t="s">
        <v>14</v>
      </c>
      <c r="F23" s="75">
        <v>3.4714400000000001E-25</v>
      </c>
      <c r="J23"/>
    </row>
    <row r="24" spans="1:10" x14ac:dyDescent="0.3">
      <c r="A24" s="14"/>
      <c r="B24" s="15">
        <v>4368.8</v>
      </c>
      <c r="E24" s="73" t="s">
        <v>15</v>
      </c>
      <c r="F24" s="75">
        <v>7193380000</v>
      </c>
    </row>
    <row r="25" spans="1:10" x14ac:dyDescent="0.3">
      <c r="A25" s="14"/>
      <c r="B25" s="15">
        <v>4370.3</v>
      </c>
      <c r="E25" s="73" t="s">
        <v>16</v>
      </c>
      <c r="F25" s="75">
        <v>6.5960300000000005E-35</v>
      </c>
    </row>
    <row r="26" spans="1:10" x14ac:dyDescent="0.3">
      <c r="A26" s="14"/>
      <c r="B26" s="15">
        <v>4445.9399999999996</v>
      </c>
      <c r="E26" s="73" t="s">
        <v>17</v>
      </c>
      <c r="F26" s="76">
        <v>0.61410100000000001</v>
      </c>
      <c r="G26" s="2" t="s">
        <v>51</v>
      </c>
    </row>
    <row r="27" spans="1:10" x14ac:dyDescent="0.3">
      <c r="A27" s="14"/>
      <c r="B27" s="15">
        <v>4445.9399999999996</v>
      </c>
      <c r="E27" s="73" t="s">
        <v>18</v>
      </c>
      <c r="F27" s="75">
        <v>1.3668</v>
      </c>
      <c r="G27" s="4"/>
    </row>
    <row r="28" spans="1:10" x14ac:dyDescent="0.3">
      <c r="A28" s="14"/>
      <c r="B28" s="15">
        <v>4479.75</v>
      </c>
      <c r="E28" s="73" t="s">
        <v>19</v>
      </c>
      <c r="F28" s="75">
        <v>1.2919099999999999</v>
      </c>
      <c r="G28" s="4"/>
    </row>
    <row r="29" spans="1:10" ht="15" thickBot="1" x14ac:dyDescent="0.35">
      <c r="A29" s="16"/>
      <c r="B29" s="17">
        <v>4479.75</v>
      </c>
      <c r="E29" s="73" t="s">
        <v>7</v>
      </c>
      <c r="F29" s="76">
        <v>1</v>
      </c>
      <c r="G29" s="4"/>
    </row>
    <row r="30" spans="1:10" ht="15" thickBot="1" x14ac:dyDescent="0.35">
      <c r="E30" s="73" t="s">
        <v>9</v>
      </c>
      <c r="F30" s="76">
        <v>6473750</v>
      </c>
    </row>
    <row r="31" spans="1:10" ht="16.8" thickBot="1" x14ac:dyDescent="0.35">
      <c r="A31" s="18" t="s">
        <v>38</v>
      </c>
      <c r="B31" s="21" t="s">
        <v>39</v>
      </c>
      <c r="C31" s="13" t="s">
        <v>23</v>
      </c>
      <c r="E31" s="74" t="s">
        <v>10</v>
      </c>
      <c r="F31" s="100">
        <v>812.96299999999997</v>
      </c>
    </row>
    <row r="32" spans="1:10" x14ac:dyDescent="0.3">
      <c r="A32" s="14">
        <v>308.23309999999998</v>
      </c>
      <c r="B32" s="3">
        <f t="shared" ref="B32:B49" si="1">A32*$I$2</f>
        <v>9240612574830</v>
      </c>
      <c r="C32" s="15">
        <f>300</f>
        <v>300</v>
      </c>
    </row>
    <row r="33" spans="1:3" x14ac:dyDescent="0.3">
      <c r="A33" s="14">
        <v>824.46770000000004</v>
      </c>
      <c r="B33" s="3">
        <f t="shared" si="1"/>
        <v>24716964518610</v>
      </c>
      <c r="C33" s="15">
        <f>C32+100</f>
        <v>400</v>
      </c>
    </row>
    <row r="34" spans="1:3" x14ac:dyDescent="0.3">
      <c r="A34" s="14">
        <v>824.46799999999996</v>
      </c>
      <c r="B34" s="3">
        <f t="shared" si="1"/>
        <v>24716973512400</v>
      </c>
      <c r="C34" s="15">
        <f t="shared" ref="C34:C50" si="2">C33+100</f>
        <v>500</v>
      </c>
    </row>
    <row r="35" spans="1:3" x14ac:dyDescent="0.3">
      <c r="A35" s="14">
        <v>998.51430000000005</v>
      </c>
      <c r="B35" s="3">
        <f t="shared" si="1"/>
        <v>29934759753990</v>
      </c>
      <c r="C35" s="15">
        <f t="shared" si="2"/>
        <v>600</v>
      </c>
    </row>
    <row r="36" spans="1:3" x14ac:dyDescent="0.3">
      <c r="A36" s="14">
        <v>1219.1466</v>
      </c>
      <c r="B36" s="3">
        <f t="shared" si="1"/>
        <v>36549161665380</v>
      </c>
      <c r="C36" s="15">
        <f t="shared" si="2"/>
        <v>700</v>
      </c>
    </row>
    <row r="37" spans="1:3" x14ac:dyDescent="0.3">
      <c r="A37" s="14">
        <v>1219.1487999999999</v>
      </c>
      <c r="B37" s="3">
        <f t="shared" si="1"/>
        <v>36549227619840</v>
      </c>
      <c r="C37" s="15">
        <f t="shared" si="2"/>
        <v>800</v>
      </c>
    </row>
    <row r="38" spans="1:3" x14ac:dyDescent="0.3">
      <c r="A38" s="14">
        <v>1408.3605</v>
      </c>
      <c r="B38" s="3">
        <f t="shared" si="1"/>
        <v>42221661937650</v>
      </c>
      <c r="C38" s="15">
        <f t="shared" si="2"/>
        <v>900</v>
      </c>
    </row>
    <row r="39" spans="1:3" x14ac:dyDescent="0.3">
      <c r="A39" s="14">
        <v>1429.9567</v>
      </c>
      <c r="B39" s="3">
        <f t="shared" si="1"/>
        <v>42869100896310</v>
      </c>
      <c r="C39" s="15">
        <f t="shared" si="2"/>
        <v>1000</v>
      </c>
    </row>
    <row r="40" spans="1:3" x14ac:dyDescent="0.3">
      <c r="A40" s="14">
        <v>1507.8732</v>
      </c>
      <c r="B40" s="3">
        <f t="shared" si="1"/>
        <v>45204983024760</v>
      </c>
      <c r="C40" s="15">
        <f t="shared" si="2"/>
        <v>1100</v>
      </c>
    </row>
    <row r="41" spans="1:3" x14ac:dyDescent="0.3">
      <c r="A41" s="14">
        <v>1507.8738000000001</v>
      </c>
      <c r="B41" s="3">
        <f t="shared" si="1"/>
        <v>45205001012340</v>
      </c>
      <c r="C41" s="15">
        <f t="shared" si="2"/>
        <v>1200</v>
      </c>
    </row>
    <row r="42" spans="1:3" x14ac:dyDescent="0.3">
      <c r="A42" s="14">
        <v>1509.4987000000001</v>
      </c>
      <c r="B42" s="3">
        <f t="shared" si="1"/>
        <v>45253714376910</v>
      </c>
      <c r="C42" s="15">
        <f t="shared" si="2"/>
        <v>1300</v>
      </c>
    </row>
    <row r="43" spans="1:3" x14ac:dyDescent="0.3">
      <c r="A43" s="14">
        <v>1509.5007000000001</v>
      </c>
      <c r="B43" s="3">
        <f t="shared" si="1"/>
        <v>45253774335510</v>
      </c>
      <c r="C43" s="15">
        <f t="shared" si="2"/>
        <v>1400</v>
      </c>
    </row>
    <row r="44" spans="1:3" x14ac:dyDescent="0.3">
      <c r="A44" s="14">
        <v>3036.4703</v>
      </c>
      <c r="B44" s="3">
        <f t="shared" si="1"/>
        <v>91031254064790</v>
      </c>
      <c r="C44" s="15">
        <f t="shared" si="2"/>
        <v>1500</v>
      </c>
    </row>
    <row r="45" spans="1:3" x14ac:dyDescent="0.3">
      <c r="A45" s="14">
        <v>3037.5115999999998</v>
      </c>
      <c r="B45" s="3">
        <f t="shared" si="1"/>
        <v>91062471509880</v>
      </c>
      <c r="C45" s="15">
        <f t="shared" si="2"/>
        <v>1600</v>
      </c>
    </row>
    <row r="46" spans="1:3" x14ac:dyDescent="0.3">
      <c r="A46" s="14">
        <v>3090.0859</v>
      </c>
      <c r="B46" s="3">
        <f t="shared" si="1"/>
        <v>92638612221870</v>
      </c>
      <c r="C46" s="15">
        <f t="shared" si="2"/>
        <v>1700</v>
      </c>
    </row>
    <row r="47" spans="1:3" x14ac:dyDescent="0.3">
      <c r="A47" s="14">
        <v>3090.0859999999998</v>
      </c>
      <c r="B47" s="3">
        <f t="shared" si="1"/>
        <v>92638615219800</v>
      </c>
      <c r="C47" s="15">
        <f t="shared" si="2"/>
        <v>1800</v>
      </c>
    </row>
    <row r="48" spans="1:3" x14ac:dyDescent="0.3">
      <c r="A48" s="14">
        <v>3113.5823999999998</v>
      </c>
      <c r="B48" s="3">
        <f t="shared" si="1"/>
        <v>93343020844320</v>
      </c>
      <c r="C48" s="15">
        <f t="shared" si="2"/>
        <v>1900</v>
      </c>
    </row>
    <row r="49" spans="1:23" x14ac:dyDescent="0.3">
      <c r="A49" s="14">
        <v>3113.5841999999998</v>
      </c>
      <c r="B49" s="3">
        <f t="shared" si="1"/>
        <v>93343074807060</v>
      </c>
      <c r="C49" s="15">
        <f t="shared" si="2"/>
        <v>2000</v>
      </c>
    </row>
    <row r="50" spans="1:23" ht="15" thickBot="1" x14ac:dyDescent="0.35">
      <c r="A50" s="16"/>
      <c r="B50" s="23"/>
      <c r="C50" s="17">
        <f t="shared" si="2"/>
        <v>2100</v>
      </c>
    </row>
    <row r="51" spans="1:23" ht="15" thickBot="1" x14ac:dyDescent="0.35"/>
    <row r="52" spans="1:23" ht="19.8" thickBot="1" x14ac:dyDescent="0.35">
      <c r="D52" s="140" t="s">
        <v>41</v>
      </c>
      <c r="E52" s="141"/>
      <c r="F52" s="141"/>
      <c r="G52" s="141"/>
      <c r="H52" s="141"/>
      <c r="I52" s="141"/>
      <c r="J52" s="141"/>
      <c r="K52" s="141"/>
      <c r="L52" s="141"/>
      <c r="M52" s="141"/>
      <c r="N52" s="141"/>
      <c r="O52" s="141"/>
      <c r="P52" s="141"/>
      <c r="Q52" s="141"/>
      <c r="R52" s="141"/>
      <c r="S52" s="141"/>
      <c r="T52" s="141"/>
      <c r="U52" s="141"/>
      <c r="V52" s="141"/>
      <c r="W52" s="142"/>
    </row>
    <row r="53" spans="1:23" ht="15" thickBot="1" x14ac:dyDescent="0.35">
      <c r="A53" s="12" t="s">
        <v>104</v>
      </c>
      <c r="B53" s="114">
        <f>(EXP((-$C$2*D54)/(2*$A$2*$E$53))/(1 - EXP((-$C$2*D54)/($A$2*$E$53))))</f>
        <v>0.61856049239669597</v>
      </c>
      <c r="D53" s="25" t="s">
        <v>52</v>
      </c>
      <c r="E53" s="28">
        <f>300</f>
        <v>300</v>
      </c>
      <c r="F53" s="28">
        <f t="shared" ref="F53:W53" si="3">E53+100</f>
        <v>400</v>
      </c>
      <c r="G53" s="28">
        <f t="shared" si="3"/>
        <v>500</v>
      </c>
      <c r="H53" s="28">
        <f t="shared" si="3"/>
        <v>600</v>
      </c>
      <c r="I53" s="28">
        <f t="shared" si="3"/>
        <v>700</v>
      </c>
      <c r="J53" s="28">
        <f t="shared" si="3"/>
        <v>800</v>
      </c>
      <c r="K53" s="28">
        <f t="shared" si="3"/>
        <v>900</v>
      </c>
      <c r="L53" s="28">
        <f t="shared" si="3"/>
        <v>1000</v>
      </c>
      <c r="M53" s="28">
        <f t="shared" si="3"/>
        <v>1100</v>
      </c>
      <c r="N53" s="28">
        <f t="shared" si="3"/>
        <v>1200</v>
      </c>
      <c r="O53" s="28">
        <f t="shared" si="3"/>
        <v>1300</v>
      </c>
      <c r="P53" s="28">
        <f t="shared" si="3"/>
        <v>1400</v>
      </c>
      <c r="Q53" s="28">
        <f t="shared" si="3"/>
        <v>1500</v>
      </c>
      <c r="R53" s="28">
        <f t="shared" si="3"/>
        <v>1600</v>
      </c>
      <c r="S53" s="28">
        <f t="shared" si="3"/>
        <v>1700</v>
      </c>
      <c r="T53" s="28">
        <f t="shared" si="3"/>
        <v>1800</v>
      </c>
      <c r="U53" s="28">
        <f t="shared" si="3"/>
        <v>1900</v>
      </c>
      <c r="V53" s="28">
        <f t="shared" si="3"/>
        <v>2000</v>
      </c>
      <c r="W53" s="29">
        <f t="shared" si="3"/>
        <v>2100</v>
      </c>
    </row>
    <row r="54" spans="1:23" x14ac:dyDescent="0.3">
      <c r="A54" s="14"/>
      <c r="B54" s="8">
        <f t="shared" ref="B54:B70" si="4">(EXP((-$C$2*D55)/(2*$A$2*$E$53))/(1 - EXP((-$C$2*D55)/($A$2*$E$53))))</f>
        <v>0.14117496828263215</v>
      </c>
      <c r="D54" s="26">
        <f t="shared" ref="D54:D71" si="5">A32*$I$2</f>
        <v>9240612574830</v>
      </c>
      <c r="E54" s="3">
        <f>(EXP((-$C$2*D54)/(2*$A$2*$E$53))/(1 - EXP((-$C$2*D54)/($A$2*$E$53))))</f>
        <v>0.61856049239669597</v>
      </c>
      <c r="F54" s="3">
        <f t="shared" ref="F54:F71" si="6">(EXP((-$C$2*D54)/(2*$A$2*$F$53))/(1 - EXP((-$C$2*D54)/($A$2*$F$53))))</f>
        <v>0.85733357828349888</v>
      </c>
      <c r="G54" s="3">
        <f t="shared" ref="G54:G71" si="7">(EXP((-$C$2*D54)/(2*$A$2*$G$53))/(1 - EXP((-$C$2*D54)/($A$2*$G$53))))</f>
        <v>1.0912811948279353</v>
      </c>
      <c r="H54" s="3">
        <f t="shared" ref="H54:H71" si="8">(EXP((-$C$2*D54)/(2*$A$2*$H$53))/(1 - EXP((-$C$2*D54)/($A$2*$H$53))))</f>
        <v>1.3225754869063275</v>
      </c>
      <c r="I54" s="3">
        <f t="shared" ref="I54:I71" si="9">(EXP((-$C$2*D54)/(2*$A$2*$I$53))/(1 - EXP((-$C$2*D54)/($A$2*$I$53))))</f>
        <v>1.5522789126611671</v>
      </c>
      <c r="J54" s="3">
        <f t="shared" ref="J54:J71" si="10">(EXP((-$C$2*D54)/(2*$A$2*$J$53))/(1 - EXP((-$C$2*D54)/($A$2*$J$53))))</f>
        <v>1.7809599420133959</v>
      </c>
      <c r="K54" s="3">
        <f t="shared" ref="K54:K71" si="11">(EXP((-$C$2*D54)/(2*$A$2*$E$53))/(1 - EXP((-$C$2*D54)/($A$2*$E$53))))</f>
        <v>0.61856049239669597</v>
      </c>
      <c r="L54" s="3">
        <f t="shared" ref="L54:L71" si="12">(EXP((-$C$2*D54)/(2*$A$2*$L$53))/(1 - EXP((-$C$2*D54)/($A$2*$L$53))))</f>
        <v>2.2364430745629122</v>
      </c>
      <c r="M54" s="3">
        <f t="shared" ref="M54:M71" si="13">(EXP((-$C$2*D54)/(2*$A$2*$M$53))/(1 - EXP((-$C$2*D54)/($A$2*$M$53))))</f>
        <v>2.4635784815973003</v>
      </c>
      <c r="N54" s="3">
        <f t="shared" ref="N54:N71" si="14">(EXP((-$C$2*D54)/(2*$A$2*$N$53))/(1 - EXP((-$C$2*D54)/($A$2*$N$53))))</f>
        <v>2.6904418816380171</v>
      </c>
      <c r="O54" s="3">
        <f t="shared" ref="O54:O71" si="15">(EXP((-$C$2*D54)/(2*$A$2*$O$53))/(1 - EXP((-$C$2*D54)/($A$2*$O$53))))</f>
        <v>2.9170950641770497</v>
      </c>
      <c r="P54" s="3">
        <f t="shared" ref="P54:P71" si="16">(EXP((-$C$2*D54)/(2*$A$2*$P$53))/(1 - EXP((-$C$2*D54)/($A$2*$P$53))))</f>
        <v>3.1435824759983948</v>
      </c>
      <c r="Q54" s="3">
        <f t="shared" ref="Q54:Q71" si="17">(EXP((-$C$2*D54)/(2*$A$2*$Q$53))/(1 - EXP((-$C$2*D54)/($A$2*$Q$53))))</f>
        <v>3.3699368906173963</v>
      </c>
      <c r="R54" s="3">
        <f t="shared" ref="R54:R71" si="18">(EXP((-$C$2*D54)/(2*$A$2*$R$53))/(1 - EXP((-$C$2*D54)/($A$2*$R$53))))</f>
        <v>3.5961829955808118</v>
      </c>
      <c r="S54" s="3">
        <f t="shared" ref="S54:S71" si="19">(EXP((-$C$2*D54)/(2*$A$2*$S$53))/(1 - EXP((-$C$2*D54)/($A$2*$S$53))))</f>
        <v>3.8223397362798694</v>
      </c>
      <c r="T54" s="3">
        <f t="shared" ref="T54:T71" si="20">(EXP((-$C$2*D54)/(2*$A$2*$T$53))/(1 - EXP((-$C$2*D54)/($A$2*$T$53))))</f>
        <v>4.0484218906979734</v>
      </c>
      <c r="U54" s="3">
        <f t="shared" ref="U54:U71" si="21">(EXP((-$C$2*D54)/(2*$A$2*$U$53))/(1 - EXP((-$C$2*D54)/($A$2*$U$53))))</f>
        <v>4.2744411537259026</v>
      </c>
      <c r="V54" s="3">
        <f t="shared" ref="V54:V71" si="22">(EXP((-$C$2*D54)/(2*$A$2*$V$53))/(1 - EXP((-$C$2*D54)/($A$2*$V$53))))</f>
        <v>4.5004069001716474</v>
      </c>
      <c r="W54" s="8">
        <f t="shared" ref="W54:W71" si="23">(EXP((-$C$2*D54)/(2*$A$2*$W$53))/(1 - EXP((-$C$2*D54)/($A$2*$W$53))))</f>
        <v>4.7263267321618168</v>
      </c>
    </row>
    <row r="55" spans="1:23" x14ac:dyDescent="0.3">
      <c r="A55" s="14"/>
      <c r="B55" s="8">
        <f t="shared" si="4"/>
        <v>0.14117486274850841</v>
      </c>
      <c r="D55" s="26">
        <f t="shared" si="5"/>
        <v>24716964518610</v>
      </c>
      <c r="E55" s="3">
        <f t="shared" ref="E55:E71" si="24">(EXP((-$C$2*D55)/(2*$A$2*$E$53))/(1 - EXP((-$C$2*D55)/($A$2*$E$53))))</f>
        <v>0.14117496828263215</v>
      </c>
      <c r="F55" s="3">
        <f t="shared" si="6"/>
        <v>0.23932437083111821</v>
      </c>
      <c r="G55" s="3">
        <f t="shared" si="7"/>
        <v>0.33675915593341338</v>
      </c>
      <c r="H55" s="3">
        <f t="shared" si="8"/>
        <v>0.43192031139735987</v>
      </c>
      <c r="I55" s="3">
        <f t="shared" si="9"/>
        <v>0.5249717699263553</v>
      </c>
      <c r="J55" s="3">
        <f t="shared" si="10"/>
        <v>0.61634345180692318</v>
      </c>
      <c r="K55" s="3">
        <f t="shared" si="11"/>
        <v>0.14117496828263215</v>
      </c>
      <c r="L55" s="3">
        <f t="shared" si="12"/>
        <v>0.79550739892157385</v>
      </c>
      <c r="M55" s="3">
        <f t="shared" si="13"/>
        <v>0.88382150515292524</v>
      </c>
      <c r="N55" s="3">
        <f t="shared" si="14"/>
        <v>0.97152964795509855</v>
      </c>
      <c r="O55" s="3">
        <f t="shared" si="15"/>
        <v>1.0587550539846864</v>
      </c>
      <c r="P55" s="3">
        <f t="shared" si="16"/>
        <v>1.1455908177314507</v>
      </c>
      <c r="Q55" s="3">
        <f t="shared" si="17"/>
        <v>1.2321082014181164</v>
      </c>
      <c r="R55" s="3">
        <f t="shared" si="18"/>
        <v>1.3183624804207998</v>
      </c>
      <c r="S55" s="3">
        <f t="shared" si="19"/>
        <v>1.4043970770153091</v>
      </c>
      <c r="T55" s="3">
        <f t="shared" si="20"/>
        <v>1.4902465113078978</v>
      </c>
      <c r="U55" s="3">
        <f t="shared" si="21"/>
        <v>1.5759385324247317</v>
      </c>
      <c r="V55" s="3">
        <f t="shared" si="22"/>
        <v>1.661495676821062</v>
      </c>
      <c r="W55" s="8">
        <f t="shared" si="23"/>
        <v>1.7469364218839587</v>
      </c>
    </row>
    <row r="56" spans="1:23" x14ac:dyDescent="0.3">
      <c r="A56" s="14"/>
      <c r="B56" s="8">
        <f t="shared" si="4"/>
        <v>9.1984835453059993E-2</v>
      </c>
      <c r="D56" s="26">
        <f t="shared" si="5"/>
        <v>24716973512400</v>
      </c>
      <c r="E56" s="3">
        <f t="shared" si="24"/>
        <v>0.14117486274850841</v>
      </c>
      <c r="F56" s="3">
        <f t="shared" si="6"/>
        <v>0.2393242276710251</v>
      </c>
      <c r="G56" s="3">
        <f t="shared" si="7"/>
        <v>0.33675898067595689</v>
      </c>
      <c r="H56" s="3">
        <f t="shared" si="8"/>
        <v>0.43192010609092912</v>
      </c>
      <c r="I56" s="3">
        <f t="shared" si="9"/>
        <v>0.52497153523651718</v>
      </c>
      <c r="J56" s="3">
        <f t="shared" si="10"/>
        <v>0.61634318787491416</v>
      </c>
      <c r="K56" s="3">
        <f t="shared" si="11"/>
        <v>0.14117486274850841</v>
      </c>
      <c r="L56" s="3">
        <f t="shared" si="12"/>
        <v>0.79550707628479478</v>
      </c>
      <c r="M56" s="3">
        <f t="shared" si="13"/>
        <v>0.8838211529755905</v>
      </c>
      <c r="N56" s="3">
        <f t="shared" si="14"/>
        <v>0.97152926611290569</v>
      </c>
      <c r="O56" s="3">
        <f t="shared" si="15"/>
        <v>1.0587546423656009</v>
      </c>
      <c r="P56" s="3">
        <f t="shared" si="16"/>
        <v>1.1455903762370512</v>
      </c>
      <c r="Q56" s="3">
        <f t="shared" si="17"/>
        <v>1.2321077299628871</v>
      </c>
      <c r="R56" s="3">
        <f t="shared" si="18"/>
        <v>1.3183619789307188</v>
      </c>
      <c r="S56" s="3">
        <f t="shared" si="19"/>
        <v>1.4043965454263045</v>
      </c>
      <c r="T56" s="3">
        <f t="shared" si="20"/>
        <v>1.4902459495643945</v>
      </c>
      <c r="U56" s="3">
        <f t="shared" si="21"/>
        <v>1.5759379404783727</v>
      </c>
      <c r="V56" s="3">
        <f t="shared" si="22"/>
        <v>1.6614950546296123</v>
      </c>
      <c r="W56" s="8">
        <f t="shared" si="23"/>
        <v>1.746935769410382</v>
      </c>
    </row>
    <row r="57" spans="1:23" x14ac:dyDescent="0.3">
      <c r="A57" s="14"/>
      <c r="B57" s="8">
        <f t="shared" si="4"/>
        <v>5.3896897618862065E-2</v>
      </c>
      <c r="D57" s="26">
        <f t="shared" si="5"/>
        <v>29934759753990</v>
      </c>
      <c r="E57" s="3">
        <f t="shared" si="24"/>
        <v>9.1984835453059993E-2</v>
      </c>
      <c r="F57" s="3">
        <f t="shared" si="6"/>
        <v>0.17068623783278081</v>
      </c>
      <c r="G57" s="3">
        <f t="shared" si="7"/>
        <v>0.25194972441069863</v>
      </c>
      <c r="H57" s="3">
        <f t="shared" si="8"/>
        <v>0.33234155454238501</v>
      </c>
      <c r="I57" s="3">
        <f t="shared" si="9"/>
        <v>0.41116667511941801</v>
      </c>
      <c r="J57" s="3">
        <f t="shared" si="10"/>
        <v>0.48849287840475819</v>
      </c>
      <c r="K57" s="3">
        <f t="shared" si="11"/>
        <v>9.1984835453059993E-2</v>
      </c>
      <c r="L57" s="3">
        <f t="shared" si="12"/>
        <v>0.63959864199891259</v>
      </c>
      <c r="M57" s="3">
        <f t="shared" si="13"/>
        <v>0.71381833799646288</v>
      </c>
      <c r="N57" s="3">
        <f t="shared" si="14"/>
        <v>0.78737625353960949</v>
      </c>
      <c r="O57" s="3">
        <f t="shared" si="15"/>
        <v>0.86039748557472728</v>
      </c>
      <c r="P57" s="3">
        <f t="shared" si="16"/>
        <v>0.93297965191175858</v>
      </c>
      <c r="Q57" s="3">
        <f t="shared" si="17"/>
        <v>1.0051992767167695</v>
      </c>
      <c r="R57" s="3">
        <f t="shared" si="18"/>
        <v>1.0771168018510844</v>
      </c>
      <c r="S57" s="3">
        <f t="shared" si="19"/>
        <v>1.1487803857272278</v>
      </c>
      <c r="T57" s="3">
        <f t="shared" si="20"/>
        <v>1.220228749677791</v>
      </c>
      <c r="U57" s="3">
        <f t="shared" si="21"/>
        <v>1.2914933081544973</v>
      </c>
      <c r="V57" s="3">
        <f t="shared" si="22"/>
        <v>1.3625997693092984</v>
      </c>
      <c r="W57" s="8">
        <f t="shared" si="23"/>
        <v>1.4335693455624612</v>
      </c>
    </row>
    <row r="58" spans="1:23" x14ac:dyDescent="0.3">
      <c r="A58" s="14"/>
      <c r="B58" s="8">
        <f t="shared" si="4"/>
        <v>5.3896611628013465E-2</v>
      </c>
      <c r="D58" s="26">
        <f t="shared" si="5"/>
        <v>36549161665380</v>
      </c>
      <c r="E58" s="3">
        <f t="shared" si="24"/>
        <v>5.3896897618862065E-2</v>
      </c>
      <c r="F58" s="3">
        <f t="shared" si="6"/>
        <v>0.11302521299813971</v>
      </c>
      <c r="G58" s="3">
        <f t="shared" si="7"/>
        <v>0.17839785216887882</v>
      </c>
      <c r="H58" s="3">
        <f t="shared" si="8"/>
        <v>0.24498749351200083</v>
      </c>
      <c r="I58" s="3">
        <f t="shared" si="9"/>
        <v>0.3110387173114495</v>
      </c>
      <c r="J58" s="3">
        <f t="shared" si="10"/>
        <v>0.37606696247140448</v>
      </c>
      <c r="K58" s="3">
        <f t="shared" si="11"/>
        <v>5.3896897618862065E-2</v>
      </c>
      <c r="L58" s="3">
        <f t="shared" si="12"/>
        <v>0.503055341054644</v>
      </c>
      <c r="M58" s="3">
        <f t="shared" si="13"/>
        <v>0.56525942781988336</v>
      </c>
      <c r="N58" s="3">
        <f t="shared" si="14"/>
        <v>0.62677952650029178</v>
      </c>
      <c r="O58" s="3">
        <f t="shared" si="15"/>
        <v>0.68772804403761456</v>
      </c>
      <c r="P58" s="3">
        <f t="shared" si="16"/>
        <v>0.74819841403854015</v>
      </c>
      <c r="Q58" s="3">
        <f t="shared" si="17"/>
        <v>0.80826717222910105</v>
      </c>
      <c r="R58" s="3">
        <f t="shared" si="18"/>
        <v>0.86799675158439094</v>
      </c>
      <c r="S58" s="3">
        <f t="shared" si="19"/>
        <v>0.92743813509325534</v>
      </c>
      <c r="T58" s="3">
        <f t="shared" si="20"/>
        <v>0.98663311296169176</v>
      </c>
      <c r="U58" s="3">
        <f t="shared" si="21"/>
        <v>1.0456161174180105</v>
      </c>
      <c r="V58" s="3">
        <f t="shared" si="22"/>
        <v>1.104415683966975</v>
      </c>
      <c r="W58" s="8">
        <f t="shared" si="23"/>
        <v>1.1630556054105898</v>
      </c>
    </row>
    <row r="59" spans="1:23" x14ac:dyDescent="0.3">
      <c r="A59" s="14"/>
      <c r="B59" s="8">
        <f t="shared" si="4"/>
        <v>3.4178689746216961E-2</v>
      </c>
      <c r="D59" s="26">
        <f t="shared" si="5"/>
        <v>36549227619840</v>
      </c>
      <c r="E59" s="3">
        <f t="shared" si="24"/>
        <v>5.3896611628013465E-2</v>
      </c>
      <c r="F59" s="3">
        <f t="shared" si="6"/>
        <v>0.11302475449915222</v>
      </c>
      <c r="G59" s="3">
        <f t="shared" si="7"/>
        <v>0.17839725259685199</v>
      </c>
      <c r="H59" s="3">
        <f t="shared" si="8"/>
        <v>0.24498677386725834</v>
      </c>
      <c r="I59" s="3">
        <f t="shared" si="9"/>
        <v>0.31103788907752139</v>
      </c>
      <c r="J59" s="3">
        <f t="shared" si="10"/>
        <v>0.3760660315099783</v>
      </c>
      <c r="K59" s="3">
        <f t="shared" si="11"/>
        <v>5.3896611628013465E-2</v>
      </c>
      <c r="L59" s="3">
        <f t="shared" si="12"/>
        <v>0.50305421162513198</v>
      </c>
      <c r="M59" s="3">
        <f t="shared" si="13"/>
        <v>0.56525820026648421</v>
      </c>
      <c r="N59" s="3">
        <f t="shared" si="14"/>
        <v>0.62677820087525404</v>
      </c>
      <c r="O59" s="3">
        <f t="shared" si="15"/>
        <v>0.68772662018537201</v>
      </c>
      <c r="P59" s="3">
        <f t="shared" si="16"/>
        <v>0.74819689170678261</v>
      </c>
      <c r="Q59" s="3">
        <f t="shared" si="17"/>
        <v>0.80826555112792897</v>
      </c>
      <c r="R59" s="3">
        <f t="shared" si="18"/>
        <v>0.8679950314175412</v>
      </c>
      <c r="S59" s="3">
        <f t="shared" si="19"/>
        <v>0.92743631557411543</v>
      </c>
      <c r="T59" s="3">
        <f t="shared" si="20"/>
        <v>0.98663119382097697</v>
      </c>
      <c r="U59" s="3">
        <f t="shared" si="21"/>
        <v>1.0456140984068707</v>
      </c>
      <c r="V59" s="3">
        <f t="shared" si="22"/>
        <v>1.1044135648576299</v>
      </c>
      <c r="W59" s="8">
        <f t="shared" si="23"/>
        <v>1.1630533859956658</v>
      </c>
    </row>
    <row r="60" spans="1:23" x14ac:dyDescent="0.3">
      <c r="A60" s="14"/>
      <c r="B60" s="8">
        <f t="shared" si="4"/>
        <v>3.2449945749998606E-2</v>
      </c>
      <c r="D60" s="26">
        <f t="shared" si="5"/>
        <v>42221661937650</v>
      </c>
      <c r="E60" s="3">
        <f t="shared" si="24"/>
        <v>3.4178689746216961E-2</v>
      </c>
      <c r="F60" s="3">
        <f t="shared" si="6"/>
        <v>7.9925398750652091E-2</v>
      </c>
      <c r="G60" s="3">
        <f t="shared" si="7"/>
        <v>0.13414086626819074</v>
      </c>
      <c r="H60" s="3">
        <f t="shared" si="8"/>
        <v>0.19129771630185549</v>
      </c>
      <c r="I60" s="3">
        <f t="shared" si="9"/>
        <v>0.24894418778917271</v>
      </c>
      <c r="J60" s="3">
        <f t="shared" si="10"/>
        <v>0.3061310738822316</v>
      </c>
      <c r="K60" s="3">
        <f t="shared" si="11"/>
        <v>3.4178689746216961E-2</v>
      </c>
      <c r="L60" s="3">
        <f t="shared" si="12"/>
        <v>0.41817692374707482</v>
      </c>
      <c r="M60" s="3">
        <f t="shared" si="13"/>
        <v>0.4730517896089248</v>
      </c>
      <c r="N60" s="3">
        <f t="shared" si="14"/>
        <v>0.52726689630490609</v>
      </c>
      <c r="O60" s="3">
        <f t="shared" si="15"/>
        <v>0.58091124765029734</v>
      </c>
      <c r="P60" s="3">
        <f t="shared" si="16"/>
        <v>0.63406607562322526</v>
      </c>
      <c r="Q60" s="3">
        <f t="shared" si="17"/>
        <v>0.68680195303542135</v>
      </c>
      <c r="R60" s="3">
        <f t="shared" si="18"/>
        <v>0.73917882910780175</v>
      </c>
      <c r="S60" s="3">
        <f t="shared" si="19"/>
        <v>0.79124712823736876</v>
      </c>
      <c r="T60" s="3">
        <f t="shared" si="20"/>
        <v>0.84304912295659895</v>
      </c>
      <c r="U60" s="3">
        <f t="shared" si="21"/>
        <v>0.8946202623630698</v>
      </c>
      <c r="V60" s="3">
        <f t="shared" si="22"/>
        <v>0.94599034320570274</v>
      </c>
      <c r="W60" s="8">
        <f t="shared" si="23"/>
        <v>0.99718449890336658</v>
      </c>
    </row>
    <row r="61" spans="1:23" x14ac:dyDescent="0.3">
      <c r="A61" s="14"/>
      <c r="B61" s="8">
        <f t="shared" si="4"/>
        <v>2.6910677961739567E-2</v>
      </c>
      <c r="D61" s="26">
        <f t="shared" si="5"/>
        <v>42869100896310</v>
      </c>
      <c r="E61" s="3">
        <f t="shared" si="24"/>
        <v>3.2449945749998606E-2</v>
      </c>
      <c r="F61" s="3">
        <f t="shared" si="6"/>
        <v>7.6844029032122646E-2</v>
      </c>
      <c r="G61" s="3">
        <f t="shared" si="7"/>
        <v>0.12989837567490933</v>
      </c>
      <c r="H61" s="3">
        <f t="shared" si="8"/>
        <v>0.18607582168987233</v>
      </c>
      <c r="I61" s="3">
        <f t="shared" si="9"/>
        <v>0.24286233018029685</v>
      </c>
      <c r="J61" s="3">
        <f t="shared" si="10"/>
        <v>0.29925953745362488</v>
      </c>
      <c r="K61" s="3">
        <f t="shared" si="11"/>
        <v>3.2449945749998606E-2</v>
      </c>
      <c r="L61" s="3">
        <f t="shared" si="12"/>
        <v>0.40982640458657588</v>
      </c>
      <c r="M61" s="3">
        <f t="shared" si="13"/>
        <v>0.46398359427831293</v>
      </c>
      <c r="N61" s="3">
        <f t="shared" si="14"/>
        <v>0.51748624009385413</v>
      </c>
      <c r="O61" s="3">
        <f t="shared" si="15"/>
        <v>0.57042001268119491</v>
      </c>
      <c r="P61" s="3">
        <f t="shared" si="16"/>
        <v>0.62286427629073249</v>
      </c>
      <c r="Q61" s="3">
        <f t="shared" si="17"/>
        <v>0.67488858364835291</v>
      </c>
      <c r="R61" s="3">
        <f t="shared" si="18"/>
        <v>0.72655235683856123</v>
      </c>
      <c r="S61" s="3">
        <f t="shared" si="19"/>
        <v>0.77790578018306045</v>
      </c>
      <c r="T61" s="3">
        <f t="shared" si="20"/>
        <v>0.82899105236321047</v>
      </c>
      <c r="U61" s="3">
        <f t="shared" si="21"/>
        <v>0.87984364326634723</v>
      </c>
      <c r="V61" s="3">
        <f t="shared" si="22"/>
        <v>0.93049342239658395</v>
      </c>
      <c r="W61" s="8">
        <f t="shared" si="23"/>
        <v>0.98096562239742902</v>
      </c>
    </row>
    <row r="62" spans="1:23" x14ac:dyDescent="0.3">
      <c r="A62" s="14"/>
      <c r="B62" s="8">
        <f t="shared" si="4"/>
        <v>2.6910639185834598E-2</v>
      </c>
      <c r="D62" s="26">
        <f t="shared" si="5"/>
        <v>45204983024760</v>
      </c>
      <c r="E62" s="3">
        <f t="shared" si="24"/>
        <v>2.6910677961739567E-2</v>
      </c>
      <c r="F62" s="3">
        <f t="shared" si="6"/>
        <v>6.6700213797158583E-2</v>
      </c>
      <c r="G62" s="3">
        <f t="shared" si="7"/>
        <v>0.11573643494246469</v>
      </c>
      <c r="H62" s="3">
        <f t="shared" si="8"/>
        <v>0.16851704824587516</v>
      </c>
      <c r="I62" s="3">
        <f t="shared" si="9"/>
        <v>0.22233478384540054</v>
      </c>
      <c r="J62" s="3">
        <f t="shared" si="10"/>
        <v>0.27602340721169177</v>
      </c>
      <c r="K62" s="3">
        <f t="shared" si="11"/>
        <v>2.6910677961739567E-2</v>
      </c>
      <c r="L62" s="3">
        <f t="shared" si="12"/>
        <v>0.38155784063661086</v>
      </c>
      <c r="M62" s="3">
        <f t="shared" si="13"/>
        <v>0.43328621813123602</v>
      </c>
      <c r="N62" s="3">
        <f t="shared" si="14"/>
        <v>0.48438285867316933</v>
      </c>
      <c r="O62" s="3">
        <f t="shared" si="15"/>
        <v>0.53492038978676915</v>
      </c>
      <c r="P62" s="3">
        <f t="shared" si="16"/>
        <v>0.58497068057174995</v>
      </c>
      <c r="Q62" s="3">
        <f t="shared" si="17"/>
        <v>0.63459904931004651</v>
      </c>
      <c r="R62" s="3">
        <f t="shared" si="18"/>
        <v>0.68386261140308846</v>
      </c>
      <c r="S62" s="3">
        <f t="shared" si="19"/>
        <v>0.73281038802707421</v>
      </c>
      <c r="T62" s="3">
        <f t="shared" si="20"/>
        <v>0.78148409197023339</v>
      </c>
      <c r="U62" s="3">
        <f t="shared" si="21"/>
        <v>0.8299191045358143</v>
      </c>
      <c r="V62" s="3">
        <f t="shared" si="22"/>
        <v>0.87814543460495442</v>
      </c>
      <c r="W62" s="8">
        <f t="shared" si="23"/>
        <v>0.92618857925907971</v>
      </c>
    </row>
    <row r="63" spans="1:23" x14ac:dyDescent="0.3">
      <c r="A63" s="14"/>
      <c r="B63" s="8">
        <f t="shared" si="4"/>
        <v>2.6805832859777619E-2</v>
      </c>
      <c r="D63" s="26">
        <f t="shared" si="5"/>
        <v>45205001012340</v>
      </c>
      <c r="E63" s="3">
        <f t="shared" si="24"/>
        <v>2.6910639185834598E-2</v>
      </c>
      <c r="F63" s="3">
        <f t="shared" si="6"/>
        <v>6.6700141181871814E-2</v>
      </c>
      <c r="G63" s="3">
        <f t="shared" si="7"/>
        <v>0.11573633238569073</v>
      </c>
      <c r="H63" s="3">
        <f t="shared" si="8"/>
        <v>0.16851692031180368</v>
      </c>
      <c r="I63" s="3">
        <f t="shared" si="9"/>
        <v>0.22233463380106186</v>
      </c>
      <c r="J63" s="3">
        <f t="shared" si="10"/>
        <v>0.27602323709335752</v>
      </c>
      <c r="K63" s="3">
        <f t="shared" si="11"/>
        <v>2.6910639185834598E-2</v>
      </c>
      <c r="L63" s="3">
        <f t="shared" si="12"/>
        <v>0.38155763345955968</v>
      </c>
      <c r="M63" s="3">
        <f t="shared" si="13"/>
        <v>0.43328599314839877</v>
      </c>
      <c r="N63" s="3">
        <f t="shared" si="14"/>
        <v>0.48438261608377547</v>
      </c>
      <c r="O63" s="3">
        <f t="shared" si="15"/>
        <v>0.53492012968372815</v>
      </c>
      <c r="P63" s="3">
        <f t="shared" si="16"/>
        <v>0.58497040298581993</v>
      </c>
      <c r="Q63" s="3">
        <f t="shared" si="17"/>
        <v>0.63459875423609913</v>
      </c>
      <c r="R63" s="3">
        <f t="shared" si="18"/>
        <v>0.68386229881582083</v>
      </c>
      <c r="S63" s="3">
        <f t="shared" si="19"/>
        <v>0.7328100578904484</v>
      </c>
      <c r="T63" s="3">
        <f t="shared" si="20"/>
        <v>0.78148374424315015</v>
      </c>
      <c r="U63" s="3">
        <f t="shared" si="21"/>
        <v>0.82991873917550651</v>
      </c>
      <c r="V63" s="3">
        <f t="shared" si="22"/>
        <v>0.87814505156898259</v>
      </c>
      <c r="W63" s="8">
        <f t="shared" si="23"/>
        <v>0.92618817850647428</v>
      </c>
    </row>
    <row r="64" spans="1:23" x14ac:dyDescent="0.3">
      <c r="A64" s="14"/>
      <c r="B64" s="8">
        <f t="shared" si="4"/>
        <v>2.6805704111999191E-2</v>
      </c>
      <c r="D64" s="26">
        <f t="shared" si="5"/>
        <v>45253714376910</v>
      </c>
      <c r="E64" s="3">
        <f t="shared" si="24"/>
        <v>2.6805832859777619E-2</v>
      </c>
      <c r="F64" s="3">
        <f t="shared" si="6"/>
        <v>6.6503781651898006E-2</v>
      </c>
      <c r="G64" s="3">
        <f t="shared" si="7"/>
        <v>0.11545894154901737</v>
      </c>
      <c r="H64" s="3">
        <f t="shared" si="8"/>
        <v>0.16817084579457947</v>
      </c>
      <c r="I64" s="3">
        <f t="shared" si="9"/>
        <v>0.22192872109645043</v>
      </c>
      <c r="J64" s="3">
        <f t="shared" si="10"/>
        <v>0.27556300229064667</v>
      </c>
      <c r="K64" s="3">
        <f t="shared" si="11"/>
        <v>2.6805832859777619E-2</v>
      </c>
      <c r="L64" s="3">
        <f t="shared" si="12"/>
        <v>0.38099712744664155</v>
      </c>
      <c r="M64" s="3">
        <f t="shared" si="13"/>
        <v>0.43267731384902347</v>
      </c>
      <c r="N64" s="3">
        <f t="shared" si="14"/>
        <v>0.48372630435588027</v>
      </c>
      <c r="O64" s="3">
        <f t="shared" si="15"/>
        <v>0.53421643813314101</v>
      </c>
      <c r="P64" s="3">
        <f t="shared" si="16"/>
        <v>0.58421941565678137</v>
      </c>
      <c r="Q64" s="3">
        <f t="shared" si="17"/>
        <v>0.63380045780486438</v>
      </c>
      <c r="R64" s="3">
        <f t="shared" si="18"/>
        <v>0.68301662518784212</v>
      </c>
      <c r="S64" s="3">
        <f t="shared" si="19"/>
        <v>0.73191690979859558</v>
      </c>
      <c r="T64" s="3">
        <f t="shared" si="20"/>
        <v>0.78054301064002052</v>
      </c>
      <c r="U64" s="3">
        <f t="shared" si="21"/>
        <v>0.82893030443855009</v>
      </c>
      <c r="V64" s="3">
        <f t="shared" si="22"/>
        <v>0.87710880092396049</v>
      </c>
      <c r="W64" s="8">
        <f t="shared" si="23"/>
        <v>0.92510400112633007</v>
      </c>
    </row>
    <row r="65" spans="1:23" x14ac:dyDescent="0.3">
      <c r="A65" s="14"/>
      <c r="B65" s="8">
        <f t="shared" si="4"/>
        <v>6.8807857566107497E-4</v>
      </c>
      <c r="D65" s="26">
        <f t="shared" si="5"/>
        <v>45253774335510</v>
      </c>
      <c r="E65" s="3">
        <f t="shared" si="24"/>
        <v>2.6805704111999191E-2</v>
      </c>
      <c r="F65" s="3">
        <f t="shared" si="6"/>
        <v>6.6503540326503088E-2</v>
      </c>
      <c r="G65" s="3">
        <f t="shared" si="7"/>
        <v>0.11545860055465476</v>
      </c>
      <c r="H65" s="3">
        <f t="shared" si="8"/>
        <v>0.16817042031328502</v>
      </c>
      <c r="I65" s="3">
        <f t="shared" si="9"/>
        <v>0.22192822201296999</v>
      </c>
      <c r="J65" s="3">
        <f t="shared" si="10"/>
        <v>0.27556243639630368</v>
      </c>
      <c r="K65" s="3">
        <f t="shared" si="11"/>
        <v>2.6805704111999191E-2</v>
      </c>
      <c r="L65" s="3">
        <f t="shared" si="12"/>
        <v>0.3809964382446836</v>
      </c>
      <c r="M65" s="3">
        <f t="shared" si="13"/>
        <v>0.43267656541197075</v>
      </c>
      <c r="N65" s="3">
        <f t="shared" si="14"/>
        <v>0.48372549735106013</v>
      </c>
      <c r="O65" s="3">
        <f t="shared" si="15"/>
        <v>0.53421557287269283</v>
      </c>
      <c r="P65" s="3">
        <f t="shared" si="16"/>
        <v>0.58421849224507028</v>
      </c>
      <c r="Q65" s="3">
        <f t="shared" si="17"/>
        <v>0.63379947622618626</v>
      </c>
      <c r="R65" s="3">
        <f t="shared" si="18"/>
        <v>0.68301558535891249</v>
      </c>
      <c r="S65" s="3">
        <f t="shared" si="19"/>
        <v>0.73191581160010011</v>
      </c>
      <c r="T65" s="3">
        <f t="shared" si="20"/>
        <v>0.78054185393559139</v>
      </c>
      <c r="U65" s="3">
        <f t="shared" si="21"/>
        <v>0.82892908908611984</v>
      </c>
      <c r="V65" s="3">
        <f t="shared" si="22"/>
        <v>0.87710752678245452</v>
      </c>
      <c r="W65" s="8">
        <f t="shared" si="23"/>
        <v>0.92510266805949182</v>
      </c>
    </row>
    <row r="66" spans="1:23" x14ac:dyDescent="0.3">
      <c r="A66" s="14"/>
      <c r="B66" s="8">
        <f t="shared" si="4"/>
        <v>6.8636252364571277E-4</v>
      </c>
      <c r="D66" s="26">
        <f t="shared" si="5"/>
        <v>91031254064790</v>
      </c>
      <c r="E66" s="3">
        <f t="shared" si="24"/>
        <v>6.8807857566107497E-4</v>
      </c>
      <c r="F66" s="3">
        <f t="shared" si="6"/>
        <v>4.248505758579801E-3</v>
      </c>
      <c r="G66" s="3">
        <f t="shared" si="7"/>
        <v>1.2666375484612335E-2</v>
      </c>
      <c r="H66" s="3">
        <f t="shared" si="8"/>
        <v>2.6249307256723243E-2</v>
      </c>
      <c r="I66" s="3">
        <f t="shared" si="9"/>
        <v>4.4212838381567088E-2</v>
      </c>
      <c r="J66" s="3">
        <f t="shared" si="10"/>
        <v>6.5458068467848185E-2</v>
      </c>
      <c r="K66" s="3">
        <f t="shared" si="11"/>
        <v>6.8807857566107497E-4</v>
      </c>
      <c r="L66" s="3">
        <f t="shared" si="12"/>
        <v>0.11397944236079281</v>
      </c>
      <c r="M66" s="3">
        <f t="shared" si="13"/>
        <v>0.13989353534365165</v>
      </c>
      <c r="N66" s="3">
        <f t="shared" si="14"/>
        <v>0.16632350269010829</v>
      </c>
      <c r="O66" s="3">
        <f t="shared" si="15"/>
        <v>0.19300389694805661</v>
      </c>
      <c r="P66" s="3">
        <f t="shared" si="16"/>
        <v>0.21976101627319508</v>
      </c>
      <c r="Q66" s="3">
        <f t="shared" si="17"/>
        <v>0.24648406085883423</v>
      </c>
      <c r="R66" s="3">
        <f t="shared" si="18"/>
        <v>0.27310464450863192</v>
      </c>
      <c r="S66" s="3">
        <f t="shared" si="19"/>
        <v>0.29958264412732011</v>
      </c>
      <c r="T66" s="3">
        <f t="shared" si="20"/>
        <v>0.32589657628034951</v>
      </c>
      <c r="U66" s="3">
        <f t="shared" si="21"/>
        <v>0.35203710904101326</v>
      </c>
      <c r="V66" s="3">
        <f t="shared" si="22"/>
        <v>0.37800271022938869</v>
      </c>
      <c r="W66" s="8">
        <f t="shared" si="23"/>
        <v>0.40379673940418687</v>
      </c>
    </row>
    <row r="67" spans="1:23" x14ac:dyDescent="0.3">
      <c r="A67" s="14"/>
      <c r="B67" s="8">
        <f t="shared" si="4"/>
        <v>6.0506145805475661E-4</v>
      </c>
      <c r="D67" s="26">
        <f t="shared" si="5"/>
        <v>91062471509880</v>
      </c>
      <c r="E67" s="3">
        <f t="shared" si="24"/>
        <v>6.8636252364571277E-4</v>
      </c>
      <c r="F67" s="3">
        <f t="shared" si="6"/>
        <v>4.2405562438222787E-3</v>
      </c>
      <c r="G67" s="3">
        <f t="shared" si="7"/>
        <v>1.2647406179170312E-2</v>
      </c>
      <c r="H67" s="3">
        <f t="shared" si="8"/>
        <v>2.6216509251900888E-2</v>
      </c>
      <c r="I67" s="3">
        <f t="shared" si="9"/>
        <v>4.4165363712190257E-2</v>
      </c>
      <c r="J67" s="3">
        <f t="shared" si="10"/>
        <v>6.5396279600978671E-2</v>
      </c>
      <c r="K67" s="3">
        <f t="shared" si="11"/>
        <v>6.8636252364571277E-4</v>
      </c>
      <c r="L67" s="3">
        <f t="shared" si="12"/>
        <v>0.11389190216008914</v>
      </c>
      <c r="M67" s="3">
        <f t="shared" si="13"/>
        <v>0.13979464324668786</v>
      </c>
      <c r="N67" s="3">
        <f t="shared" si="14"/>
        <v>0.16621411710909764</v>
      </c>
      <c r="O67" s="3">
        <f t="shared" si="15"/>
        <v>0.19288472144430854</v>
      </c>
      <c r="P67" s="3">
        <f t="shared" si="16"/>
        <v>0.21963261082186031</v>
      </c>
      <c r="Q67" s="3">
        <f t="shared" si="17"/>
        <v>0.24634686308373641</v>
      </c>
      <c r="R67" s="3">
        <f t="shared" si="18"/>
        <v>0.27295899231725113</v>
      </c>
      <c r="S67" s="3">
        <f t="shared" si="19"/>
        <v>0.29942879618660412</v>
      </c>
      <c r="T67" s="3">
        <f t="shared" si="20"/>
        <v>0.32573472921135177</v>
      </c>
      <c r="U67" s="3">
        <f t="shared" si="21"/>
        <v>0.35186741130050436</v>
      </c>
      <c r="V67" s="3">
        <f t="shared" si="22"/>
        <v>0.37782527307042513</v>
      </c>
      <c r="W67" s="8">
        <f t="shared" si="23"/>
        <v>0.40361164542084704</v>
      </c>
    </row>
    <row r="68" spans="1:23" x14ac:dyDescent="0.3">
      <c r="A68" s="14"/>
      <c r="B68" s="8">
        <f t="shared" si="4"/>
        <v>6.0506131295789696E-4</v>
      </c>
      <c r="D68" s="26">
        <f t="shared" si="5"/>
        <v>92638612221870</v>
      </c>
      <c r="E68" s="3">
        <f t="shared" si="24"/>
        <v>6.0506145805475661E-4</v>
      </c>
      <c r="F68" s="3">
        <f t="shared" si="6"/>
        <v>3.8579443764453492E-3</v>
      </c>
      <c r="G68" s="3">
        <f t="shared" si="7"/>
        <v>1.1725714028437272E-2</v>
      </c>
      <c r="H68" s="3">
        <f t="shared" si="8"/>
        <v>2.461288483327129E-2</v>
      </c>
      <c r="I68" s="3">
        <f t="shared" si="9"/>
        <v>4.1833981995497801E-2</v>
      </c>
      <c r="J68" s="3">
        <f t="shared" si="10"/>
        <v>6.2352439291511769E-2</v>
      </c>
      <c r="K68" s="3">
        <f t="shared" si="11"/>
        <v>6.0506145805475661E-4</v>
      </c>
      <c r="L68" s="3">
        <f t="shared" si="12"/>
        <v>0.10956241470775605</v>
      </c>
      <c r="M68" s="3">
        <f t="shared" si="13"/>
        <v>0.13489769837867754</v>
      </c>
      <c r="N68" s="3">
        <f t="shared" si="14"/>
        <v>0.16079264806074911</v>
      </c>
      <c r="O68" s="3">
        <f t="shared" si="15"/>
        <v>0.18697411065557171</v>
      </c>
      <c r="P68" s="3">
        <f t="shared" si="16"/>
        <v>0.21326114632645515</v>
      </c>
      <c r="Q68" s="3">
        <f t="shared" si="17"/>
        <v>0.23953673814588861</v>
      </c>
      <c r="R68" s="3">
        <f t="shared" si="18"/>
        <v>0.26572740392078087</v>
      </c>
      <c r="S68" s="3">
        <f t="shared" si="19"/>
        <v>0.29178895295520829</v>
      </c>
      <c r="T68" s="3">
        <f t="shared" si="20"/>
        <v>0.31769670520460697</v>
      </c>
      <c r="U68" s="3">
        <f t="shared" si="21"/>
        <v>0.34343883951894782</v>
      </c>
      <c r="V68" s="3">
        <f t="shared" si="22"/>
        <v>0.36901189557787734</v>
      </c>
      <c r="W68" s="8">
        <f t="shared" si="23"/>
        <v>0.39441774381832018</v>
      </c>
    </row>
    <row r="69" spans="1:23" x14ac:dyDescent="0.3">
      <c r="A69" s="14"/>
      <c r="B69" s="8">
        <f t="shared" si="4"/>
        <v>5.7191147338173218E-4</v>
      </c>
      <c r="D69" s="26">
        <f t="shared" si="5"/>
        <v>92638615219800</v>
      </c>
      <c r="E69" s="3">
        <f t="shared" si="24"/>
        <v>6.0506131295789696E-4</v>
      </c>
      <c r="F69" s="3">
        <f t="shared" si="6"/>
        <v>3.8579436825589572E-3</v>
      </c>
      <c r="G69" s="3">
        <f t="shared" si="7"/>
        <v>1.1725712340842518E-2</v>
      </c>
      <c r="H69" s="3">
        <f t="shared" si="8"/>
        <v>2.4612881878551474E-2</v>
      </c>
      <c r="I69" s="3">
        <f t="shared" si="9"/>
        <v>4.1833977681047609E-2</v>
      </c>
      <c r="J69" s="3">
        <f t="shared" si="10"/>
        <v>6.2352433640920586E-2</v>
      </c>
      <c r="K69" s="3">
        <f t="shared" si="11"/>
        <v>6.0506131295789696E-4</v>
      </c>
      <c r="L69" s="3">
        <f t="shared" si="12"/>
        <v>0.10956240663865817</v>
      </c>
      <c r="M69" s="3">
        <f t="shared" si="13"/>
        <v>0.13489768924073092</v>
      </c>
      <c r="N69" s="3">
        <f t="shared" si="14"/>
        <v>0.16079263793483367</v>
      </c>
      <c r="O69" s="3">
        <f t="shared" si="15"/>
        <v>0.18697409960870667</v>
      </c>
      <c r="P69" s="3">
        <f t="shared" si="16"/>
        <v>0.21326113441245848</v>
      </c>
      <c r="Q69" s="3">
        <f t="shared" si="17"/>
        <v>0.23953672540714346</v>
      </c>
      <c r="R69" s="3">
        <f t="shared" si="18"/>
        <v>0.26572739039024174</v>
      </c>
      <c r="S69" s="3">
        <f t="shared" si="19"/>
        <v>0.29178893865826927</v>
      </c>
      <c r="T69" s="3">
        <f t="shared" si="20"/>
        <v>0.31769669016069818</v>
      </c>
      <c r="U69" s="3">
        <f t="shared" si="21"/>
        <v>0.34343882374284079</v>
      </c>
      <c r="V69" s="3">
        <f t="shared" si="22"/>
        <v>0.36901187908072414</v>
      </c>
      <c r="W69" s="8">
        <f t="shared" si="23"/>
        <v>0.3944177266084708</v>
      </c>
    </row>
    <row r="70" spans="1:23" ht="15" thickBot="1" x14ac:dyDescent="0.35">
      <c r="A70" s="16"/>
      <c r="B70" s="10">
        <f t="shared" si="4"/>
        <v>5.7190900473515834E-4</v>
      </c>
      <c r="D70" s="26">
        <f t="shared" si="5"/>
        <v>93343020844320</v>
      </c>
      <c r="E70" s="3">
        <f t="shared" si="24"/>
        <v>5.7191147338173218E-4</v>
      </c>
      <c r="F70" s="3">
        <f t="shared" si="6"/>
        <v>3.698302578425156E-3</v>
      </c>
      <c r="G70" s="3">
        <f t="shared" si="7"/>
        <v>1.1335821450384836E-2</v>
      </c>
      <c r="H70" s="3">
        <f t="shared" si="8"/>
        <v>2.3928351655998312E-2</v>
      </c>
      <c r="I70" s="3">
        <f t="shared" si="9"/>
        <v>4.0832503367337271E-2</v>
      </c>
      <c r="J70" s="3">
        <f t="shared" si="10"/>
        <v>6.1038992681747381E-2</v>
      </c>
      <c r="K70" s="3">
        <f t="shared" si="11"/>
        <v>5.7191147338173218E-4</v>
      </c>
      <c r="L70" s="3">
        <f t="shared" si="12"/>
        <v>0.10768349965228438</v>
      </c>
      <c r="M70" s="3">
        <f t="shared" si="13"/>
        <v>0.13276872655630695</v>
      </c>
      <c r="N70" s="3">
        <f t="shared" si="14"/>
        <v>0.15843253811241903</v>
      </c>
      <c r="O70" s="3">
        <f t="shared" si="15"/>
        <v>0.18439857727293604</v>
      </c>
      <c r="P70" s="3">
        <f t="shared" si="16"/>
        <v>0.21048283371086968</v>
      </c>
      <c r="Q70" s="3">
        <f t="shared" si="17"/>
        <v>0.2365656208180657</v>
      </c>
      <c r="R70" s="3">
        <f t="shared" si="18"/>
        <v>0.2625712492957174</v>
      </c>
      <c r="S70" s="3">
        <f t="shared" si="19"/>
        <v>0.28845375507553583</v>
      </c>
      <c r="T70" s="3">
        <f t="shared" si="20"/>
        <v>0.31418705693384968</v>
      </c>
      <c r="U70" s="3">
        <f t="shared" si="21"/>
        <v>0.33975823757505441</v>
      </c>
      <c r="V70" s="3">
        <f t="shared" si="22"/>
        <v>0.36516298413741005</v>
      </c>
      <c r="W70" s="8">
        <f t="shared" si="23"/>
        <v>0.39040250616708722</v>
      </c>
    </row>
    <row r="71" spans="1:23" ht="15" thickBot="1" x14ac:dyDescent="0.35">
      <c r="D71" s="27">
        <f t="shared" si="5"/>
        <v>93343074807060</v>
      </c>
      <c r="E71" s="9">
        <f t="shared" si="24"/>
        <v>5.7190900473515834E-4</v>
      </c>
      <c r="F71" s="9">
        <f t="shared" si="6"/>
        <v>3.6982906053518215E-3</v>
      </c>
      <c r="G71" s="9">
        <f t="shared" si="7"/>
        <v>1.1335792084301131E-2</v>
      </c>
      <c r="H71" s="9">
        <f t="shared" si="8"/>
        <v>2.3928299953701718E-2</v>
      </c>
      <c r="I71" s="9">
        <f t="shared" si="9"/>
        <v>4.0832427578898191E-2</v>
      </c>
      <c r="J71" s="9">
        <f t="shared" si="10"/>
        <v>6.1038893145490686E-2</v>
      </c>
      <c r="K71" s="9">
        <f t="shared" si="11"/>
        <v>5.7190900473515834E-4</v>
      </c>
      <c r="L71" s="9">
        <f t="shared" si="12"/>
        <v>0.10768335701068357</v>
      </c>
      <c r="M71" s="9">
        <f t="shared" si="13"/>
        <v>0.13276856484133412</v>
      </c>
      <c r="N71" s="9">
        <f t="shared" si="14"/>
        <v>0.15843235876676415</v>
      </c>
      <c r="O71" s="9">
        <f t="shared" si="15"/>
        <v>0.184398381497903</v>
      </c>
      <c r="P71" s="9">
        <f t="shared" si="16"/>
        <v>0.21048262247495</v>
      </c>
      <c r="Q71" s="9">
        <f t="shared" si="17"/>
        <v>0.23656539488655726</v>
      </c>
      <c r="R71" s="9">
        <f t="shared" si="18"/>
        <v>0.26257100926548455</v>
      </c>
      <c r="S71" s="9">
        <f t="shared" si="19"/>
        <v>0.2884535014078336</v>
      </c>
      <c r="T71" s="9">
        <f t="shared" si="20"/>
        <v>0.31418678998260785</v>
      </c>
      <c r="U71" s="9">
        <f t="shared" si="21"/>
        <v>0.33975795761012378</v>
      </c>
      <c r="V71" s="9">
        <f t="shared" si="22"/>
        <v>0.36516269136316637</v>
      </c>
      <c r="W71" s="10">
        <f t="shared" si="23"/>
        <v>0.39040220073709275</v>
      </c>
    </row>
    <row r="72" spans="1:23" x14ac:dyDescent="0.3">
      <c r="A72" s="18" t="s">
        <v>42</v>
      </c>
      <c r="B72" s="19">
        <f>COUNT(B53:B70)</f>
        <v>18</v>
      </c>
    </row>
    <row r="73" spans="1:23" ht="21" thickBot="1" x14ac:dyDescent="0.35">
      <c r="A73" s="20" t="s">
        <v>43</v>
      </c>
      <c r="B73" s="123">
        <f>PRODUCT(B53:B70)</f>
        <v>1.0751263253362035E-34</v>
      </c>
    </row>
    <row r="74" spans="1:23" x14ac:dyDescent="0.3">
      <c r="D74" s="37" t="s">
        <v>55</v>
      </c>
    </row>
    <row r="75" spans="1:23" x14ac:dyDescent="0.3">
      <c r="D75" s="56" t="s">
        <v>49</v>
      </c>
    </row>
    <row r="76" spans="1:23" x14ac:dyDescent="0.3">
      <c r="D76" s="122">
        <v>6.5960300000000005E-35</v>
      </c>
    </row>
    <row r="77" spans="1:23" x14ac:dyDescent="0.3">
      <c r="D77" s="56" t="s">
        <v>106</v>
      </c>
    </row>
    <row r="78" spans="1:23" ht="15" thickBot="1" x14ac:dyDescent="0.35">
      <c r="D78" s="124">
        <f>ABS(B73-D76)/B73</f>
        <v>0.38648790894992258</v>
      </c>
    </row>
    <row r="81" spans="2:10" ht="15" thickBot="1" x14ac:dyDescent="0.35"/>
    <row r="82" spans="2:10" ht="19.2" x14ac:dyDescent="0.3">
      <c r="D82" s="12" t="s">
        <v>23</v>
      </c>
      <c r="E82" s="39" t="s">
        <v>46</v>
      </c>
      <c r="F82" s="54" t="s">
        <v>44</v>
      </c>
    </row>
    <row r="83" spans="2:10" ht="18.600000000000001" thickBot="1" x14ac:dyDescent="0.35">
      <c r="B83" s="11"/>
      <c r="D83" s="14">
        <f>300</f>
        <v>300</v>
      </c>
      <c r="E83" s="8">
        <f xml:space="preserve"> ( (2*$B$2*$E$2*$A$2*D83)/($C$2*$C$2) )^(1.5) * ($A$2*D83) /$F$83</f>
        <v>6570834.175262955</v>
      </c>
      <c r="F83" s="31">
        <v>101325</v>
      </c>
      <c r="H83" s="2" t="s">
        <v>55</v>
      </c>
    </row>
    <row r="84" spans="2:10" ht="15" thickBot="1" x14ac:dyDescent="0.35">
      <c r="D84" s="14">
        <f>D83+100</f>
        <v>400</v>
      </c>
      <c r="E84" s="8">
        <f t="shared" ref="E84:E101" si="25" xml:space="preserve"> ( (2*$B$2*$E$2*$A$2*D84)/($C$2*$C$2) )^(1.5) * ($A$2*D84) /$F$83</f>
        <v>13488614.68404779</v>
      </c>
    </row>
    <row r="85" spans="2:10" ht="15" thickBot="1" x14ac:dyDescent="0.35">
      <c r="D85" s="14">
        <f t="shared" ref="D85:D101" si="26">D84+100</f>
        <v>500</v>
      </c>
      <c r="E85" s="8">
        <f t="shared" si="25"/>
        <v>23563640.121744435</v>
      </c>
      <c r="J85" s="37" t="s">
        <v>45</v>
      </c>
    </row>
    <row r="86" spans="2:10" x14ac:dyDescent="0.3">
      <c r="D86" s="14">
        <f t="shared" si="26"/>
        <v>600</v>
      </c>
      <c r="E86" s="8">
        <f t="shared" si="25"/>
        <v>37170251.22704611</v>
      </c>
      <c r="H86" s="40" t="s">
        <v>48</v>
      </c>
      <c r="I86" s="18" t="s">
        <v>47</v>
      </c>
      <c r="J86" s="42">
        <f xml:space="preserve"> ( (2*$B$2*$E$2*$A$2*298.15)/($C$2*$C$2) )^(1.5) * ($A$2*D83) /$F$83</f>
        <v>6510147.7585040219</v>
      </c>
    </row>
    <row r="87" spans="2:10" ht="15" thickBot="1" x14ac:dyDescent="0.35">
      <c r="D87" s="14">
        <f t="shared" si="26"/>
        <v>700</v>
      </c>
      <c r="E87" s="8">
        <f t="shared" si="25"/>
        <v>54646514.97667034</v>
      </c>
      <c r="H87" s="41" t="s">
        <v>49</v>
      </c>
      <c r="I87" s="16" t="s">
        <v>47</v>
      </c>
      <c r="J87" s="43">
        <v>6473750</v>
      </c>
    </row>
    <row r="88" spans="2:10" x14ac:dyDescent="0.3">
      <c r="D88" s="14">
        <f t="shared" si="26"/>
        <v>800</v>
      </c>
      <c r="E88" s="8">
        <f t="shared" si="25"/>
        <v>76303127.295221284</v>
      </c>
      <c r="J88" s="1" t="s">
        <v>90</v>
      </c>
    </row>
    <row r="89" spans="2:10" x14ac:dyDescent="0.3">
      <c r="D89" s="14">
        <f t="shared" si="26"/>
        <v>900</v>
      </c>
      <c r="E89" s="8">
        <f t="shared" si="25"/>
        <v>102429167.75698808</v>
      </c>
      <c r="J89" s="85">
        <f>(J86-J87)/J87</f>
        <v>5.6223608424826278E-3</v>
      </c>
    </row>
    <row r="90" spans="2:10" x14ac:dyDescent="0.3">
      <c r="D90" s="14">
        <f t="shared" si="26"/>
        <v>1000</v>
      </c>
      <c r="E90" s="8">
        <f t="shared" si="25"/>
        <v>133296077.75619954</v>
      </c>
    </row>
    <row r="91" spans="2:10" x14ac:dyDescent="0.3">
      <c r="D91" s="14">
        <f t="shared" si="26"/>
        <v>1100</v>
      </c>
      <c r="E91" s="8">
        <f t="shared" si="25"/>
        <v>169160547.99026376</v>
      </c>
    </row>
    <row r="92" spans="2:10" x14ac:dyDescent="0.3">
      <c r="D92" s="14">
        <f t="shared" si="26"/>
        <v>1200</v>
      </c>
      <c r="E92" s="8">
        <f t="shared" si="25"/>
        <v>210266693.60841274</v>
      </c>
    </row>
    <row r="93" spans="2:10" x14ac:dyDescent="0.3">
      <c r="D93" s="14">
        <f t="shared" si="26"/>
        <v>1300</v>
      </c>
      <c r="E93" s="8">
        <f t="shared" si="25"/>
        <v>256847741.48233187</v>
      </c>
    </row>
    <row r="94" spans="2:10" x14ac:dyDescent="0.3">
      <c r="D94" s="14">
        <f t="shared" si="26"/>
        <v>1400</v>
      </c>
      <c r="E94" s="8">
        <f t="shared" si="25"/>
        <v>309127370.46572745</v>
      </c>
    </row>
    <row r="95" spans="2:10" x14ac:dyDescent="0.3">
      <c r="D95" s="14">
        <f t="shared" si="26"/>
        <v>1500</v>
      </c>
      <c r="E95" s="8">
        <f t="shared" si="25"/>
        <v>367320797.11916727</v>
      </c>
    </row>
    <row r="96" spans="2:10" x14ac:dyDescent="0.3">
      <c r="D96" s="14">
        <f t="shared" si="26"/>
        <v>1600</v>
      </c>
      <c r="E96" s="8">
        <f t="shared" si="25"/>
        <v>431635669.88953167</v>
      </c>
    </row>
    <row r="97" spans="1:10" x14ac:dyDescent="0.3">
      <c r="D97" s="14">
        <f t="shared" si="26"/>
        <v>1700</v>
      </c>
      <c r="E97" s="8">
        <f t="shared" si="25"/>
        <v>502272815.99170166</v>
      </c>
    </row>
    <row r="98" spans="1:10" x14ac:dyDescent="0.3">
      <c r="D98" s="14">
        <f t="shared" si="26"/>
        <v>1800</v>
      </c>
      <c r="E98" s="8">
        <f t="shared" si="25"/>
        <v>579426872.89808738</v>
      </c>
    </row>
    <row r="99" spans="1:10" x14ac:dyDescent="0.3">
      <c r="D99" s="14">
        <f t="shared" si="26"/>
        <v>1900</v>
      </c>
      <c r="E99" s="8">
        <f t="shared" si="25"/>
        <v>663286827.96563458</v>
      </c>
    </row>
    <row r="100" spans="1:10" x14ac:dyDescent="0.3">
      <c r="D100" s="14">
        <f t="shared" si="26"/>
        <v>2000</v>
      </c>
      <c r="E100" s="8">
        <f t="shared" si="25"/>
        <v>754036483.89582622</v>
      </c>
    </row>
    <row r="101" spans="1:10" ht="15" thickBot="1" x14ac:dyDescent="0.35">
      <c r="D101" s="16">
        <f t="shared" si="26"/>
        <v>2100</v>
      </c>
      <c r="E101" s="10">
        <f t="shared" si="25"/>
        <v>851854863.56550872</v>
      </c>
    </row>
    <row r="104" spans="1:10" ht="15" thickBot="1" x14ac:dyDescent="0.35"/>
    <row r="105" spans="1:10" ht="19.2" x14ac:dyDescent="0.3">
      <c r="D105" s="12" t="s">
        <v>23</v>
      </c>
      <c r="E105" s="39" t="s">
        <v>54</v>
      </c>
    </row>
    <row r="106" spans="1:10" x14ac:dyDescent="0.3">
      <c r="D106" s="14">
        <f>300</f>
        <v>300</v>
      </c>
      <c r="E106" s="8">
        <f xml:space="preserve"> ( SQRT($B$2)/$B$6) * SQRT(  (D106*D106*D106) / ($E$11 * $F$11 * $G$11 ) )</f>
        <v>820.53942328455332</v>
      </c>
    </row>
    <row r="107" spans="1:10" x14ac:dyDescent="0.3">
      <c r="D107" s="14">
        <f>D106+100</f>
        <v>400</v>
      </c>
      <c r="E107" s="8">
        <f t="shared" ref="E107:E124" si="27" xml:space="preserve"> ( SQRT($B$2)/$B$6) * SQRT(  (D107*D107*D107) / ($E$11 * $F$11 * $G$11 ) )</f>
        <v>1263.303085104099</v>
      </c>
    </row>
    <row r="108" spans="1:10" x14ac:dyDescent="0.3">
      <c r="D108" s="14">
        <f t="shared" ref="D108:D124" si="28">D107+100</f>
        <v>500</v>
      </c>
      <c r="E108" s="8">
        <f t="shared" si="27"/>
        <v>1765.5197340487296</v>
      </c>
      <c r="H108" s="2" t="s">
        <v>55</v>
      </c>
    </row>
    <row r="109" spans="1:10" ht="15" thickBot="1" x14ac:dyDescent="0.35">
      <c r="D109" s="14">
        <f t="shared" si="28"/>
        <v>600</v>
      </c>
      <c r="E109" s="8">
        <f t="shared" si="27"/>
        <v>2320.8359617416263</v>
      </c>
    </row>
    <row r="110" spans="1:10" ht="18.600000000000001" thickBot="1" x14ac:dyDescent="0.35">
      <c r="A110" s="36"/>
      <c r="B110" s="11"/>
      <c r="D110" s="14">
        <f t="shared" si="28"/>
        <v>700</v>
      </c>
      <c r="E110" s="8">
        <f t="shared" si="27"/>
        <v>2924.5875694753477</v>
      </c>
      <c r="J110" s="37" t="s">
        <v>45</v>
      </c>
    </row>
    <row r="111" spans="1:10" x14ac:dyDescent="0.3">
      <c r="D111" s="14">
        <f t="shared" si="28"/>
        <v>800</v>
      </c>
      <c r="E111" s="8">
        <f t="shared" si="27"/>
        <v>3573.1607126839781</v>
      </c>
      <c r="H111" s="40" t="s">
        <v>48</v>
      </c>
      <c r="I111" s="18" t="s">
        <v>89</v>
      </c>
      <c r="J111" s="42">
        <f>E106</f>
        <v>820.53942328455332</v>
      </c>
    </row>
    <row r="112" spans="1:10" ht="15" thickBot="1" x14ac:dyDescent="0.35">
      <c r="D112" s="14">
        <f t="shared" si="28"/>
        <v>900</v>
      </c>
      <c r="E112" s="8">
        <f t="shared" si="27"/>
        <v>4263.6479122263336</v>
      </c>
      <c r="H112" s="41" t="s">
        <v>49</v>
      </c>
      <c r="I112" s="16" t="s">
        <v>89</v>
      </c>
      <c r="J112" s="43">
        <v>812.96299999999997</v>
      </c>
    </row>
    <row r="113" spans="4:10" x14ac:dyDescent="0.3">
      <c r="D113" s="14">
        <f t="shared" si="28"/>
        <v>1000</v>
      </c>
      <c r="E113" s="8">
        <f t="shared" si="27"/>
        <v>4993.6439050581057</v>
      </c>
      <c r="J113" s="1" t="s">
        <v>90</v>
      </c>
    </row>
    <row r="114" spans="4:10" x14ac:dyDescent="0.3">
      <c r="D114" s="14">
        <f t="shared" si="28"/>
        <v>1100</v>
      </c>
      <c r="E114" s="8">
        <f t="shared" si="27"/>
        <v>5761.1157034594789</v>
      </c>
      <c r="J114" s="85">
        <f>(J111-J112)/J112</f>
        <v>9.3195179664429476E-3</v>
      </c>
    </row>
    <row r="115" spans="4:10" x14ac:dyDescent="0.3">
      <c r="D115" s="14">
        <f t="shared" si="28"/>
        <v>1200</v>
      </c>
      <c r="E115" s="8">
        <f t="shared" si="27"/>
        <v>6564.3153862764266</v>
      </c>
    </row>
    <row r="116" spans="4:10" x14ac:dyDescent="0.3">
      <c r="D116" s="14">
        <f t="shared" si="28"/>
        <v>1300</v>
      </c>
      <c r="E116" s="8">
        <f t="shared" si="27"/>
        <v>7401.7190809163503</v>
      </c>
      <c r="H116" s="57"/>
    </row>
    <row r="117" spans="4:10" x14ac:dyDescent="0.3">
      <c r="D117" s="14">
        <f t="shared" si="28"/>
        <v>1400</v>
      </c>
      <c r="E117" s="8">
        <f t="shared" si="27"/>
        <v>8271.9828101996063</v>
      </c>
    </row>
    <row r="118" spans="4:10" x14ac:dyDescent="0.3">
      <c r="D118" s="14">
        <f t="shared" si="28"/>
        <v>1500</v>
      </c>
      <c r="E118" s="8">
        <f t="shared" si="27"/>
        <v>9173.9096434136736</v>
      </c>
    </row>
    <row r="119" spans="4:10" x14ac:dyDescent="0.3">
      <c r="D119" s="14">
        <f t="shared" si="28"/>
        <v>1600</v>
      </c>
      <c r="E119" s="8">
        <f t="shared" si="27"/>
        <v>10106.424680832792</v>
      </c>
    </row>
    <row r="120" spans="4:10" x14ac:dyDescent="0.3">
      <c r="D120" s="14">
        <f t="shared" si="28"/>
        <v>1700</v>
      </c>
      <c r="E120" s="8">
        <f t="shared" si="27"/>
        <v>11068.555621237321</v>
      </c>
    </row>
    <row r="121" spans="4:10" x14ac:dyDescent="0.3">
      <c r="D121" s="14">
        <f t="shared" si="28"/>
        <v>1800</v>
      </c>
      <c r="E121" s="8">
        <f t="shared" si="27"/>
        <v>12059.417405308426</v>
      </c>
    </row>
    <row r="122" spans="4:10" x14ac:dyDescent="0.3">
      <c r="D122" s="14">
        <f t="shared" si="28"/>
        <v>1900</v>
      </c>
      <c r="E122" s="8">
        <f t="shared" si="27"/>
        <v>13078.199897200835</v>
      </c>
    </row>
    <row r="123" spans="4:10" x14ac:dyDescent="0.3">
      <c r="D123" s="14">
        <f t="shared" si="28"/>
        <v>2000</v>
      </c>
      <c r="E123" s="8">
        <f t="shared" si="27"/>
        <v>14124.157872389836</v>
      </c>
    </row>
    <row r="124" spans="4:10" ht="15" thickBot="1" x14ac:dyDescent="0.35">
      <c r="D124" s="16">
        <f t="shared" si="28"/>
        <v>2100</v>
      </c>
      <c r="E124" s="10">
        <f t="shared" si="27"/>
        <v>15196.602784547029</v>
      </c>
    </row>
    <row r="126" spans="4:10" ht="15" thickBot="1" x14ac:dyDescent="0.35"/>
    <row r="127" spans="4:10" ht="19.2" x14ac:dyDescent="0.3">
      <c r="D127" s="12" t="s">
        <v>23</v>
      </c>
      <c r="E127" s="13" t="s">
        <v>63</v>
      </c>
    </row>
    <row r="128" spans="4:10" ht="15.6" x14ac:dyDescent="0.3">
      <c r="D128" s="14">
        <f>300</f>
        <v>300</v>
      </c>
      <c r="E128" s="48">
        <f>$B$135*EXP($B$134/($A$2*D128) )</f>
        <v>0</v>
      </c>
      <c r="G128" s="2" t="s">
        <v>65</v>
      </c>
      <c r="H128" s="6">
        <f>$B$135*EXP($B$134/($A$2*298.15) )</f>
        <v>0</v>
      </c>
    </row>
    <row r="129" spans="1:5" ht="15.6" x14ac:dyDescent="0.2">
      <c r="A129" s="44"/>
      <c r="D129" s="14">
        <f>D128+100</f>
        <v>400</v>
      </c>
      <c r="E129" s="48">
        <f t="shared" ref="E129:E146" si="29">$B$135*EXP($B$134/($A$2*D129) )</f>
        <v>0</v>
      </c>
    </row>
    <row r="130" spans="1:5" ht="15.6" x14ac:dyDescent="0.3">
      <c r="D130" s="14">
        <f t="shared" ref="D130:D146" si="30">D129+100</f>
        <v>500</v>
      </c>
      <c r="E130" s="48">
        <f t="shared" si="29"/>
        <v>0</v>
      </c>
    </row>
    <row r="131" spans="1:5" ht="15.6" x14ac:dyDescent="0.3">
      <c r="A131" s="45" t="s">
        <v>59</v>
      </c>
      <c r="B131" s="46">
        <v>-79.841641285099996</v>
      </c>
      <c r="D131" s="14">
        <f t="shared" si="30"/>
        <v>600</v>
      </c>
      <c r="E131" s="48">
        <f t="shared" si="29"/>
        <v>0</v>
      </c>
    </row>
    <row r="132" spans="1:5" ht="15.6" x14ac:dyDescent="0.3">
      <c r="A132" s="45" t="s">
        <v>60</v>
      </c>
      <c r="B132" s="47">
        <v>-3.48089130115946E-16</v>
      </c>
      <c r="D132" s="14">
        <f t="shared" si="30"/>
        <v>700</v>
      </c>
      <c r="E132" s="48">
        <f t="shared" si="29"/>
        <v>0</v>
      </c>
    </row>
    <row r="133" spans="1:5" ht="15.6" x14ac:dyDescent="0.3">
      <c r="A133" s="45" t="s">
        <v>61</v>
      </c>
      <c r="B133" s="45">
        <f>3.25263E-19</f>
        <v>3.2526300000000002E-19</v>
      </c>
      <c r="D133" s="14">
        <f t="shared" si="30"/>
        <v>800</v>
      </c>
      <c r="E133" s="48">
        <f t="shared" si="29"/>
        <v>0</v>
      </c>
    </row>
    <row r="134" spans="1:5" ht="19.2" x14ac:dyDescent="0.3">
      <c r="A134" s="45" t="s">
        <v>67</v>
      </c>
      <c r="B134" s="47">
        <f>B132+B133</f>
        <v>-3.4776386711594598E-16</v>
      </c>
      <c r="D134" s="14">
        <f t="shared" si="30"/>
        <v>900</v>
      </c>
      <c r="E134" s="48">
        <f t="shared" si="29"/>
        <v>0</v>
      </c>
    </row>
    <row r="135" spans="1:5" ht="19.2" x14ac:dyDescent="0.3">
      <c r="A135" s="45" t="s">
        <v>62</v>
      </c>
      <c r="B135" s="45">
        <v>1</v>
      </c>
      <c r="D135" s="14">
        <f t="shared" si="30"/>
        <v>1000</v>
      </c>
      <c r="E135" s="48">
        <f t="shared" si="29"/>
        <v>0</v>
      </c>
    </row>
    <row r="136" spans="1:5" ht="15.6" x14ac:dyDescent="0.3">
      <c r="A136" s="2" t="s">
        <v>66</v>
      </c>
      <c r="B136" s="3">
        <f>A2*D128</f>
        <v>4.1417999999999996E-21</v>
      </c>
      <c r="D136" s="14">
        <f t="shared" si="30"/>
        <v>1100</v>
      </c>
      <c r="E136" s="48">
        <f t="shared" si="29"/>
        <v>0</v>
      </c>
    </row>
    <row r="137" spans="1:5" ht="15.6" x14ac:dyDescent="0.3">
      <c r="D137" s="14">
        <f t="shared" si="30"/>
        <v>1200</v>
      </c>
      <c r="E137" s="48">
        <f t="shared" si="29"/>
        <v>0</v>
      </c>
    </row>
    <row r="138" spans="1:5" ht="15.6" x14ac:dyDescent="0.3">
      <c r="D138" s="14">
        <f t="shared" si="30"/>
        <v>1300</v>
      </c>
      <c r="E138" s="48">
        <f t="shared" si="29"/>
        <v>0</v>
      </c>
    </row>
    <row r="139" spans="1:5" ht="15.6" x14ac:dyDescent="0.3">
      <c r="D139" s="14">
        <f t="shared" si="30"/>
        <v>1400</v>
      </c>
      <c r="E139" s="48">
        <f t="shared" si="29"/>
        <v>0</v>
      </c>
    </row>
    <row r="140" spans="1:5" ht="15.6" x14ac:dyDescent="0.3">
      <c r="D140" s="14">
        <f t="shared" si="30"/>
        <v>1500</v>
      </c>
      <c r="E140" s="48">
        <f t="shared" si="29"/>
        <v>0</v>
      </c>
    </row>
    <row r="141" spans="1:5" ht="15.6" x14ac:dyDescent="0.3">
      <c r="D141" s="14">
        <f t="shared" si="30"/>
        <v>1600</v>
      </c>
      <c r="E141" s="48">
        <f t="shared" si="29"/>
        <v>0</v>
      </c>
    </row>
    <row r="142" spans="1:5" ht="15.6" x14ac:dyDescent="0.3">
      <c r="D142" s="14">
        <f t="shared" si="30"/>
        <v>1700</v>
      </c>
      <c r="E142" s="48">
        <f t="shared" si="29"/>
        <v>0</v>
      </c>
    </row>
    <row r="143" spans="1:5" ht="15.6" x14ac:dyDescent="0.3">
      <c r="D143" s="14">
        <f t="shared" si="30"/>
        <v>1800</v>
      </c>
      <c r="E143" s="48">
        <f t="shared" si="29"/>
        <v>0</v>
      </c>
    </row>
    <row r="144" spans="1:5" ht="15.6" x14ac:dyDescent="0.3">
      <c r="D144" s="14">
        <f t="shared" si="30"/>
        <v>1900</v>
      </c>
      <c r="E144" s="48">
        <f t="shared" si="29"/>
        <v>0</v>
      </c>
    </row>
    <row r="145" spans="4:13" ht="15.6" x14ac:dyDescent="0.3">
      <c r="D145" s="14">
        <f t="shared" si="30"/>
        <v>2000</v>
      </c>
      <c r="E145" s="48">
        <f t="shared" si="29"/>
        <v>0</v>
      </c>
    </row>
    <row r="146" spans="4:13" ht="16.2" thickBot="1" x14ac:dyDescent="0.35">
      <c r="D146" s="16">
        <f t="shared" si="30"/>
        <v>2100</v>
      </c>
      <c r="E146" s="49">
        <f t="shared" si="29"/>
        <v>0</v>
      </c>
    </row>
    <row r="151" spans="4:13" ht="15" thickBot="1" x14ac:dyDescent="0.35">
      <c r="H151" s="2" t="s">
        <v>68</v>
      </c>
    </row>
    <row r="152" spans="4:13" ht="20.399999999999999" x14ac:dyDescent="0.3">
      <c r="D152" s="58" t="s">
        <v>23</v>
      </c>
      <c r="E152" s="59" t="s">
        <v>53</v>
      </c>
      <c r="F152" s="59" t="s">
        <v>69</v>
      </c>
      <c r="G152" s="59" t="s">
        <v>70</v>
      </c>
      <c r="H152" s="59" t="s">
        <v>43</v>
      </c>
      <c r="I152" s="38" t="s">
        <v>71</v>
      </c>
    </row>
    <row r="153" spans="4:13" ht="15.6" x14ac:dyDescent="0.3">
      <c r="D153" s="56">
        <f>300</f>
        <v>300</v>
      </c>
      <c r="E153" s="3">
        <f xml:space="preserve"> ( SQRT($B$2)/$B$6) * SQRT(  (D153*D153*D153) / ($E$11 * $F$11 * $G$11 ) )</f>
        <v>820.53942328455332</v>
      </c>
      <c r="F153" s="47">
        <v>1</v>
      </c>
      <c r="G153" s="3">
        <f xml:space="preserve"> ( (2*$B$2*$E$2*$A$2*D153)/($C$2*$C$2) )^(1.5) * ($A$2*D153) /$F$83</f>
        <v>6570834.175262955</v>
      </c>
      <c r="H153" s="3">
        <f>(EXP((-$C$2*$D$54)/(2*$A$2*D153))/(1 - EXP((-$C$2*$D$54)/($A$2*D153))))</f>
        <v>0.61856049239669597</v>
      </c>
      <c r="I153" s="99">
        <f>PRODUCT(E153:H153)</f>
        <v>3335048370.2967219</v>
      </c>
      <c r="J153" s="41"/>
      <c r="K153" s="57"/>
      <c r="M153" s="3"/>
    </row>
    <row r="154" spans="4:13" ht="15.6" x14ac:dyDescent="0.3">
      <c r="D154" s="56">
        <f>D153+100</f>
        <v>400</v>
      </c>
      <c r="E154" s="3">
        <f t="shared" ref="E154:E171" si="31" xml:space="preserve"> ( SQRT($B$2)/$B$6) * SQRT(  (D154*D154*D154) / ($E$11 * $F$11 * $G$11 ) )</f>
        <v>1263.303085104099</v>
      </c>
      <c r="F154" s="47">
        <v>1</v>
      </c>
      <c r="G154" s="3">
        <f t="shared" ref="G154:G171" si="32" xml:space="preserve"> ( (2*$B$2*$E$2*$A$2*D154)/($C$2*$C$2) )^(1.5) * ($A$2*D154) /$F$83</f>
        <v>13488614.68404779</v>
      </c>
      <c r="H154" s="3">
        <f t="shared" ref="H154:H171" si="33">(EXP((-$C$2*$D$54)/(2*$A$2*D154))/(1 - EXP((-$C$2*$D$54)/($A$2*D154))))</f>
        <v>0.85733357828349888</v>
      </c>
      <c r="I154" s="8">
        <f>PRODUCT(E154:H154)</f>
        <v>14609142965.842905</v>
      </c>
      <c r="M154" s="60"/>
    </row>
    <row r="155" spans="4:13" ht="15.6" x14ac:dyDescent="0.3">
      <c r="D155" s="56">
        <f t="shared" ref="D155:D171" si="34">D154+100</f>
        <v>500</v>
      </c>
      <c r="E155" s="3">
        <f t="shared" si="31"/>
        <v>1765.5197340487296</v>
      </c>
      <c r="F155" s="47">
        <v>1</v>
      </c>
      <c r="G155" s="3">
        <f t="shared" si="32"/>
        <v>23563640.121744435</v>
      </c>
      <c r="H155" s="3">
        <f t="shared" si="33"/>
        <v>1.0912811948279353</v>
      </c>
      <c r="I155" s="8">
        <f t="shared" ref="I155:I171" si="35">PRODUCT(E155:H155)</f>
        <v>45399558447.666603</v>
      </c>
      <c r="J155" s="2" t="s">
        <v>92</v>
      </c>
    </row>
    <row r="156" spans="4:13" ht="16.2" thickBot="1" x14ac:dyDescent="0.35">
      <c r="D156" s="56">
        <f t="shared" si="34"/>
        <v>600</v>
      </c>
      <c r="E156" s="3">
        <f t="shared" si="31"/>
        <v>2320.8359617416263</v>
      </c>
      <c r="F156" s="47">
        <v>1</v>
      </c>
      <c r="G156" s="3">
        <f t="shared" si="32"/>
        <v>37170251.22704611</v>
      </c>
      <c r="H156" s="3">
        <f t="shared" si="33"/>
        <v>1.3225754869063275</v>
      </c>
      <c r="I156" s="8">
        <f t="shared" si="35"/>
        <v>114093370693.25998</v>
      </c>
    </row>
    <row r="157" spans="4:13" ht="16.2" thickBot="1" x14ac:dyDescent="0.35">
      <c r="D157" s="56">
        <f t="shared" si="34"/>
        <v>700</v>
      </c>
      <c r="E157" s="3">
        <f t="shared" si="31"/>
        <v>2924.5875694753477</v>
      </c>
      <c r="F157" s="47">
        <v>1</v>
      </c>
      <c r="G157" s="3">
        <f t="shared" si="32"/>
        <v>54646514.97667034</v>
      </c>
      <c r="H157" s="3">
        <f t="shared" si="33"/>
        <v>1.5522789126611671</v>
      </c>
      <c r="I157" s="8">
        <f t="shared" si="35"/>
        <v>248082915989.78067</v>
      </c>
      <c r="L157" s="37" t="s">
        <v>45</v>
      </c>
    </row>
    <row r="158" spans="4:13" ht="15.6" x14ac:dyDescent="0.3">
      <c r="D158" s="56">
        <f t="shared" si="34"/>
        <v>800</v>
      </c>
      <c r="E158" s="3">
        <f t="shared" si="31"/>
        <v>3573.1607126839781</v>
      </c>
      <c r="F158" s="47">
        <v>1</v>
      </c>
      <c r="G158" s="3">
        <f t="shared" si="32"/>
        <v>76303127.295221284</v>
      </c>
      <c r="H158" s="3">
        <f t="shared" si="33"/>
        <v>1.7809599420133959</v>
      </c>
      <c r="I158" s="8">
        <f t="shared" si="35"/>
        <v>485566861130.62909</v>
      </c>
      <c r="J158" s="40" t="s">
        <v>48</v>
      </c>
      <c r="K158" s="18" t="s">
        <v>91</v>
      </c>
      <c r="L158" s="42">
        <f>I153</f>
        <v>3335048370.2967219</v>
      </c>
    </row>
    <row r="159" spans="4:13" ht="16.2" thickBot="1" x14ac:dyDescent="0.35">
      <c r="D159" s="56">
        <f t="shared" si="34"/>
        <v>900</v>
      </c>
      <c r="E159" s="3">
        <f t="shared" si="31"/>
        <v>4263.6479122263336</v>
      </c>
      <c r="F159" s="47">
        <v>1</v>
      </c>
      <c r="G159" s="3">
        <f t="shared" si="32"/>
        <v>102429167.75698808</v>
      </c>
      <c r="H159" s="3">
        <f t="shared" si="33"/>
        <v>2.0089472291442281</v>
      </c>
      <c r="I159" s="8">
        <f t="shared" si="35"/>
        <v>877351265492.86926</v>
      </c>
      <c r="J159" s="41" t="s">
        <v>49</v>
      </c>
      <c r="K159" s="16" t="s">
        <v>91</v>
      </c>
      <c r="L159" s="43">
        <v>7190000000</v>
      </c>
    </row>
    <row r="160" spans="4:13" ht="15.6" x14ac:dyDescent="0.3">
      <c r="D160" s="56">
        <f t="shared" si="34"/>
        <v>1000</v>
      </c>
      <c r="E160" s="3">
        <f t="shared" si="31"/>
        <v>4993.6439050581057</v>
      </c>
      <c r="F160" s="47">
        <v>1</v>
      </c>
      <c r="G160" s="3">
        <f t="shared" si="32"/>
        <v>133296077.75619954</v>
      </c>
      <c r="H160" s="3">
        <f t="shared" si="33"/>
        <v>2.2364430745629122</v>
      </c>
      <c r="I160" s="8">
        <f t="shared" si="35"/>
        <v>1488650640142.4053</v>
      </c>
      <c r="L160" s="1" t="s">
        <v>90</v>
      </c>
    </row>
    <row r="161" spans="1:12" ht="15.6" x14ac:dyDescent="0.3">
      <c r="D161" s="56">
        <f t="shared" si="34"/>
        <v>1100</v>
      </c>
      <c r="E161" s="3">
        <f t="shared" si="31"/>
        <v>5761.1157034594789</v>
      </c>
      <c r="F161" s="47">
        <v>1</v>
      </c>
      <c r="G161" s="3">
        <f t="shared" si="32"/>
        <v>169160547.99026376</v>
      </c>
      <c r="H161" s="3">
        <f t="shared" si="33"/>
        <v>2.4635784815973003</v>
      </c>
      <c r="I161" s="8">
        <f t="shared" si="35"/>
        <v>2400889005731.5166</v>
      </c>
      <c r="L161" s="85">
        <f>ABS(L158-L159)/L159</f>
        <v>0.53615460774732659</v>
      </c>
    </row>
    <row r="162" spans="1:12" ht="15.6" x14ac:dyDescent="0.3">
      <c r="D162" s="56">
        <f t="shared" si="34"/>
        <v>1200</v>
      </c>
      <c r="E162" s="3">
        <f t="shared" si="31"/>
        <v>6564.3153862764266</v>
      </c>
      <c r="F162" s="47">
        <v>1</v>
      </c>
      <c r="G162" s="3">
        <f t="shared" si="32"/>
        <v>210266693.60841274</v>
      </c>
      <c r="H162" s="3">
        <f t="shared" si="33"/>
        <v>2.6904418816380171</v>
      </c>
      <c r="I162" s="8">
        <f t="shared" si="35"/>
        <v>3713500949858.5757</v>
      </c>
      <c r="J162" s="2" t="s">
        <v>64</v>
      </c>
    </row>
    <row r="163" spans="1:12" ht="15.6" x14ac:dyDescent="0.3">
      <c r="D163" s="56">
        <f t="shared" si="34"/>
        <v>1300</v>
      </c>
      <c r="E163" s="3">
        <f t="shared" si="31"/>
        <v>7401.7190809163503</v>
      </c>
      <c r="F163" s="47">
        <v>1</v>
      </c>
      <c r="G163" s="3">
        <f t="shared" si="32"/>
        <v>256847741.48233187</v>
      </c>
      <c r="H163" s="3">
        <f t="shared" si="33"/>
        <v>2.9170950641770497</v>
      </c>
      <c r="I163" s="8">
        <f t="shared" si="35"/>
        <v>5545732684168.1719</v>
      </c>
      <c r="J163" s="57">
        <f>L158/L159</f>
        <v>0.46384539225267341</v>
      </c>
    </row>
    <row r="164" spans="1:12" ht="15.6" x14ac:dyDescent="0.3">
      <c r="D164" s="56">
        <f t="shared" si="34"/>
        <v>1400</v>
      </c>
      <c r="E164" s="3">
        <f t="shared" si="31"/>
        <v>8271.9828101996063</v>
      </c>
      <c r="F164" s="47">
        <v>1</v>
      </c>
      <c r="G164" s="3">
        <f t="shared" si="32"/>
        <v>309127370.46572745</v>
      </c>
      <c r="H164" s="3">
        <f t="shared" si="33"/>
        <v>3.1435824759983948</v>
      </c>
      <c r="I164" s="8">
        <f t="shared" si="35"/>
        <v>8038443101316.9521</v>
      </c>
    </row>
    <row r="165" spans="1:12" ht="15.6" x14ac:dyDescent="0.3">
      <c r="D165" s="56">
        <f t="shared" si="34"/>
        <v>1500</v>
      </c>
      <c r="E165" s="3">
        <f t="shared" si="31"/>
        <v>9173.9096434136736</v>
      </c>
      <c r="F165" s="47">
        <v>1</v>
      </c>
      <c r="G165" s="3">
        <f t="shared" si="32"/>
        <v>367320797.11916727</v>
      </c>
      <c r="H165" s="3">
        <f t="shared" si="33"/>
        <v>3.3699368906173963</v>
      </c>
      <c r="I165" s="8">
        <f t="shared" si="35"/>
        <v>11355904831867.852</v>
      </c>
    </row>
    <row r="166" spans="1:12" ht="15.6" x14ac:dyDescent="0.3">
      <c r="D166" s="56">
        <f t="shared" si="34"/>
        <v>1600</v>
      </c>
      <c r="E166" s="3">
        <f t="shared" si="31"/>
        <v>10106.424680832792</v>
      </c>
      <c r="F166" s="47">
        <v>1</v>
      </c>
      <c r="G166" s="3">
        <f t="shared" si="32"/>
        <v>431635669.88953167</v>
      </c>
      <c r="H166" s="3">
        <f t="shared" si="33"/>
        <v>3.5961829955808118</v>
      </c>
      <c r="I166" s="8">
        <f t="shared" si="35"/>
        <v>15687605301140.572</v>
      </c>
    </row>
    <row r="167" spans="1:12" ht="15.6" x14ac:dyDescent="0.3">
      <c r="D167" s="56">
        <f t="shared" si="34"/>
        <v>1700</v>
      </c>
      <c r="E167" s="3">
        <f t="shared" si="31"/>
        <v>11068.555621237321</v>
      </c>
      <c r="F167" s="47">
        <v>1</v>
      </c>
      <c r="G167" s="3">
        <f t="shared" si="32"/>
        <v>502272815.99170166</v>
      </c>
      <c r="H167" s="3">
        <f t="shared" si="33"/>
        <v>3.8223397362798694</v>
      </c>
      <c r="I167" s="8">
        <f t="shared" si="35"/>
        <v>21250047786038.602</v>
      </c>
    </row>
    <row r="168" spans="1:12" ht="15.6" x14ac:dyDescent="0.3">
      <c r="D168" s="56">
        <f t="shared" si="34"/>
        <v>1800</v>
      </c>
      <c r="E168" s="3">
        <f t="shared" si="31"/>
        <v>12059.417405308426</v>
      </c>
      <c r="F168" s="47">
        <v>1</v>
      </c>
      <c r="G168" s="3">
        <f t="shared" si="32"/>
        <v>579426872.89808738</v>
      </c>
      <c r="H168" s="3">
        <f t="shared" si="33"/>
        <v>4.0484218906979734</v>
      </c>
      <c r="I168" s="8">
        <f t="shared" si="35"/>
        <v>28288552471861.156</v>
      </c>
    </row>
    <row r="169" spans="1:12" ht="15.6" x14ac:dyDescent="0.3">
      <c r="D169" s="56">
        <f t="shared" si="34"/>
        <v>1900</v>
      </c>
      <c r="E169" s="3">
        <f t="shared" si="31"/>
        <v>13078.199897200835</v>
      </c>
      <c r="F169" s="47">
        <v>1</v>
      </c>
      <c r="G169" s="3">
        <f t="shared" si="32"/>
        <v>663286827.96563458</v>
      </c>
      <c r="H169" s="3">
        <f t="shared" si="33"/>
        <v>4.2744411537259026</v>
      </c>
      <c r="I169" s="8">
        <f t="shared" si="35"/>
        <v>37079057509102.813</v>
      </c>
    </row>
    <row r="170" spans="1:12" ht="15.6" x14ac:dyDescent="0.3">
      <c r="D170" s="56">
        <f t="shared" si="34"/>
        <v>2000</v>
      </c>
      <c r="E170" s="3">
        <f t="shared" si="31"/>
        <v>14124.157872389836</v>
      </c>
      <c r="F170" s="47">
        <v>1</v>
      </c>
      <c r="G170" s="3">
        <f t="shared" si="32"/>
        <v>754036483.89582622</v>
      </c>
      <c r="H170" s="3">
        <f t="shared" si="33"/>
        <v>4.5004069001716474</v>
      </c>
      <c r="I170" s="8">
        <f t="shared" si="35"/>
        <v>47929920070252.188</v>
      </c>
    </row>
    <row r="171" spans="1:12" ht="16.2" thickBot="1" x14ac:dyDescent="0.35">
      <c r="D171" s="31">
        <f t="shared" si="34"/>
        <v>2100</v>
      </c>
      <c r="E171" s="3">
        <f t="shared" si="31"/>
        <v>15196.602784547029</v>
      </c>
      <c r="F171" s="55">
        <v>1</v>
      </c>
      <c r="G171" s="9">
        <f t="shared" si="32"/>
        <v>851854863.56550872</v>
      </c>
      <c r="H171" s="9">
        <f t="shared" si="33"/>
        <v>4.7263267321618168</v>
      </c>
      <c r="I171" s="10">
        <f t="shared" si="35"/>
        <v>61183717406576.414</v>
      </c>
    </row>
    <row r="174" spans="1:12" ht="15" thickBot="1" x14ac:dyDescent="0.35">
      <c r="A174" s="2" t="s">
        <v>72</v>
      </c>
      <c r="B174" s="139" t="s">
        <v>86</v>
      </c>
      <c r="C174" s="139"/>
      <c r="D174" s="139"/>
      <c r="E174" s="139"/>
      <c r="F174" s="139"/>
      <c r="G174" s="61"/>
      <c r="H174" s="139" t="s">
        <v>87</v>
      </c>
      <c r="I174" s="139"/>
      <c r="J174" s="139"/>
      <c r="K174" s="139"/>
    </row>
    <row r="175" spans="1:12" ht="18" x14ac:dyDescent="0.3">
      <c r="A175" s="2" t="s">
        <v>85</v>
      </c>
      <c r="B175" s="62" t="s">
        <v>23</v>
      </c>
      <c r="C175" s="37" t="s">
        <v>73</v>
      </c>
      <c r="D175" s="37" t="s">
        <v>10</v>
      </c>
      <c r="E175" s="37" t="s">
        <v>11</v>
      </c>
      <c r="F175" s="37" t="s">
        <v>74</v>
      </c>
      <c r="G175" s="61" t="s">
        <v>75</v>
      </c>
      <c r="H175" s="62" t="s">
        <v>23</v>
      </c>
      <c r="I175" s="37" t="s">
        <v>73</v>
      </c>
      <c r="J175" s="37" t="s">
        <v>10</v>
      </c>
      <c r="K175" s="37" t="s">
        <v>11</v>
      </c>
      <c r="L175" s="37" t="s">
        <v>74</v>
      </c>
    </row>
    <row r="176" spans="1:12" ht="15" thickBot="1" x14ac:dyDescent="0.35">
      <c r="B176" s="14">
        <f>300</f>
        <v>300</v>
      </c>
      <c r="C176" s="63">
        <f>3/2*$D$2*B176</f>
        <v>3741.5124000000001</v>
      </c>
      <c r="D176" s="63">
        <f t="shared" ref="D176:D194" si="36">3/2*$D$2*B176</f>
        <v>3741.5124000000001</v>
      </c>
      <c r="E176" s="63" cm="1">
        <f t="array" ref="E176">$D$2*SUM( ($B$12:$B$29)/(EXP($B$12:$B$29/B176)-1) + 0.5*$B$12:$B$29)</f>
        <v>197628.14633536077</v>
      </c>
      <c r="F176" s="64">
        <v>0</v>
      </c>
      <c r="H176" s="73">
        <f>300</f>
        <v>300</v>
      </c>
      <c r="I176" s="86">
        <f>3/2*$D$2*H176 /4184</f>
        <v>0.89424292543021033</v>
      </c>
      <c r="J176" s="86">
        <f>3/2*$D$2*H176 / 4184</f>
        <v>0.89424292543021033</v>
      </c>
      <c r="K176" s="86" cm="1">
        <f t="array" ref="K176">$D$2*SUM( ($B$12:$B$29)/(EXP($B$12:$B$29/H176)-1) + 0.5*$B$12:$B$29) / 4184</f>
        <v>47.234260596405541</v>
      </c>
      <c r="L176" s="87">
        <f xml:space="preserve"> F176/4184</f>
        <v>0</v>
      </c>
    </row>
    <row r="177" spans="2:14" x14ac:dyDescent="0.3">
      <c r="B177" s="14">
        <f>B176+100</f>
        <v>400</v>
      </c>
      <c r="C177" s="63">
        <f t="shared" ref="C177:C194" si="37">3/2*$D$2*B177</f>
        <v>4988.6831999999995</v>
      </c>
      <c r="D177" s="63">
        <f t="shared" si="36"/>
        <v>4988.6831999999995</v>
      </c>
      <c r="E177" s="63" cm="1">
        <f t="array" ref="E177">$D$2*SUM( ($B$12:$B$29)/(EXP($B$12:$B$29/B177)-1) + 0.5*$B$12:$B$29)</f>
        <v>200002.7166456345</v>
      </c>
      <c r="H177" s="14">
        <f>H176+100</f>
        <v>400</v>
      </c>
      <c r="I177" s="63">
        <f t="shared" ref="I177:I194" si="38">3/2*$D$2*H177 /4184</f>
        <v>1.1923239005736137</v>
      </c>
      <c r="J177" s="63">
        <f t="shared" ref="J177:J194" si="39">3/2*$D$2*H177 / 4184</f>
        <v>1.1923239005736137</v>
      </c>
      <c r="K177" s="63" cm="1">
        <f t="array" ref="K177">$D$2*SUM( ($B$12:$B$29)/(EXP($B$12:$B$29/H177)-1) + 0.5*$B$12:$B$29) / 4184</f>
        <v>47.801796521423157</v>
      </c>
      <c r="M177" s="144" t="s">
        <v>93</v>
      </c>
      <c r="N177" s="144"/>
    </row>
    <row r="178" spans="2:14" ht="18.600000000000001" thickBot="1" x14ac:dyDescent="0.35">
      <c r="B178" s="14">
        <f t="shared" ref="B178:B194" si="40">B177+100</f>
        <v>500</v>
      </c>
      <c r="C178" s="63">
        <f t="shared" si="37"/>
        <v>6235.8539999999994</v>
      </c>
      <c r="D178" s="63">
        <f t="shared" si="36"/>
        <v>6235.8539999999994</v>
      </c>
      <c r="E178" s="63" cm="1">
        <f t="array" ref="E178">$D$2*SUM( ($B$12:$B$29)/(EXP($B$12:$B$29/B178)-1) + 0.5*$B$12:$B$29)</f>
        <v>203671.68310197131</v>
      </c>
      <c r="H178" s="14">
        <f t="shared" ref="H178:H194" si="41">H177+100</f>
        <v>500</v>
      </c>
      <c r="I178" s="63">
        <f t="shared" si="38"/>
        <v>1.490404875717017</v>
      </c>
      <c r="J178" s="63">
        <f t="shared" si="39"/>
        <v>1.490404875717017</v>
      </c>
      <c r="K178" s="63" cm="1">
        <f t="array" ref="K178">$D$2*SUM( ($B$12:$B$29)/(EXP($B$12:$B$29/H178)-1) + 0.5*$B$12:$B$29) / 4184</f>
        <v>48.678700550184345</v>
      </c>
      <c r="M178" s="143" t="s">
        <v>88</v>
      </c>
      <c r="N178" s="143"/>
    </row>
    <row r="179" spans="2:14" x14ac:dyDescent="0.3">
      <c r="B179" s="14">
        <f t="shared" si="40"/>
        <v>600</v>
      </c>
      <c r="C179" s="63">
        <f t="shared" si="37"/>
        <v>7483.0248000000001</v>
      </c>
      <c r="D179" s="63">
        <f t="shared" si="36"/>
        <v>7483.0248000000001</v>
      </c>
      <c r="E179" s="63" cm="1">
        <f t="array" ref="E179">$D$2*SUM( ($B$12:$B$29)/(EXP($B$12:$B$29/B179)-1) + 0.5*$B$12:$B$29)</f>
        <v>208572.74779279777</v>
      </c>
      <c r="H179" s="14">
        <f t="shared" si="41"/>
        <v>600</v>
      </c>
      <c r="I179" s="63">
        <f t="shared" si="38"/>
        <v>1.7884858508604207</v>
      </c>
      <c r="J179" s="63">
        <f t="shared" si="39"/>
        <v>1.7884858508604207</v>
      </c>
      <c r="K179" s="63" cm="1">
        <f t="array" ref="K179">$D$2*SUM( ($B$12:$B$29)/(EXP($B$12:$B$29/H179)-1) + 0.5*$B$12:$B$29) / 4184</f>
        <v>49.850083124473656</v>
      </c>
      <c r="M179" s="72"/>
      <c r="N179" s="68" t="s">
        <v>21</v>
      </c>
    </row>
    <row r="180" spans="2:14" x14ac:dyDescent="0.3">
      <c r="B180" s="14">
        <f t="shared" si="40"/>
        <v>700</v>
      </c>
      <c r="C180" s="63">
        <f t="shared" si="37"/>
        <v>8730.1955999999991</v>
      </c>
      <c r="D180" s="63">
        <f t="shared" si="36"/>
        <v>8730.1955999999991</v>
      </c>
      <c r="E180" s="63" cm="1">
        <f t="array" ref="E180">$D$2*SUM( ($B$12:$B$29)/(EXP($B$12:$B$29/B180)-1) + 0.5*$B$12:$B$29)</f>
        <v>214578.17908744179</v>
      </c>
      <c r="H180" s="14">
        <f t="shared" si="41"/>
        <v>700</v>
      </c>
      <c r="I180" s="63">
        <f t="shared" si="38"/>
        <v>2.0865668260038239</v>
      </c>
      <c r="J180" s="63">
        <f t="shared" si="39"/>
        <v>2.0865668260038239</v>
      </c>
      <c r="K180" s="63" cm="1">
        <f t="array" ref="K180">$D$2*SUM( ($B$12:$B$29)/(EXP($B$12:$B$29/H180)-1) + 0.5*$B$12:$B$29) / 4184</f>
        <v>51.285415651874231</v>
      </c>
      <c r="M180" s="73"/>
      <c r="N180" s="78" t="s">
        <v>4</v>
      </c>
    </row>
    <row r="181" spans="2:14" x14ac:dyDescent="0.3">
      <c r="B181" s="14">
        <f t="shared" si="40"/>
        <v>800</v>
      </c>
      <c r="C181" s="63">
        <f t="shared" si="37"/>
        <v>9977.366399999999</v>
      </c>
      <c r="D181" s="63">
        <f t="shared" si="36"/>
        <v>9977.366399999999</v>
      </c>
      <c r="E181" s="63" cm="1">
        <f t="array" ref="E181">$D$2*SUM( ($B$12:$B$29)/(EXP($B$12:$B$29/B181)-1) + 0.5*$B$12:$B$29)</f>
        <v>221560.47683012913</v>
      </c>
      <c r="H181" s="14">
        <f t="shared" si="41"/>
        <v>800</v>
      </c>
      <c r="I181" s="63">
        <f t="shared" si="38"/>
        <v>2.3846478011472274</v>
      </c>
      <c r="J181" s="63">
        <f t="shared" si="39"/>
        <v>2.3846478011472274</v>
      </c>
      <c r="K181" s="63" cm="1">
        <f t="array" ref="K181">$D$2*SUM( ($B$12:$B$29)/(EXP($B$12:$B$29/H181)-1) + 0.5*$B$12:$B$29) / 4184</f>
        <v>52.954224863797592</v>
      </c>
      <c r="M181" s="73" t="s">
        <v>6</v>
      </c>
      <c r="N181" s="97">
        <v>49.003999999999998</v>
      </c>
    </row>
    <row r="182" spans="2:14" x14ac:dyDescent="0.3">
      <c r="B182" s="14">
        <f t="shared" si="40"/>
        <v>900</v>
      </c>
      <c r="C182" s="63">
        <f t="shared" si="37"/>
        <v>11224.537199999999</v>
      </c>
      <c r="D182" s="63">
        <f t="shared" si="36"/>
        <v>11224.537199999999</v>
      </c>
      <c r="E182" s="63" cm="1">
        <f t="array" ref="E182">$D$2*SUM( ($B$12:$B$29)/(EXP($B$12:$B$29/B182)-1) + 0.5*$B$12:$B$29)</f>
        <v>229405.64190661631</v>
      </c>
      <c r="H182" s="14">
        <f t="shared" si="41"/>
        <v>900</v>
      </c>
      <c r="I182" s="63">
        <f t="shared" si="38"/>
        <v>2.6827287762906309</v>
      </c>
      <c r="J182" s="63">
        <f t="shared" si="39"/>
        <v>2.6827287762906309</v>
      </c>
      <c r="K182" s="63" cm="1">
        <f t="array" ref="K182">$D$2*SUM( ($B$12:$B$29)/(EXP($B$12:$B$29/H182)-1) + 0.5*$B$12:$B$29) / 4184</f>
        <v>54.829264318024933</v>
      </c>
      <c r="M182" s="73" t="s">
        <v>7</v>
      </c>
      <c r="N182" s="80" t="s">
        <v>8</v>
      </c>
    </row>
    <row r="183" spans="2:14" x14ac:dyDescent="0.3">
      <c r="B183" s="14">
        <f t="shared" si="40"/>
        <v>1000</v>
      </c>
      <c r="C183" s="63">
        <f t="shared" si="37"/>
        <v>12471.707999999999</v>
      </c>
      <c r="D183" s="63">
        <f t="shared" si="36"/>
        <v>12471.707999999999</v>
      </c>
      <c r="E183" s="63" cm="1">
        <f t="array" ref="E183">$D$2*SUM( ($B$12:$B$29)/(EXP($B$12:$B$29/B183)-1) + 0.5*$B$12:$B$29)</f>
        <v>238012.2286667891</v>
      </c>
      <c r="H183" s="14">
        <f t="shared" si="41"/>
        <v>1000</v>
      </c>
      <c r="I183" s="63">
        <f t="shared" si="38"/>
        <v>2.9808097514340339</v>
      </c>
      <c r="J183" s="63">
        <f t="shared" si="39"/>
        <v>2.9808097514340339</v>
      </c>
      <c r="K183" s="63" cm="1">
        <f t="array" ref="K183">$D$2*SUM( ($B$12:$B$29)/(EXP($B$12:$B$29/H183)-1) + 0.5*$B$12:$B$29) / 4184</f>
        <v>56.886287922272729</v>
      </c>
      <c r="M183" s="73" t="s">
        <v>9</v>
      </c>
      <c r="N183" s="80">
        <v>0.88900000000000001</v>
      </c>
    </row>
    <row r="184" spans="2:14" x14ac:dyDescent="0.3">
      <c r="B184" s="14">
        <f t="shared" si="40"/>
        <v>1100</v>
      </c>
      <c r="C184" s="63">
        <f t="shared" si="37"/>
        <v>13718.8788</v>
      </c>
      <c r="D184" s="63">
        <f t="shared" si="36"/>
        <v>13718.8788</v>
      </c>
      <c r="E184" s="63" cm="1">
        <f t="array" ref="E184">$D$2*SUM( ($B$12:$B$29)/(EXP($B$12:$B$29/B184)-1) + 0.5*$B$12:$B$29)</f>
        <v>247289.35315256854</v>
      </c>
      <c r="H184" s="14">
        <f t="shared" si="41"/>
        <v>1100</v>
      </c>
      <c r="I184" s="63">
        <f t="shared" si="38"/>
        <v>3.2788907265774379</v>
      </c>
      <c r="J184" s="63">
        <f t="shared" si="39"/>
        <v>3.2788907265774379</v>
      </c>
      <c r="K184" s="63" cm="1">
        <f t="array" ref="K184">$D$2*SUM( ($B$12:$B$29)/(EXP($B$12:$B$29/H184)-1) + 0.5*$B$12:$B$29) / 4184</f>
        <v>59.103573889237225</v>
      </c>
      <c r="M184" s="73" t="s">
        <v>10</v>
      </c>
      <c r="N184" s="80">
        <v>0.88900000000000001</v>
      </c>
    </row>
    <row r="185" spans="2:14" x14ac:dyDescent="0.3">
      <c r="B185" s="14">
        <f t="shared" si="40"/>
        <v>1200</v>
      </c>
      <c r="C185" s="63">
        <f t="shared" si="37"/>
        <v>14966.0496</v>
      </c>
      <c r="D185" s="63">
        <f t="shared" si="36"/>
        <v>14966.0496</v>
      </c>
      <c r="E185" s="63" cm="1">
        <f t="array" ref="E185">$D$2*SUM( ($B$12:$B$29)/(EXP($B$12:$B$29/B185)-1) + 0.5*$B$12:$B$29)</f>
        <v>257155.67723783533</v>
      </c>
      <c r="H185" s="14">
        <f t="shared" si="41"/>
        <v>1200</v>
      </c>
      <c r="I185" s="63">
        <f t="shared" si="38"/>
        <v>3.5769717017208413</v>
      </c>
      <c r="J185" s="63">
        <f t="shared" si="39"/>
        <v>3.5769717017208413</v>
      </c>
      <c r="K185" s="63" cm="1">
        <f t="array" ref="K185">$D$2*SUM( ($B$12:$B$29)/(EXP($B$12:$B$29/H185)-1) + 0.5*$B$12:$B$29) / 4184</f>
        <v>61.46168194020921</v>
      </c>
      <c r="M185" s="73" t="s">
        <v>11</v>
      </c>
      <c r="N185" s="80">
        <v>47.226999999999997</v>
      </c>
    </row>
    <row r="186" spans="2:14" ht="15" thickBot="1" x14ac:dyDescent="0.35">
      <c r="B186" s="14">
        <f t="shared" si="40"/>
        <v>1300</v>
      </c>
      <c r="C186" s="63">
        <f t="shared" si="37"/>
        <v>16213.2204</v>
      </c>
      <c r="D186" s="63">
        <f t="shared" si="36"/>
        <v>16213.2204</v>
      </c>
      <c r="E186" s="63" cm="1">
        <f t="array" ref="E186">$D$2*SUM( ($B$12:$B$29)/(EXP($B$12:$B$29/B186)-1) + 0.5*$B$12:$B$29)</f>
        <v>267538.90222444822</v>
      </c>
      <c r="H186" s="14">
        <f t="shared" si="41"/>
        <v>1300</v>
      </c>
      <c r="I186" s="63">
        <f t="shared" si="38"/>
        <v>3.8750526768642448</v>
      </c>
      <c r="J186" s="63">
        <f t="shared" si="39"/>
        <v>3.8750526768642448</v>
      </c>
      <c r="K186" s="63" cm="1">
        <f t="array" ref="K186">$D$2*SUM( ($B$12:$B$29)/(EXP($B$12:$B$29/H186)-1) + 0.5*$B$12:$B$29) / 4184</f>
        <v>63.943332271617642</v>
      </c>
      <c r="M186" s="74" t="s">
        <v>12</v>
      </c>
      <c r="N186" s="82">
        <v>0.69799999999999995</v>
      </c>
    </row>
    <row r="187" spans="2:14" x14ac:dyDescent="0.3">
      <c r="B187" s="14">
        <f t="shared" si="40"/>
        <v>1400</v>
      </c>
      <c r="C187" s="63">
        <f t="shared" si="37"/>
        <v>17460.391199999998</v>
      </c>
      <c r="D187" s="63">
        <f t="shared" si="36"/>
        <v>17460.391199999998</v>
      </c>
      <c r="E187" s="63" cm="1">
        <f t="array" ref="E187">$D$2*SUM( ($B$12:$B$29)/(EXP($B$12:$B$29/B187)-1) + 0.5*$B$12:$B$29)</f>
        <v>278375.30006629758</v>
      </c>
      <c r="H187" s="14">
        <f t="shared" si="41"/>
        <v>1400</v>
      </c>
      <c r="I187" s="63">
        <f t="shared" si="38"/>
        <v>4.1731336520076479</v>
      </c>
      <c r="J187" s="63">
        <f t="shared" si="39"/>
        <v>4.1731336520076479</v>
      </c>
      <c r="K187" s="63" cm="1">
        <f t="array" ref="K187">$D$2*SUM( ($B$12:$B$29)/(EXP($B$12:$B$29/H187)-1) + 0.5*$B$12:$B$29) / 4184</f>
        <v>66.533293514889479</v>
      </c>
    </row>
    <row r="188" spans="2:14" x14ac:dyDescent="0.3">
      <c r="B188" s="14">
        <f t="shared" si="40"/>
        <v>1500</v>
      </c>
      <c r="C188" s="63">
        <f t="shared" si="37"/>
        <v>18707.561999999998</v>
      </c>
      <c r="D188" s="63">
        <f t="shared" si="36"/>
        <v>18707.561999999998</v>
      </c>
      <c r="E188" s="63" cm="1">
        <f t="array" ref="E188">$D$2*SUM( ($B$12:$B$29)/(EXP($B$12:$B$29/B188)-1) + 0.5*$B$12:$B$29)</f>
        <v>289609.11362967367</v>
      </c>
      <c r="H188" s="14">
        <f t="shared" si="41"/>
        <v>1500</v>
      </c>
      <c r="I188" s="63">
        <f t="shared" si="38"/>
        <v>4.4712146271510509</v>
      </c>
      <c r="J188" s="63">
        <f t="shared" si="39"/>
        <v>4.4712146271510509</v>
      </c>
      <c r="K188" s="63" cm="1">
        <f t="array" ref="K188">$D$2*SUM( ($B$12:$B$29)/(EXP($B$12:$B$29/H188)-1) + 0.5*$B$12:$B$29) / 4184</f>
        <v>69.218239395237489</v>
      </c>
    </row>
    <row r="189" spans="2:14" x14ac:dyDescent="0.3">
      <c r="B189" s="14">
        <f t="shared" si="40"/>
        <v>1600</v>
      </c>
      <c r="C189" s="63">
        <f t="shared" si="37"/>
        <v>19954.732799999998</v>
      </c>
      <c r="D189" s="63">
        <f t="shared" si="36"/>
        <v>19954.732799999998</v>
      </c>
      <c r="E189" s="63" cm="1">
        <f t="array" ref="E189">$D$2*SUM( ($B$12:$B$29)/(EXP($B$12:$B$29/B189)-1) + 0.5*$B$12:$B$29)</f>
        <v>301191.83228922397</v>
      </c>
      <c r="H189" s="14">
        <f t="shared" si="41"/>
        <v>1600</v>
      </c>
      <c r="I189" s="63">
        <f t="shared" si="38"/>
        <v>4.7692956022944548</v>
      </c>
      <c r="J189" s="63">
        <f t="shared" si="39"/>
        <v>4.7692956022944548</v>
      </c>
      <c r="K189" s="63" cm="1">
        <f t="array" ref="K189">$D$2*SUM( ($B$12:$B$29)/(EXP($B$12:$B$29/H189)-1) + 0.5*$B$12:$B$29) / 4184</f>
        <v>71.986575594938813</v>
      </c>
      <c r="M189" s="2" t="s">
        <v>99</v>
      </c>
      <c r="N189" s="98">
        <f>SUM(I176:L176)</f>
        <v>49.022746447265959</v>
      </c>
    </row>
    <row r="190" spans="2:14" x14ac:dyDescent="0.3">
      <c r="B190" s="14">
        <f t="shared" si="40"/>
        <v>1700</v>
      </c>
      <c r="C190" s="63">
        <f t="shared" si="37"/>
        <v>21201.903599999998</v>
      </c>
      <c r="D190" s="63">
        <f t="shared" si="36"/>
        <v>21201.903599999998</v>
      </c>
      <c r="E190" s="63" cm="1">
        <f t="array" ref="E190">$D$2*SUM( ($B$12:$B$29)/(EXP($B$12:$B$29/B190)-1) + 0.5*$B$12:$B$29)</f>
        <v>313081.40511063341</v>
      </c>
      <c r="H190" s="14">
        <f t="shared" si="41"/>
        <v>1700</v>
      </c>
      <c r="I190" s="63">
        <f t="shared" si="38"/>
        <v>5.0673765774378579</v>
      </c>
      <c r="J190" s="63">
        <f t="shared" si="39"/>
        <v>5.0673765774378579</v>
      </c>
      <c r="K190" s="63" cm="1">
        <f t="array" ref="K190">$D$2*SUM( ($B$12:$B$29)/(EXP($B$12:$B$29/H190)-1) + 0.5*$B$12:$B$29) / 4184</f>
        <v>74.828251699482166</v>
      </c>
    </row>
    <row r="191" spans="2:14" x14ac:dyDescent="0.3">
      <c r="B191" s="14">
        <f t="shared" si="40"/>
        <v>1800</v>
      </c>
      <c r="C191" s="63">
        <f t="shared" si="37"/>
        <v>22449.074399999998</v>
      </c>
      <c r="D191" s="63">
        <f t="shared" si="36"/>
        <v>22449.074399999998</v>
      </c>
      <c r="E191" s="63" cm="1">
        <f t="array" ref="E191">$D$2*SUM( ($B$12:$B$29)/(EXP($B$12:$B$29/B191)-1) + 0.5*$B$12:$B$29)</f>
        <v>325241.45312002173</v>
      </c>
      <c r="H191" s="14">
        <f t="shared" si="41"/>
        <v>1800</v>
      </c>
      <c r="I191" s="63">
        <f t="shared" si="38"/>
        <v>5.3654575525812618</v>
      </c>
      <c r="J191" s="63">
        <f t="shared" si="39"/>
        <v>5.3654575525812618</v>
      </c>
      <c r="K191" s="63" cm="1">
        <f t="array" ref="K191">$D$2*SUM( ($B$12:$B$29)/(EXP($B$12:$B$29/H191)-1) + 0.5*$B$12:$B$29) / 4184</f>
        <v>77.734572925435401</v>
      </c>
    </row>
    <row r="192" spans="2:14" x14ac:dyDescent="0.3">
      <c r="B192" s="14">
        <f t="shared" si="40"/>
        <v>1900</v>
      </c>
      <c r="C192" s="63">
        <f t="shared" si="37"/>
        <v>23696.245199999998</v>
      </c>
      <c r="D192" s="63">
        <f t="shared" si="36"/>
        <v>23696.245199999998</v>
      </c>
      <c r="E192" s="63" cm="1">
        <f t="array" ref="E192">$D$2*SUM( ($B$12:$B$29)/(EXP($B$12:$B$29/B192)-1) + 0.5*$B$12:$B$29)</f>
        <v>337640.5238292393</v>
      </c>
      <c r="H192" s="14">
        <f t="shared" si="41"/>
        <v>1900</v>
      </c>
      <c r="I192" s="63">
        <f t="shared" si="38"/>
        <v>5.6635385277246648</v>
      </c>
      <c r="J192" s="63">
        <f t="shared" si="39"/>
        <v>5.6635385277246648</v>
      </c>
      <c r="K192" s="63" cm="1">
        <f t="array" ref="K192">$D$2*SUM( ($B$12:$B$29)/(EXP($B$12:$B$29/H192)-1) + 0.5*$B$12:$B$29) / 4184</f>
        <v>80.698021947714935</v>
      </c>
    </row>
    <row r="193" spans="1:15" ht="15" thickBot="1" x14ac:dyDescent="0.35">
      <c r="B193" s="14">
        <f t="shared" si="40"/>
        <v>2000</v>
      </c>
      <c r="C193" s="63">
        <f t="shared" si="37"/>
        <v>24943.415999999997</v>
      </c>
      <c r="D193" s="63">
        <f t="shared" si="36"/>
        <v>24943.415999999997</v>
      </c>
      <c r="E193" s="64" cm="1">
        <f t="array" ref="E193">$D$2*SUM( ($B$12:$B$29)/(EXP($B$12:$B$29/B193)-1) + 0.5*$B$12:$B$29)</f>
        <v>350251.41226522677</v>
      </c>
      <c r="H193" s="14">
        <f t="shared" si="41"/>
        <v>2000</v>
      </c>
      <c r="I193" s="63">
        <f t="shared" si="38"/>
        <v>5.9616195028680679</v>
      </c>
      <c r="J193" s="63">
        <f t="shared" si="39"/>
        <v>5.9616195028680679</v>
      </c>
      <c r="K193" s="64" cm="1">
        <f t="array" ref="K193">$D$2*SUM( ($B$12:$B$29)/(EXP($B$12:$B$29/H193)-1) + 0.5*$B$12:$B$29) / 4184</f>
        <v>83.712096621708113</v>
      </c>
    </row>
    <row r="194" spans="1:15" ht="15" thickBot="1" x14ac:dyDescent="0.35">
      <c r="B194" s="16">
        <f t="shared" si="40"/>
        <v>2100</v>
      </c>
      <c r="C194" s="64">
        <f t="shared" si="37"/>
        <v>26190.586799999997</v>
      </c>
      <c r="D194" s="64">
        <f t="shared" si="36"/>
        <v>26190.586799999997</v>
      </c>
      <c r="F194" s="3"/>
      <c r="H194" s="16">
        <f t="shared" si="41"/>
        <v>2100</v>
      </c>
      <c r="I194" s="64">
        <f t="shared" si="38"/>
        <v>6.2597004780114718</v>
      </c>
      <c r="J194" s="64">
        <f t="shared" si="39"/>
        <v>6.2597004780114718</v>
      </c>
      <c r="L194" s="3"/>
    </row>
    <row r="196" spans="1:15" ht="15" thickBot="1" x14ac:dyDescent="0.35"/>
    <row r="197" spans="1:15" ht="15" thickBot="1" x14ac:dyDescent="0.35">
      <c r="F197" s="18"/>
      <c r="G197" s="21"/>
      <c r="H197" s="21"/>
      <c r="I197" s="19"/>
      <c r="K197" s="54" t="s">
        <v>83</v>
      </c>
    </row>
    <row r="198" spans="1:15" ht="16.8" thickBot="1" x14ac:dyDescent="0.35">
      <c r="B198" s="93" t="s">
        <v>79</v>
      </c>
      <c r="C198" s="94">
        <f xml:space="preserve"> ($C$2*$C$2) /(8*$B$2*$B$2*$A$2*$H$198)</f>
        <v>0.18599206843267591</v>
      </c>
      <c r="F198" s="14"/>
      <c r="H198" s="2">
        <f>SQRT(E6*E6+F6*F6+G6*G6)</f>
        <v>2.1655114530503346E-45</v>
      </c>
      <c r="I198" s="15" t="s">
        <v>78</v>
      </c>
      <c r="K198" s="31">
        <v>1</v>
      </c>
    </row>
    <row r="199" spans="1:15" ht="15" thickBot="1" x14ac:dyDescent="0.35">
      <c r="F199" s="16"/>
      <c r="G199" s="23"/>
      <c r="H199" s="23"/>
      <c r="I199" s="17"/>
    </row>
    <row r="200" spans="1:15" ht="15" thickBot="1" x14ac:dyDescent="0.35">
      <c r="A200" s="2" t="s">
        <v>76</v>
      </c>
      <c r="B200" s="139" t="s">
        <v>77</v>
      </c>
      <c r="C200" s="139"/>
      <c r="D200" s="139"/>
      <c r="E200" s="139"/>
      <c r="F200" s="139"/>
      <c r="H200" s="139" t="s">
        <v>95</v>
      </c>
      <c r="I200" s="139"/>
      <c r="J200" s="139"/>
      <c r="K200" s="139"/>
      <c r="L200" s="139"/>
    </row>
    <row r="201" spans="1:15" ht="18" x14ac:dyDescent="0.3">
      <c r="A201" s="2" t="s">
        <v>77</v>
      </c>
      <c r="B201" s="58" t="s">
        <v>23</v>
      </c>
      <c r="C201" s="37" t="s">
        <v>94</v>
      </c>
      <c r="D201" s="37" t="s">
        <v>73</v>
      </c>
      <c r="E201" s="37" t="s">
        <v>10</v>
      </c>
      <c r="F201" s="37" t="s">
        <v>11</v>
      </c>
      <c r="G201" s="37" t="s">
        <v>74</v>
      </c>
      <c r="H201" s="58" t="s">
        <v>23</v>
      </c>
      <c r="I201" s="37" t="s">
        <v>73</v>
      </c>
      <c r="J201" s="37" t="s">
        <v>10</v>
      </c>
      <c r="K201" s="37" t="s">
        <v>11</v>
      </c>
      <c r="L201" s="37" t="s">
        <v>74</v>
      </c>
      <c r="O201" s="1"/>
    </row>
    <row r="202" spans="1:15" ht="15" thickBot="1" x14ac:dyDescent="0.35">
      <c r="B202" s="56">
        <f>300</f>
        <v>300</v>
      </c>
      <c r="C202" s="63">
        <f>($A$2*B202)/$J$2</f>
        <v>4.0876387860843815E-26</v>
      </c>
      <c r="D202" s="92">
        <f xml:space="preserve"> $D$2 *( 5/2  +   LN(  ((2*$B$2*$E$2*$A$2*B202)/($C$2*$C$2) )^1.5  * ($D$2*B202 )/($F$2*$J$2)  ) )</f>
        <v>151.30832432130001</v>
      </c>
      <c r="E202" s="63">
        <f t="shared" ref="E202:E220" si="42">$D$2 *LN( (EXP(1)*B202) / ($B$6 * $C$198))</f>
        <v>54.826245754473803</v>
      </c>
      <c r="F202" s="63" cm="1">
        <f t="array" ref="F202">$D$2*SUM( (($B$12:$B$29)/B202)/(EXP($B$12:$B$29/B176)-1) - LN( 1 - EXP( (-1 * $B$12:$B$29)/B202 ) ) )</f>
        <v>8.4652781051555515</v>
      </c>
      <c r="G202" s="64">
        <f>$D$2*LN(K198)</f>
        <v>0</v>
      </c>
      <c r="H202" s="84">
        <f>300</f>
        <v>300</v>
      </c>
      <c r="I202" s="108">
        <f xml:space="preserve"> $D$2 *( 5/2  +   LN(  ((2*$B$2*$E$2*$A$2*B202)/($C$2*$C$2) )^1.5  * ($D$2*B202 )/($F$2*$J$2)  ) ) / 4.184</f>
        <v>36.163557438169214</v>
      </c>
      <c r="J202" s="86">
        <f>$D$2 *LN( (EXP(1)*H202) / ($B$6 * $C$198)) / 4.184</f>
        <v>13.103787226212667</v>
      </c>
      <c r="K202" s="86" cm="1">
        <f t="array" ref="K202">$D$2*SUM( (($B$12:$B$29)/H202)/(EXP($B$12:$B$29/H176)-1) - LN( 1 - EXP( (-1 * $B$12:$B$29)/H202 ) ) ) / 4.184</f>
        <v>2.0232500251327799</v>
      </c>
      <c r="L202" s="89">
        <f>$D$2*LN(K198)</f>
        <v>0</v>
      </c>
      <c r="O202" s="1"/>
    </row>
    <row r="203" spans="1:15" x14ac:dyDescent="0.3">
      <c r="B203" s="56">
        <f>B202+100</f>
        <v>400</v>
      </c>
      <c r="C203" s="63">
        <f t="shared" ref="C203:C220" si="43">($A$2*B203)/$J$2</f>
        <v>5.4501850481125095E-26</v>
      </c>
      <c r="D203" s="92">
        <f t="shared" ref="D203:D220" si="44" xml:space="preserve"> $D$2 *( 5/2  +   LN(  ((2*$B$2*$E$2*$A$2*B203)/($C$2*$C$2) )^1.5  * ($D$2*B203 )/($F$2*$J$2)  ) )</f>
        <v>157.28813566205574</v>
      </c>
      <c r="E203" s="63">
        <f t="shared" si="42"/>
        <v>57.218170290776108</v>
      </c>
      <c r="F203" s="63" cm="1">
        <f t="array" ref="F203">$D$2*SUM( (($B$12:$B$29)/B203)/(EXP($B$12:$B$29/B177)-1) - LN( 1 - EXP( (-1 * $B$12:$B$29)/B203 ) ) )</f>
        <v>15.208835752234684</v>
      </c>
      <c r="H203" s="56">
        <f>H202+100</f>
        <v>400</v>
      </c>
      <c r="I203" s="92">
        <f xml:space="preserve"> $D$2 *( 5/2  +   LN(  ((2*$B$2*$E$2*$A$2*B203)/($C$2*$C$2) )^1.5  * ($D$2*B203 )/($F$2*$J$2)  ) ) / 4.184</f>
        <v>37.59276664963091</v>
      </c>
      <c r="J203" s="63">
        <f t="shared" ref="J203:J220" si="45">$D$2 *LN( (EXP(1)*H203) / ($B$6 * $C$198)) / 4.184</f>
        <v>13.675470910797348</v>
      </c>
      <c r="K203" s="63" cm="1">
        <f t="array" ref="K203">$D$2*SUM( (($B$12:$B$29)/H203)/(EXP($B$12:$B$29/H177)-1) - LN( 1 - EXP( (-1 * $B$12:$B$29)/H203 ) ) ) / 4.184</f>
        <v>3.6349989847597235</v>
      </c>
      <c r="O203" s="83"/>
    </row>
    <row r="204" spans="1:15" ht="18.600000000000001" thickBot="1" x14ac:dyDescent="0.35">
      <c r="B204" s="56">
        <f t="shared" ref="B204:B220" si="46">B203+100</f>
        <v>500</v>
      </c>
      <c r="C204" s="63">
        <f t="shared" si="43"/>
        <v>6.8127313101406362E-26</v>
      </c>
      <c r="D204" s="92">
        <f t="shared" si="44"/>
        <v>161.92643768551218</v>
      </c>
      <c r="E204" s="63">
        <f t="shared" si="42"/>
        <v>59.073491100158677</v>
      </c>
      <c r="F204" s="63" cm="1">
        <f t="array" ref="F204">$D$2*SUM( (($B$12:$B$29)/B204)/(EXP($B$12:$B$29/B178)-1) - LN( 1 - EXP( (-1 * $B$12:$B$29)/B204 ) ) )</f>
        <v>23.342554401836651</v>
      </c>
      <c r="H204" s="56">
        <f t="shared" ref="H204:H220" si="47">H203+100</f>
        <v>500</v>
      </c>
      <c r="I204" s="92">
        <f t="shared" ref="I204:I220" si="48" xml:space="preserve"> $D$2 *( 5/2  +   LN(  ((2*$B$2*$E$2*$A$2*B204)/($C$2*$C$2) )^1.5  * ($D$2*B204 )/($F$2*$J$2)  ) ) / 4.184</f>
        <v>38.701347439175947</v>
      </c>
      <c r="J204" s="63">
        <f t="shared" si="45"/>
        <v>14.118903226615362</v>
      </c>
      <c r="K204" s="63" cm="1">
        <f t="array" ref="K204">$D$2*SUM( (($B$12:$B$29)/H204)/(EXP($B$12:$B$29/H178)-1) - LN( 1 - EXP( (-1 * $B$12:$B$29)/H204 ) ) ) / 4.184</f>
        <v>5.579004398144515</v>
      </c>
      <c r="M204" s="138" t="s">
        <v>88</v>
      </c>
      <c r="N204" s="138"/>
      <c r="O204" s="83"/>
    </row>
    <row r="205" spans="1:15" x14ac:dyDescent="0.3">
      <c r="B205" s="56">
        <f t="shared" si="46"/>
        <v>600</v>
      </c>
      <c r="C205" s="63">
        <f t="shared" si="43"/>
        <v>8.175277572168763E-26</v>
      </c>
      <c r="D205" s="92">
        <f t="shared" si="44"/>
        <v>165.71620638291157</v>
      </c>
      <c r="E205" s="63">
        <f t="shared" si="42"/>
        <v>60.589398579118416</v>
      </c>
      <c r="F205" s="63" cm="1">
        <f t="array" ref="F205">$D$2*SUM( (($B$12:$B$29)/B205)/(EXP($B$12:$B$29/B179)-1) - LN( 1 - EXP( (-1 * $B$12:$B$29)/B205 ) ) )</f>
        <v>32.245804568426813</v>
      </c>
      <c r="H205" s="56">
        <f t="shared" si="47"/>
        <v>600</v>
      </c>
      <c r="I205" s="92">
        <f t="shared" si="48"/>
        <v>39.607123896489377</v>
      </c>
      <c r="J205" s="63">
        <f t="shared" si="45"/>
        <v>14.48121380954073</v>
      </c>
      <c r="K205" s="63" cm="1">
        <f t="array" ref="K205">$D$2*SUM( (($B$12:$B$29)/H205)/(EXP($B$12:$B$29/H179)-1) - LN( 1 - EXP( (-1 * $B$12:$B$29)/H205 ) ) ) / 4.184</f>
        <v>7.7069322582282052</v>
      </c>
      <c r="M205" s="72"/>
      <c r="N205" s="68" t="s">
        <v>3</v>
      </c>
      <c r="O205" s="83"/>
    </row>
    <row r="206" spans="1:15" x14ac:dyDescent="0.3">
      <c r="B206" s="56">
        <f t="shared" si="46"/>
        <v>700</v>
      </c>
      <c r="C206" s="63">
        <f t="shared" si="43"/>
        <v>9.5378238341968898E-26</v>
      </c>
      <c r="D206" s="92">
        <f t="shared" si="44"/>
        <v>168.92041016092318</v>
      </c>
      <c r="E206" s="63">
        <f t="shared" si="42"/>
        <v>61.871080090323126</v>
      </c>
      <c r="F206" s="63" cm="1">
        <f t="array" ref="F206">$D$2*SUM( (($B$12:$B$29)/B206)/(EXP($B$12:$B$29/B180)-1) - LN( 1 - EXP( (-1 * $B$12:$B$29)/B206 ) ) )</f>
        <v>41.482651351400861</v>
      </c>
      <c r="H206" s="56">
        <f t="shared" si="47"/>
        <v>700</v>
      </c>
      <c r="I206" s="92">
        <f t="shared" si="48"/>
        <v>40.372946979188143</v>
      </c>
      <c r="J206" s="63">
        <f t="shared" si="45"/>
        <v>14.78754304262025</v>
      </c>
      <c r="K206" s="63" cm="1">
        <f t="array" ref="K206">$D$2*SUM( (($B$12:$B$29)/H206)/(EXP($B$12:$B$29/H180)-1) - LN( 1 - EXP( (-1 * $B$12:$B$29)/H206 ) ) ) / 4.184</f>
        <v>9.9145916231837621</v>
      </c>
      <c r="M206" s="73"/>
      <c r="N206" s="78" t="s">
        <v>5</v>
      </c>
      <c r="O206" s="83"/>
    </row>
    <row r="207" spans="1:15" x14ac:dyDescent="0.3">
      <c r="B207" s="56">
        <f t="shared" si="46"/>
        <v>800</v>
      </c>
      <c r="C207" s="63">
        <f t="shared" si="43"/>
        <v>1.0900370096225019E-25</v>
      </c>
      <c r="D207" s="92">
        <f t="shared" si="44"/>
        <v>171.69601772366727</v>
      </c>
      <c r="E207" s="63">
        <f t="shared" si="42"/>
        <v>62.981323115420722</v>
      </c>
      <c r="F207" s="63" cm="1">
        <f t="array" ref="F207">$D$2*SUM( (($B$12:$B$29)/B207)/(EXP($B$12:$B$29/B181)-1) - LN( 1 - EXP( (-1 * $B$12:$B$29)/B207 ) ) )</f>
        <v>50.792576688843909</v>
      </c>
      <c r="H207" s="56">
        <f t="shared" si="47"/>
        <v>800</v>
      </c>
      <c r="I207" s="92">
        <f t="shared" si="48"/>
        <v>41.036333107951066</v>
      </c>
      <c r="J207" s="63">
        <f t="shared" si="45"/>
        <v>15.052897494125411</v>
      </c>
      <c r="K207" s="63" cm="1">
        <f t="array" ref="K207">$D$2*SUM( (($B$12:$B$29)/H207)/(EXP($B$12:$B$29/H181)-1) - LN( 1 - EXP( (-1 * $B$12:$B$29)/H207 ) ) ) / 4.184</f>
        <v>12.139717181846057</v>
      </c>
      <c r="M207" s="73" t="s">
        <v>6</v>
      </c>
      <c r="N207" s="110">
        <v>54.427999999999997</v>
      </c>
      <c r="O207" s="83"/>
    </row>
    <row r="208" spans="1:15" x14ac:dyDescent="0.3">
      <c r="B208" s="56">
        <f t="shared" si="46"/>
        <v>900</v>
      </c>
      <c r="C208" s="63">
        <f t="shared" si="43"/>
        <v>1.2262916358253145E-25</v>
      </c>
      <c r="D208" s="92">
        <f t="shared" si="44"/>
        <v>174.14427710376728</v>
      </c>
      <c r="E208" s="63">
        <f t="shared" si="42"/>
        <v>63.960626867460725</v>
      </c>
      <c r="F208" s="63" cm="1">
        <f t="array" ref="F208">$D$2*SUM( (($B$12:$B$29)/B208)/(EXP($B$12:$B$29/B182)-1) - LN( 1 - EXP( (-1 * $B$12:$B$29)/B208 ) ) )</f>
        <v>60.023482927010875</v>
      </c>
      <c r="H208" s="56">
        <f t="shared" si="47"/>
        <v>900</v>
      </c>
      <c r="I208" s="92">
        <f t="shared" si="48"/>
        <v>41.621481143347822</v>
      </c>
      <c r="J208" s="63">
        <f t="shared" si="45"/>
        <v>15.286956708284112</v>
      </c>
      <c r="K208" s="63" cm="1">
        <f t="array" ref="K208">$D$2*SUM( (($B$12:$B$29)/H208)/(EXP($B$12:$B$29/H182)-1) - LN( 1 - EXP( (-1 * $B$12:$B$29)/H208 ) ) ) / 4.184</f>
        <v>14.34595672251694</v>
      </c>
      <c r="M208" s="73" t="s">
        <v>7</v>
      </c>
      <c r="N208" s="80" t="s">
        <v>8</v>
      </c>
      <c r="O208" s="83"/>
    </row>
    <row r="209" spans="1:14" x14ac:dyDescent="0.3">
      <c r="B209" s="56">
        <f t="shared" si="46"/>
        <v>1000</v>
      </c>
      <c r="C209" s="63">
        <f t="shared" si="43"/>
        <v>1.3625462620281272E-25</v>
      </c>
      <c r="D209" s="92">
        <f t="shared" si="44"/>
        <v>176.33431974712371</v>
      </c>
      <c r="E209" s="63">
        <f t="shared" si="42"/>
        <v>64.836643924803283</v>
      </c>
      <c r="F209" s="63" cm="1">
        <f t="array" ref="F209">$D$2*SUM( (($B$12:$B$29)/B209)/(EXP($B$12:$B$29/B183)-1) - LN( 1 - EXP( (-1 * $B$12:$B$29)/B209 ) ) )</f>
        <v>69.084818835667193</v>
      </c>
      <c r="H209" s="56">
        <f t="shared" si="47"/>
        <v>1000</v>
      </c>
      <c r="I209" s="92">
        <f t="shared" si="48"/>
        <v>42.144913897496103</v>
      </c>
      <c r="J209" s="63">
        <f t="shared" si="45"/>
        <v>15.496329809943422</v>
      </c>
      <c r="K209" s="63" cm="1">
        <f t="array" ref="K209">$D$2*SUM( (($B$12:$B$29)/H209)/(EXP($B$12:$B$29/H183)-1) - LN( 1 - EXP( (-1 * $B$12:$B$29)/H209 ) ) ) / 4.184</f>
        <v>16.51166798175602</v>
      </c>
      <c r="M209" s="73" t="s">
        <v>9</v>
      </c>
      <c r="N209" s="109">
        <v>36.134</v>
      </c>
    </row>
    <row r="210" spans="1:14" x14ac:dyDescent="0.3">
      <c r="B210" s="56">
        <f t="shared" si="46"/>
        <v>1100</v>
      </c>
      <c r="C210" s="63">
        <f t="shared" si="43"/>
        <v>1.4988008882309398E-25</v>
      </c>
      <c r="D210" s="92">
        <f t="shared" si="44"/>
        <v>178.31545430036871</v>
      </c>
      <c r="E210" s="63">
        <f t="shared" si="42"/>
        <v>65.629097746101309</v>
      </c>
      <c r="F210" s="63" cm="1">
        <f t="array" ref="F210">$D$2*SUM( (($B$12:$B$29)/B210)/(EXP($B$12:$B$29/B184)-1) - LN( 1 - EXP( (-1 * $B$12:$B$29)/B210 ) ) )</f>
        <v>77.92210634647229</v>
      </c>
      <c r="H210" s="56">
        <f t="shared" si="47"/>
        <v>1100</v>
      </c>
      <c r="I210" s="92">
        <f t="shared" si="48"/>
        <v>42.618416419782193</v>
      </c>
      <c r="J210" s="63">
        <f t="shared" si="45"/>
        <v>15.685730818857865</v>
      </c>
      <c r="K210" s="63" cm="1">
        <f t="array" ref="K210">$D$2*SUM( (($B$12:$B$29)/H210)/(EXP($B$12:$B$29/H184)-1) - LN( 1 - EXP( (-1 * $B$12:$B$29)/H210 ) ) ) / 4.184</f>
        <v>18.623830388736206</v>
      </c>
      <c r="M210" s="73" t="s">
        <v>10</v>
      </c>
      <c r="N210" s="80">
        <v>16.295999999999999</v>
      </c>
    </row>
    <row r="211" spans="1:14" x14ac:dyDescent="0.3">
      <c r="A211" s="3"/>
      <c r="B211" s="56">
        <f t="shared" si="46"/>
        <v>1200</v>
      </c>
      <c r="C211" s="63">
        <f t="shared" si="43"/>
        <v>1.6350555144337526E-25</v>
      </c>
      <c r="D211" s="92">
        <f t="shared" si="44"/>
        <v>180.12408844452298</v>
      </c>
      <c r="E211" s="63">
        <f t="shared" si="42"/>
        <v>66.35255140376303</v>
      </c>
      <c r="F211" s="63" cm="1">
        <f t="array" ref="F211">$D$2*SUM( (($B$12:$B$29)/B211)/(EXP($B$12:$B$29/B185)-1) - LN( 1 - EXP( (-1 * $B$12:$B$29)/B211 ) ) )</f>
        <v>86.503450840265174</v>
      </c>
      <c r="H211" s="56">
        <f t="shared" si="47"/>
        <v>1200</v>
      </c>
      <c r="I211" s="92">
        <f t="shared" si="48"/>
        <v>43.050690354809504</v>
      </c>
      <c r="J211" s="63">
        <f t="shared" si="45"/>
        <v>15.858640392868793</v>
      </c>
      <c r="K211" s="63" cm="1">
        <f t="array" ref="K211">$D$2*SUM( (($B$12:$B$29)/H211)/(EXP($B$12:$B$29/H185)-1) - LN( 1 - EXP( (-1 * $B$12:$B$29)/H211 ) ) ) / 4.184</f>
        <v>20.674820946526093</v>
      </c>
      <c r="M211" s="73" t="s">
        <v>11</v>
      </c>
      <c r="N211" s="80">
        <v>1.998</v>
      </c>
    </row>
    <row r="212" spans="1:14" ht="15" thickBot="1" x14ac:dyDescent="0.35">
      <c r="B212" s="56">
        <f t="shared" si="46"/>
        <v>1300</v>
      </c>
      <c r="C212" s="63">
        <f t="shared" si="43"/>
        <v>1.7713101406365654E-25</v>
      </c>
      <c r="D212" s="92">
        <f t="shared" si="44"/>
        <v>181.78787057391264</v>
      </c>
      <c r="E212" s="63">
        <f t="shared" si="42"/>
        <v>67.018064255518837</v>
      </c>
      <c r="F212" s="63" cm="1">
        <f t="array" ref="F212">$D$2*SUM( (($B$12:$B$29)/B212)/(EXP($B$12:$B$29/B186)-1) - LN( 1 - EXP( (-1 * $B$12:$B$29)/B212 ) ) )</f>
        <v>94.81188313193951</v>
      </c>
      <c r="H212" s="56">
        <f t="shared" si="47"/>
        <v>1300</v>
      </c>
      <c r="I212" s="92">
        <f t="shared" si="48"/>
        <v>43.448343827416977</v>
      </c>
      <c r="J212" s="63">
        <f t="shared" si="45"/>
        <v>16.017701781911768</v>
      </c>
      <c r="K212" s="63" cm="1">
        <f t="array" ref="K212">$D$2*SUM( (($B$12:$B$29)/H212)/(EXP($B$12:$B$29/H186)-1) - LN( 1 - EXP( (-1 * $B$12:$B$29)/H212 ) ) ) / 4.184</f>
        <v>22.660583922547683</v>
      </c>
      <c r="M212" s="74" t="s">
        <v>12</v>
      </c>
      <c r="N212" s="82">
        <v>1.3720000000000001</v>
      </c>
    </row>
    <row r="213" spans="1:14" x14ac:dyDescent="0.3">
      <c r="B213" s="56">
        <f t="shared" si="46"/>
        <v>1400</v>
      </c>
      <c r="C213" s="63">
        <f t="shared" si="43"/>
        <v>1.907564766839378E-25</v>
      </c>
      <c r="D213" s="92">
        <f t="shared" si="44"/>
        <v>183.32829222253474</v>
      </c>
      <c r="E213" s="63">
        <f t="shared" si="42"/>
        <v>67.634232914967725</v>
      </c>
      <c r="F213" s="63" cm="1">
        <f t="array" ref="F213">$D$2*SUM( (($B$12:$B$29)/B213)/(EXP($B$12:$B$29/B187)-1) - LN( 1 - EXP( (-1 * $B$12:$B$29)/B213 ) ) )</f>
        <v>102.84057734885003</v>
      </c>
      <c r="H213" s="56">
        <f t="shared" si="47"/>
        <v>1400</v>
      </c>
      <c r="I213" s="92">
        <f t="shared" si="48"/>
        <v>43.816513437508299</v>
      </c>
      <c r="J213" s="63">
        <f t="shared" si="45"/>
        <v>16.164969625948309</v>
      </c>
      <c r="K213" s="63" cm="1">
        <f t="array" ref="K213">$D$2*SUM( (($B$12:$B$29)/H213)/(EXP($B$12:$B$29/H187)-1) - LN( 1 - EXP( (-1 * $B$12:$B$29)/H213 ) ) ) / 4.184</f>
        <v>24.579487894084615</v>
      </c>
    </row>
    <row r="214" spans="1:14" x14ac:dyDescent="0.3">
      <c r="B214" s="56">
        <f t="shared" si="46"/>
        <v>1500</v>
      </c>
      <c r="C214" s="63">
        <f t="shared" si="43"/>
        <v>2.0438193930421908E-25</v>
      </c>
      <c r="D214" s="92">
        <f t="shared" si="44"/>
        <v>184.76239046797943</v>
      </c>
      <c r="E214" s="63">
        <f t="shared" si="42"/>
        <v>68.207872213145592</v>
      </c>
      <c r="F214" s="63" cm="1">
        <f t="array" ref="F214">$D$2*SUM( (($B$12:$B$29)/B214)/(EXP($B$12:$B$29/B188)-1) - LN( 1 - EXP( (-1 * $B$12:$B$29)/B214 ) ) )</f>
        <v>110.58963235893624</v>
      </c>
      <c r="H214" s="56">
        <f t="shared" si="47"/>
        <v>1500</v>
      </c>
      <c r="I214" s="92">
        <f t="shared" si="48"/>
        <v>44.159271144354548</v>
      </c>
      <c r="J214" s="63">
        <f t="shared" si="45"/>
        <v>16.302072708686804</v>
      </c>
      <c r="K214" s="63" cm="1">
        <f t="array" ref="K214">$D$2*SUM( (($B$12:$B$29)/H214)/(EXP($B$12:$B$29/H188)-1) - LN( 1 - EXP( (-1 * $B$12:$B$29)/H214 ) ) ) / 4.184</f>
        <v>26.431556491141549</v>
      </c>
    </row>
    <row r="215" spans="1:14" x14ac:dyDescent="0.3">
      <c r="B215" s="56">
        <f t="shared" si="46"/>
        <v>1600</v>
      </c>
      <c r="C215" s="63">
        <f t="shared" si="43"/>
        <v>2.1800740192450038E-25</v>
      </c>
      <c r="D215" s="92">
        <f t="shared" si="44"/>
        <v>186.1038997852788</v>
      </c>
      <c r="E215" s="63">
        <f t="shared" si="42"/>
        <v>68.744475940065328</v>
      </c>
      <c r="F215" s="63" cm="1">
        <f t="array" ref="F215">$D$2*SUM( (($B$12:$B$29)/B215)/(EXP($B$12:$B$29/B189)-1) - LN( 1 - EXP( (-1 * $B$12:$B$29)/B215 ) ) )</f>
        <v>118.06381323552971</v>
      </c>
      <c r="H215" s="56">
        <f t="shared" si="47"/>
        <v>1600</v>
      </c>
      <c r="I215" s="92">
        <f t="shared" si="48"/>
        <v>44.479899566271222</v>
      </c>
      <c r="J215" s="63">
        <f t="shared" si="45"/>
        <v>16.43032407745347</v>
      </c>
      <c r="K215" s="63" cm="1">
        <f t="array" ref="K215">$D$2*SUM( (($B$12:$B$29)/H215)/(EXP($B$12:$B$29/H189)-1) - LN( 1 - EXP( (-1 * $B$12:$B$29)/H215 ) ) ) / 4.184</f>
        <v>28.217928593577845</v>
      </c>
      <c r="M215" s="2" t="s">
        <v>99</v>
      </c>
      <c r="N215" s="107">
        <f>SUM(I202:L202)</f>
        <v>51.290594689514663</v>
      </c>
    </row>
    <row r="216" spans="1:14" x14ac:dyDescent="0.3">
      <c r="B216" s="56">
        <f t="shared" si="46"/>
        <v>1700</v>
      </c>
      <c r="C216" s="63">
        <f t="shared" si="43"/>
        <v>2.3163286454478159E-25</v>
      </c>
      <c r="D216" s="92">
        <f t="shared" si="44"/>
        <v>187.36405408678712</v>
      </c>
      <c r="E216" s="63">
        <f t="shared" si="42"/>
        <v>69.248537660668674</v>
      </c>
      <c r="F216" s="63" cm="1">
        <f t="array" ref="F216">$D$2*SUM( (($B$12:$B$29)/B216)/(EXP($B$12:$B$29/B190)-1) - LN( 1 - EXP( (-1 * $B$12:$B$29)/B216 ) ) )</f>
        <v>125.27094047371904</v>
      </c>
      <c r="H216" s="56">
        <f t="shared" si="47"/>
        <v>1700</v>
      </c>
      <c r="I216" s="92">
        <f t="shared" si="48"/>
        <v>44.781083672750263</v>
      </c>
      <c r="J216" s="63">
        <f t="shared" si="45"/>
        <v>16.550797720045093</v>
      </c>
      <c r="K216" s="63" cm="1">
        <f t="array" ref="K216">$D$2*SUM( (($B$12:$B$29)/H216)/(EXP($B$12:$B$29/H190)-1) - LN( 1 - EXP( (-1 * $B$12:$B$29)/H216 ) ) ) / 4.184</f>
        <v>29.940473344579118</v>
      </c>
    </row>
    <row r="217" spans="1:14" x14ac:dyDescent="0.3">
      <c r="B217" s="56">
        <f t="shared" si="46"/>
        <v>1800</v>
      </c>
      <c r="C217" s="63">
        <f t="shared" si="43"/>
        <v>2.4525832716506289E-25</v>
      </c>
      <c r="D217" s="92">
        <f t="shared" si="44"/>
        <v>188.55215916537881</v>
      </c>
      <c r="E217" s="63">
        <f t="shared" si="42"/>
        <v>69.723779692105339</v>
      </c>
      <c r="F217" s="63" cm="1">
        <f t="array" ref="F217">$D$2*SUM( (($B$12:$B$29)/B217)/(EXP($B$12:$B$29/B191)-1) - LN( 1 - EXP( (-1 * $B$12:$B$29)/B217 ) ) )</f>
        <v>132.22073962293541</v>
      </c>
      <c r="H217" s="56">
        <f t="shared" si="47"/>
        <v>1800</v>
      </c>
      <c r="I217" s="92">
        <f t="shared" si="48"/>
        <v>45.065047601667978</v>
      </c>
      <c r="J217" s="63">
        <f t="shared" si="45"/>
        <v>16.664383291612175</v>
      </c>
      <c r="K217" s="63" cm="1">
        <f t="array" ref="K217">$D$2*SUM( (($B$12:$B$29)/H217)/(EXP($B$12:$B$29/H191)-1) - LN( 1 - EXP( (-1 * $B$12:$B$29)/H217 ) ) ) / 4.184</f>
        <v>31.601515206246511</v>
      </c>
    </row>
    <row r="218" spans="1:14" x14ac:dyDescent="0.3">
      <c r="B218" s="56">
        <f t="shared" si="46"/>
        <v>1900</v>
      </c>
      <c r="C218" s="63">
        <f t="shared" si="43"/>
        <v>2.5888378978534419E-25</v>
      </c>
      <c r="D218" s="92">
        <f t="shared" si="44"/>
        <v>189.67601015880251</v>
      </c>
      <c r="E218" s="63">
        <f t="shared" si="42"/>
        <v>70.173320089474842</v>
      </c>
      <c r="F218" s="63" cm="1">
        <f t="array" ref="F218">$D$2*SUM( (($B$12:$B$29)/B218)/(EXP($B$12:$B$29/B192)-1) - LN( 1 - EXP( (-1 * $B$12:$B$29)/B218 ) ) )</f>
        <v>138.92402514571742</v>
      </c>
      <c r="H218" s="56">
        <f t="shared" si="47"/>
        <v>1900</v>
      </c>
      <c r="I218" s="92">
        <f t="shared" si="48"/>
        <v>45.333654435660257</v>
      </c>
      <c r="J218" s="63">
        <f t="shared" si="45"/>
        <v>16.771826025209091</v>
      </c>
      <c r="K218" s="63" cm="1">
        <f t="array" ref="K218">$D$2*SUM( (($B$12:$B$29)/H218)/(EXP($B$12:$B$29/H192)-1) - LN( 1 - EXP( (-1 * $B$12:$B$29)/H218 ) ) ) / 4.184</f>
        <v>33.203638897159998</v>
      </c>
    </row>
    <row r="219" spans="1:14" ht="15" thickBot="1" x14ac:dyDescent="0.35">
      <c r="B219" s="56">
        <f t="shared" si="46"/>
        <v>2000</v>
      </c>
      <c r="C219" s="63">
        <f t="shared" si="43"/>
        <v>2.7250925240562545E-25</v>
      </c>
      <c r="D219" s="92">
        <f t="shared" si="44"/>
        <v>190.74220180873527</v>
      </c>
      <c r="E219" s="63">
        <f t="shared" si="42"/>
        <v>70.59979674944789</v>
      </c>
      <c r="F219" s="64" cm="1">
        <f t="array" ref="F219">$D$2*SUM( (($B$12:$B$29)/B219)/(EXP($B$12:$B$29/B193)-1) - LN( 1 - EXP( (-1 * $B$12:$B$29)/B219 ) ) )</f>
        <v>145.39212797730448</v>
      </c>
      <c r="H219" s="56">
        <f t="shared" si="47"/>
        <v>2000</v>
      </c>
      <c r="I219" s="92">
        <f t="shared" si="48"/>
        <v>45.588480355816266</v>
      </c>
      <c r="J219" s="63">
        <f t="shared" si="45"/>
        <v>16.873756393271485</v>
      </c>
      <c r="K219" s="64" cm="1">
        <f t="array" ref="K219">$D$2*SUM( (($B$12:$B$29)/H219)/(EXP($B$12:$B$29/H193)-1) - LN( 1 - EXP( (-1 * $B$12:$B$29)/H219 ) ) ) / 4.184</f>
        <v>34.74955257583759</v>
      </c>
    </row>
    <row r="220" spans="1:14" ht="15" thickBot="1" x14ac:dyDescent="0.35">
      <c r="B220" s="31">
        <f t="shared" si="46"/>
        <v>2100</v>
      </c>
      <c r="C220" s="64">
        <f t="shared" si="43"/>
        <v>2.8613471502590675E-25</v>
      </c>
      <c r="D220" s="92">
        <f t="shared" si="44"/>
        <v>191.7563629433906</v>
      </c>
      <c r="E220" s="64">
        <f t="shared" si="42"/>
        <v>71.005461203310048</v>
      </c>
      <c r="G220" s="3"/>
      <c r="H220" s="31">
        <f t="shared" si="47"/>
        <v>2100</v>
      </c>
      <c r="I220" s="92">
        <f t="shared" si="48"/>
        <v>45.830870684366779</v>
      </c>
      <c r="J220" s="64">
        <f t="shared" si="45"/>
        <v>16.970712524691695</v>
      </c>
      <c r="L220" s="3"/>
    </row>
    <row r="224" spans="1:14" ht="15" thickBot="1" x14ac:dyDescent="0.35">
      <c r="A224" s="2" t="s">
        <v>80</v>
      </c>
      <c r="B224" s="139" t="s">
        <v>96</v>
      </c>
      <c r="C224" s="139"/>
      <c r="D224" s="139"/>
      <c r="E224" s="139"/>
      <c r="F224" s="139"/>
      <c r="H224" s="139" t="s">
        <v>97</v>
      </c>
      <c r="I224" s="139"/>
      <c r="J224" s="139"/>
      <c r="K224" s="139"/>
      <c r="L224" s="139"/>
    </row>
    <row r="225" spans="1:15" ht="18" x14ac:dyDescent="0.3">
      <c r="A225" s="2" t="s">
        <v>77</v>
      </c>
      <c r="B225" s="58" t="s">
        <v>23</v>
      </c>
      <c r="C225" s="37" t="s">
        <v>73</v>
      </c>
      <c r="D225" s="37" t="s">
        <v>10</v>
      </c>
      <c r="E225" s="37" t="s">
        <v>11</v>
      </c>
      <c r="F225" s="37" t="s">
        <v>74</v>
      </c>
      <c r="H225" s="58" t="s">
        <v>23</v>
      </c>
      <c r="I225" s="37" t="s">
        <v>73</v>
      </c>
      <c r="J225" s="37" t="s">
        <v>10</v>
      </c>
      <c r="K225" s="37" t="s">
        <v>11</v>
      </c>
      <c r="L225" s="37" t="s">
        <v>74</v>
      </c>
    </row>
    <row r="226" spans="1:15" ht="15" thickBot="1" x14ac:dyDescent="0.35">
      <c r="B226" s="56">
        <f>300</f>
        <v>300</v>
      </c>
      <c r="C226" s="63">
        <f>3/2*$D$2</f>
        <v>12.471708</v>
      </c>
      <c r="D226" s="63">
        <f>3/2*$D$2</f>
        <v>12.471708</v>
      </c>
      <c r="E226" s="63" cm="1">
        <f t="array" ref="E226">$D$2*SUM( ( ($B$12:$B$29) * ($B$12:$B$29)* EXP($B$12:$B$29/B226) ) / ( B226*B226* ( EXP(( $B$12:$B$29)/B226 )  -1)^2 ) )</f>
        <v>17.51602648277062</v>
      </c>
      <c r="F226" s="64">
        <v>0</v>
      </c>
      <c r="H226" s="56">
        <f>300</f>
        <v>300</v>
      </c>
      <c r="I226" s="86">
        <f>3/2*$D$2 / 4.184</f>
        <v>2.9808097514340344</v>
      </c>
      <c r="J226" s="86">
        <f>3/2*$D$2 / 4.184</f>
        <v>2.9808097514340344</v>
      </c>
      <c r="K226" s="86" cm="1">
        <f t="array" ref="K226" xml:space="preserve"> ( $D$2*SUM( ( ($B$12:$B$29) * ($B$12:$B$29)* EXP($B$12:$B$29/H226) ) / ( H226*H226* ( EXP(( $B$12:$B$29)/H226 )  -1)^2 ) ) ) / 4.184</f>
        <v>4.1864308037214677</v>
      </c>
      <c r="L226" s="89">
        <v>0</v>
      </c>
    </row>
    <row r="227" spans="1:15" x14ac:dyDescent="0.3">
      <c r="B227" s="56">
        <f>B226+100</f>
        <v>400</v>
      </c>
      <c r="C227" s="63">
        <f t="shared" ref="C227:D244" si="49">3/2*$D$2</f>
        <v>12.471708</v>
      </c>
      <c r="D227" s="63">
        <f t="shared" si="49"/>
        <v>12.471708</v>
      </c>
      <c r="E227" s="63" cm="1">
        <f t="array" ref="E227">$D$2*SUM( ( ($B$12:$B$29) * ($B$12:$B$29)* EXP($B$12:$B$29/B227) ) / ( B227*B227* ( EXP(( $B$12:$B$29)/B227 )  -1)^2 ) )</f>
        <v>30.203510636594622</v>
      </c>
      <c r="H227" s="56">
        <f>H226+100</f>
        <v>400</v>
      </c>
      <c r="I227" s="63">
        <f t="shared" ref="I227:J244" si="50">3/2*$D$2 / 4.184</f>
        <v>2.9808097514340344</v>
      </c>
      <c r="J227" s="63">
        <f t="shared" si="50"/>
        <v>2.9808097514340344</v>
      </c>
      <c r="K227" s="63" cm="1">
        <f t="array" ref="K227" xml:space="preserve"> ( $D$2*SUM( ( ($B$12:$B$29) * ($B$12:$B$29)* EXP($B$12:$B$29/H227) ) / ( H227*H227* ( EXP(( $B$12:$B$29)/H227 )  -1)^2 ) ) ) / 4.184</f>
        <v>7.2188122936411618</v>
      </c>
    </row>
    <row r="228" spans="1:15" ht="18.600000000000001" thickBot="1" x14ac:dyDescent="0.35">
      <c r="B228" s="56">
        <f t="shared" ref="B228:B244" si="51">B227+100</f>
        <v>500</v>
      </c>
      <c r="C228" s="63">
        <f t="shared" si="49"/>
        <v>12.471708</v>
      </c>
      <c r="D228" s="63">
        <f t="shared" si="49"/>
        <v>12.471708</v>
      </c>
      <c r="E228" s="63" cm="1">
        <f t="array" ref="E228">$D$2*SUM( ( ($B$12:$B$29) * ($B$12:$B$29)* EXP($B$12:$B$29/B228) ) / ( B228*B228* ( EXP(( $B$12:$B$29)/B228 )  -1)^2 ) )</f>
        <v>43.044489525905838</v>
      </c>
      <c r="H228" s="56">
        <f t="shared" ref="H228:H244" si="52">H227+100</f>
        <v>500</v>
      </c>
      <c r="I228" s="63">
        <f t="shared" si="50"/>
        <v>2.9808097514340344</v>
      </c>
      <c r="J228" s="63">
        <f t="shared" si="50"/>
        <v>2.9808097514340344</v>
      </c>
      <c r="K228" s="63" cm="1">
        <f t="array" ref="K228" xml:space="preserve"> ( $D$2*SUM( ( ($B$12:$B$29) * ($B$12:$B$29)* EXP($B$12:$B$29/H228) ) / ( H228*H228* ( EXP(( $B$12:$B$29)/H228 )  -1)^2 ) ) ) / 4.184</f>
        <v>10.287879905809234</v>
      </c>
      <c r="M228" s="138" t="s">
        <v>88</v>
      </c>
      <c r="N228" s="138"/>
    </row>
    <row r="229" spans="1:15" x14ac:dyDescent="0.3">
      <c r="B229" s="56">
        <f t="shared" si="51"/>
        <v>600</v>
      </c>
      <c r="C229" s="63">
        <f t="shared" si="49"/>
        <v>12.471708</v>
      </c>
      <c r="D229" s="63">
        <f t="shared" si="49"/>
        <v>12.471708</v>
      </c>
      <c r="E229" s="63" cm="1">
        <f t="array" ref="E229">$D$2*SUM( ( ($B$12:$B$29) * ($B$12:$B$29)* EXP($B$12:$B$29/B229) ) / ( B229*B229* ( EXP(( $B$12:$B$29)/B229 )  -1)^2 ) )</f>
        <v>54.754497122856755</v>
      </c>
      <c r="H229" s="56">
        <f t="shared" si="52"/>
        <v>600</v>
      </c>
      <c r="I229" s="63">
        <f t="shared" si="50"/>
        <v>2.9808097514340344</v>
      </c>
      <c r="J229" s="63">
        <f t="shared" si="50"/>
        <v>2.9808097514340344</v>
      </c>
      <c r="K229" s="63" cm="1">
        <f t="array" ref="K229" xml:space="preserve"> ( $D$2*SUM( ( ($B$12:$B$29) * ($B$12:$B$29)* EXP($B$12:$B$29/H229) ) / ( H229*H229* ( EXP(( $B$12:$B$29)/H229 )  -1)^2 ) ) ) / 4.184</f>
        <v>13.086638891696165</v>
      </c>
      <c r="M229" s="72"/>
      <c r="N229" s="68" t="s">
        <v>82</v>
      </c>
      <c r="O229" s="1"/>
    </row>
    <row r="230" spans="1:15" x14ac:dyDescent="0.3">
      <c r="B230" s="56">
        <f t="shared" si="51"/>
        <v>700</v>
      </c>
      <c r="C230" s="63">
        <f t="shared" si="49"/>
        <v>12.471708</v>
      </c>
      <c r="D230" s="63">
        <f t="shared" si="49"/>
        <v>12.471708</v>
      </c>
      <c r="E230" s="63" cm="1">
        <f t="array" ref="E230">$D$2*SUM( ( ($B$12:$B$29) * ($B$12:$B$29)* EXP($B$12:$B$29/B230) ) / ( B230*B230* ( EXP(( $B$12:$B$29)/B230 )  -1)^2 ) )</f>
        <v>65.140323945626832</v>
      </c>
      <c r="H230" s="56">
        <f t="shared" si="52"/>
        <v>700</v>
      </c>
      <c r="I230" s="63">
        <f t="shared" si="50"/>
        <v>2.9808097514340344</v>
      </c>
      <c r="J230" s="63">
        <f t="shared" si="50"/>
        <v>2.9808097514340344</v>
      </c>
      <c r="K230" s="63" cm="1">
        <f t="array" ref="K230" xml:space="preserve"> ( $D$2*SUM( ( ($B$12:$B$29) * ($B$12:$B$29)* EXP($B$12:$B$29/H230) ) / ( H230*H230* ( EXP(( $B$12:$B$29)/H230 )  -1)^2 ) ) ) / 4.184</f>
        <v>15.568911076870657</v>
      </c>
      <c r="M230" s="73"/>
      <c r="N230" s="78" t="s">
        <v>5</v>
      </c>
      <c r="O230" s="1"/>
    </row>
    <row r="231" spans="1:15" x14ac:dyDescent="0.3">
      <c r="B231" s="56">
        <f t="shared" si="51"/>
        <v>800</v>
      </c>
      <c r="C231" s="63">
        <f t="shared" si="49"/>
        <v>12.471708</v>
      </c>
      <c r="D231" s="63">
        <f t="shared" si="49"/>
        <v>12.471708</v>
      </c>
      <c r="E231" s="63" cm="1">
        <f t="array" ref="E231">$D$2*SUM( ( ($B$12:$B$29) * ($B$12:$B$29)* EXP($B$12:$B$29/B231) ) / ( B231*B231* ( EXP(( $B$12:$B$29)/B231 )  -1)^2 ) )</f>
        <v>74.316028507806706</v>
      </c>
      <c r="H231" s="56">
        <f t="shared" si="52"/>
        <v>800</v>
      </c>
      <c r="I231" s="63">
        <f t="shared" si="50"/>
        <v>2.9808097514340344</v>
      </c>
      <c r="J231" s="63">
        <f t="shared" si="50"/>
        <v>2.9808097514340344</v>
      </c>
      <c r="K231" s="63" cm="1">
        <f t="array" ref="K231" xml:space="preserve"> ( $D$2*SUM( ( ($B$12:$B$29) * ($B$12:$B$29)* EXP($B$12:$B$29/H231) ) / ( H231*H231* ( EXP(( $B$12:$B$29)/H231 )  -1)^2 ) ) ) / 4.184</f>
        <v>17.761957100336211</v>
      </c>
      <c r="M231" s="73" t="s">
        <v>6</v>
      </c>
      <c r="N231" s="97">
        <v>10.096</v>
      </c>
      <c r="O231" s="83"/>
    </row>
    <row r="232" spans="1:15" x14ac:dyDescent="0.3">
      <c r="B232" s="56">
        <f t="shared" si="51"/>
        <v>900</v>
      </c>
      <c r="C232" s="63">
        <f t="shared" si="49"/>
        <v>12.471708</v>
      </c>
      <c r="D232" s="63">
        <f t="shared" si="49"/>
        <v>12.471708</v>
      </c>
      <c r="E232" s="63" cm="1">
        <f t="array" ref="E232">$D$2*SUM( ( ($B$12:$B$29) * ($B$12:$B$29)* EXP($B$12:$B$29/B232) ) / ( B232*B232* ( EXP(( $B$12:$B$29)/B232 )  -1)^2 ) )</f>
        <v>82.418546703984362</v>
      </c>
      <c r="H232" s="56">
        <f t="shared" si="52"/>
        <v>900</v>
      </c>
      <c r="I232" s="63">
        <f t="shared" si="50"/>
        <v>2.9808097514340344</v>
      </c>
      <c r="J232" s="63">
        <f t="shared" si="50"/>
        <v>2.9808097514340344</v>
      </c>
      <c r="K232" s="63" cm="1">
        <f t="array" ref="K232" xml:space="preserve"> ( $D$2*SUM( ( ($B$12:$B$29) * ($B$12:$B$29)* EXP($B$12:$B$29/H232) ) / ( H232*H232* ( EXP(( $B$12:$B$29)/H232 )  -1)^2 ) ) ) / 4.184</f>
        <v>19.698505426382496</v>
      </c>
      <c r="M232" s="73" t="s">
        <v>7</v>
      </c>
      <c r="N232" s="80" t="s">
        <v>8</v>
      </c>
      <c r="O232" s="83"/>
    </row>
    <row r="233" spans="1:15" x14ac:dyDescent="0.3">
      <c r="B233" s="56">
        <f t="shared" si="51"/>
        <v>1000</v>
      </c>
      <c r="C233" s="63">
        <f t="shared" si="49"/>
        <v>12.471708</v>
      </c>
      <c r="D233" s="63">
        <f t="shared" si="49"/>
        <v>12.471708</v>
      </c>
      <c r="E233" s="63" cm="1">
        <f t="array" ref="E233">$D$2*SUM( ( ($B$12:$B$29) * ($B$12:$B$29)* EXP($B$12:$B$29/B233) ) / ( B233*B233* ( EXP(( $B$12:$B$29)/B233 )  -1)^2 ) )</f>
        <v>89.561866666513538</v>
      </c>
      <c r="H233" s="56">
        <f t="shared" si="52"/>
        <v>1000</v>
      </c>
      <c r="I233" s="63">
        <f t="shared" si="50"/>
        <v>2.9808097514340344</v>
      </c>
      <c r="J233" s="63">
        <f t="shared" si="50"/>
        <v>2.9808097514340344</v>
      </c>
      <c r="K233" s="63" cm="1">
        <f t="array" ref="K233" xml:space="preserve"> ( $D$2*SUM( ( ($B$12:$B$29) * ($B$12:$B$29)* EXP($B$12:$B$29/H233) ) / ( H233*H233* ( EXP(( $B$12:$B$29)/H233 )  -1)^2 ) ) ) / 4.184</f>
        <v>21.405799872493674</v>
      </c>
      <c r="M233" s="73" t="s">
        <v>9</v>
      </c>
      <c r="N233" s="80">
        <v>2.9809999999999999</v>
      </c>
      <c r="O233" s="83"/>
    </row>
    <row r="234" spans="1:15" x14ac:dyDescent="0.3">
      <c r="B234" s="56">
        <f t="shared" si="51"/>
        <v>1100</v>
      </c>
      <c r="C234" s="63">
        <f t="shared" si="49"/>
        <v>12.471708</v>
      </c>
      <c r="D234" s="63">
        <f t="shared" si="49"/>
        <v>12.471708</v>
      </c>
      <c r="E234" s="63" cm="1">
        <f t="array" ref="E234">$D$2*SUM( ( ($B$12:$B$29) * ($B$12:$B$29)* EXP($B$12:$B$29/B234) ) / ( B234*B234* ( EXP(( $B$12:$B$29)/B234 )  -1)^2 ) )</f>
        <v>95.845132454927111</v>
      </c>
      <c r="H234" s="56">
        <f t="shared" si="52"/>
        <v>1100</v>
      </c>
      <c r="I234" s="63">
        <f t="shared" si="50"/>
        <v>2.9808097514340344</v>
      </c>
      <c r="J234" s="63">
        <f t="shared" si="50"/>
        <v>2.9808097514340344</v>
      </c>
      <c r="K234" s="63" cm="1">
        <f t="array" ref="K234" xml:space="preserve"> ( $D$2*SUM( ( ($B$12:$B$29) * ($B$12:$B$29)* EXP($B$12:$B$29/H234) ) / ( H234*H234* ( EXP(( $B$12:$B$29)/H234 )  -1)^2 ) ) ) / 4.184</f>
        <v>22.907536437602079</v>
      </c>
      <c r="M234" s="73" t="s">
        <v>10</v>
      </c>
      <c r="N234" s="80">
        <v>2.9809999999999999</v>
      </c>
      <c r="O234" s="83"/>
    </row>
    <row r="235" spans="1:15" x14ac:dyDescent="0.3">
      <c r="B235" s="56">
        <f t="shared" si="51"/>
        <v>1200</v>
      </c>
      <c r="C235" s="63">
        <f t="shared" si="49"/>
        <v>12.471708</v>
      </c>
      <c r="D235" s="63">
        <f t="shared" si="49"/>
        <v>12.471708</v>
      </c>
      <c r="E235" s="63" cm="1">
        <f t="array" ref="E235">$D$2*SUM( ( ($B$12:$B$29) * ($B$12:$B$29)* EXP($B$12:$B$29/B235) ) / ( B235*B235* ( EXP(( $B$12:$B$29)/B235 )  -1)^2 ) )</f>
        <v>101.36092625296163</v>
      </c>
      <c r="H235" s="56">
        <f t="shared" si="52"/>
        <v>1200</v>
      </c>
      <c r="I235" s="63">
        <f t="shared" si="50"/>
        <v>2.9808097514340344</v>
      </c>
      <c r="J235" s="63">
        <f t="shared" si="50"/>
        <v>2.9808097514340344</v>
      </c>
      <c r="K235" s="63" cm="1">
        <f t="array" ref="K235" xml:space="preserve"> ( $D$2*SUM( ( ($B$12:$B$29) * ($B$12:$B$29)* EXP($B$12:$B$29/H235) ) / ( H235*H235* ( EXP(( $B$12:$B$29)/H235 )  -1)^2 ) ) ) / 4.184</f>
        <v>24.225842794684901</v>
      </c>
      <c r="M235" s="73" t="s">
        <v>11</v>
      </c>
      <c r="N235" s="80">
        <v>4.1349999999999998</v>
      </c>
      <c r="O235" s="83"/>
    </row>
    <row r="236" spans="1:15" ht="15" thickBot="1" x14ac:dyDescent="0.35">
      <c r="B236" s="56">
        <f t="shared" si="51"/>
        <v>1300</v>
      </c>
      <c r="C236" s="63">
        <f t="shared" si="49"/>
        <v>12.471708</v>
      </c>
      <c r="D236" s="63">
        <f t="shared" si="49"/>
        <v>12.471708</v>
      </c>
      <c r="E236" s="63" cm="1">
        <f t="array" ref="E236">$D$2*SUM( ( ($B$12:$B$29) * ($B$12:$B$29)* EXP($B$12:$B$29/B236) ) / ( B236*B236* ( EXP(( $B$12:$B$29)/B236 )  -1)^2 ) )</f>
        <v>106.19746065248368</v>
      </c>
      <c r="H236" s="56">
        <f t="shared" si="52"/>
        <v>1300</v>
      </c>
      <c r="I236" s="63">
        <f t="shared" si="50"/>
        <v>2.9808097514340344</v>
      </c>
      <c r="J236" s="63">
        <f t="shared" si="50"/>
        <v>2.9808097514340344</v>
      </c>
      <c r="K236" s="63" cm="1">
        <f t="array" ref="K236" xml:space="preserve"> ( $D$2*SUM( ( ($B$12:$B$29) * ($B$12:$B$29)* EXP($B$12:$B$29/H236) ) / ( H236*H236* ( EXP(( $B$12:$B$29)/H236 )  -1)^2 ) ) ) / 4.184</f>
        <v>25.381802259197819</v>
      </c>
      <c r="M236" s="74" t="s">
        <v>12</v>
      </c>
      <c r="N236" s="82">
        <v>1.6579999999999999</v>
      </c>
      <c r="O236" s="83"/>
    </row>
    <row r="237" spans="1:15" x14ac:dyDescent="0.3">
      <c r="B237" s="56">
        <f t="shared" si="51"/>
        <v>1400</v>
      </c>
      <c r="C237" s="63">
        <f t="shared" si="49"/>
        <v>12.471708</v>
      </c>
      <c r="D237" s="63">
        <f t="shared" si="49"/>
        <v>12.471708</v>
      </c>
      <c r="E237" s="63" cm="1">
        <f t="array" ref="E237">$D$2*SUM( ( ($B$12:$B$29) * ($B$12:$B$29)* EXP($B$12:$B$29/B237) ) / ( B237*B237* ( EXP(( $B$12:$B$29)/B237 )  -1)^2 ) )</f>
        <v>110.4376900461762</v>
      </c>
      <c r="H237" s="56">
        <f t="shared" si="52"/>
        <v>1400</v>
      </c>
      <c r="I237" s="63">
        <f t="shared" si="50"/>
        <v>2.9808097514340344</v>
      </c>
      <c r="J237" s="63">
        <f t="shared" si="50"/>
        <v>2.9808097514340344</v>
      </c>
      <c r="K237" s="63" cm="1">
        <f t="array" ref="K237" xml:space="preserve"> ( $D$2*SUM( ( ($B$12:$B$29) * ($B$12:$B$29)* EXP($B$12:$B$29/H237) ) / ( H237*H237* ( EXP(( $B$12:$B$29)/H237 )  -1)^2 ) ) ) / 4.184</f>
        <v>26.395241406829875</v>
      </c>
    </row>
    <row r="238" spans="1:15" x14ac:dyDescent="0.3">
      <c r="B238" s="56">
        <f t="shared" si="51"/>
        <v>1500</v>
      </c>
      <c r="C238" s="63">
        <f t="shared" si="49"/>
        <v>12.471708</v>
      </c>
      <c r="D238" s="63">
        <f t="shared" si="49"/>
        <v>12.471708</v>
      </c>
      <c r="E238" s="63" cm="1">
        <f t="array" ref="E238">$D$2*SUM( ( ($B$12:$B$29) * ($B$12:$B$29)* EXP($B$12:$B$29/B238) ) / ( B238*B238* ( EXP(( $B$12:$B$29)/B238 )  -1)^2 ) )</f>
        <v>114.15786283318096</v>
      </c>
      <c r="H238" s="56">
        <f t="shared" si="52"/>
        <v>1500</v>
      </c>
      <c r="I238" s="63">
        <f t="shared" si="50"/>
        <v>2.9808097514340344</v>
      </c>
      <c r="J238" s="63">
        <f t="shared" si="50"/>
        <v>2.9808097514340344</v>
      </c>
      <c r="K238" s="63" cm="1">
        <f t="array" ref="K238" xml:space="preserve"> ( $D$2*SUM( ( ($B$12:$B$29) * ($B$12:$B$29)* EXP($B$12:$B$29/H238) ) / ( H238*H238* ( EXP(( $B$12:$B$29)/H238 )  -1)^2 ) ) ) / 4.184</f>
        <v>27.284384042347263</v>
      </c>
    </row>
    <row r="239" spans="1:15" x14ac:dyDescent="0.3">
      <c r="B239" s="56">
        <f t="shared" si="51"/>
        <v>1600</v>
      </c>
      <c r="C239" s="63">
        <f t="shared" si="49"/>
        <v>12.471708</v>
      </c>
      <c r="D239" s="63">
        <f t="shared" si="49"/>
        <v>12.471708</v>
      </c>
      <c r="E239" s="63" cm="1">
        <f t="array" ref="E239">$D$2*SUM( ( ($B$12:$B$29) * ($B$12:$B$29)* EXP($B$12:$B$29/B239) ) / ( B239*B239* ( EXP(( $B$12:$B$29)/B239 )  -1)^2 ) )</f>
        <v>117.42655777813738</v>
      </c>
      <c r="H239" s="56">
        <f t="shared" si="52"/>
        <v>1600</v>
      </c>
      <c r="I239" s="63">
        <f t="shared" si="50"/>
        <v>2.9808097514340344</v>
      </c>
      <c r="J239" s="63">
        <f t="shared" si="50"/>
        <v>2.9808097514340344</v>
      </c>
      <c r="K239" s="63" cm="1">
        <f t="array" ref="K239" xml:space="preserve"> ( $D$2*SUM( ( ($B$12:$B$29) * ($B$12:$B$29)* EXP($B$12:$B$29/H239) ) / ( H239*H239* ( EXP(( $B$12:$B$29)/H239 )  -1)^2 ) ) ) / 4.184</f>
        <v>28.065620883876047</v>
      </c>
      <c r="M239" s="2" t="s">
        <v>99</v>
      </c>
      <c r="N239" s="98">
        <f>SUM(I226:L226)</f>
        <v>10.148050306589536</v>
      </c>
    </row>
    <row r="240" spans="1:15" x14ac:dyDescent="0.3">
      <c r="B240" s="56">
        <f t="shared" si="51"/>
        <v>1700</v>
      </c>
      <c r="C240" s="63">
        <f t="shared" si="49"/>
        <v>12.471708</v>
      </c>
      <c r="D240" s="63">
        <f t="shared" si="49"/>
        <v>12.471708</v>
      </c>
      <c r="E240" s="63" cm="1">
        <f t="array" ref="E240">$D$2*SUM( ( ($B$12:$B$29) * ($B$12:$B$29)* EXP($B$12:$B$29/B240) ) / ( B240*B240* ( EXP(( $B$12:$B$29)/B240 )  -1)^2 ) )</f>
        <v>120.30439182859203</v>
      </c>
      <c r="H240" s="56">
        <f t="shared" si="52"/>
        <v>1700</v>
      </c>
      <c r="I240" s="63">
        <f t="shared" si="50"/>
        <v>2.9808097514340344</v>
      </c>
      <c r="J240" s="63">
        <f t="shared" si="50"/>
        <v>2.9808097514340344</v>
      </c>
      <c r="K240" s="63" cm="1">
        <f t="array" ref="K240" xml:space="preserve"> ( $D$2*SUM( ( ($B$12:$B$29) * ($B$12:$B$29)* EXP($B$12:$B$29/H240) ) / ( H240*H240* ( EXP(( $B$12:$B$29)/H240 )  -1)^2 ) ) ) / 4.184</f>
        <v>28.753439729587004</v>
      </c>
    </row>
    <row r="241" spans="1:12" x14ac:dyDescent="0.3">
      <c r="B241" s="56">
        <f t="shared" si="51"/>
        <v>1800</v>
      </c>
      <c r="C241" s="63">
        <f t="shared" si="49"/>
        <v>12.471708</v>
      </c>
      <c r="D241" s="63">
        <f t="shared" si="49"/>
        <v>12.471708</v>
      </c>
      <c r="E241" s="63" cm="1">
        <f t="array" ref="E241">$D$2*SUM( ( ($B$12:$B$29) * ($B$12:$B$29)* EXP($B$12:$B$29/B241) ) / ( B241*B241* ( EXP(( $B$12:$B$29)/B241 )  -1)^2 ) )</f>
        <v>122.84426092407969</v>
      </c>
      <c r="H241" s="56">
        <f t="shared" si="52"/>
        <v>1800</v>
      </c>
      <c r="I241" s="63">
        <f t="shared" si="50"/>
        <v>2.9808097514340344</v>
      </c>
      <c r="J241" s="63">
        <f t="shared" si="50"/>
        <v>2.9808097514340344</v>
      </c>
      <c r="K241" s="63" cm="1">
        <f t="array" ref="K241" xml:space="preserve"> ( $D$2*SUM( ( ($B$12:$B$29) * ($B$12:$B$29)* EXP($B$12:$B$29/H241) ) / ( H241*H241* ( EXP(( $B$12:$B$29)/H241 )  -1)^2 ) ) ) / 4.184</f>
        <v>29.360483012447343</v>
      </c>
    </row>
    <row r="242" spans="1:12" x14ac:dyDescent="0.3">
      <c r="B242" s="56">
        <f t="shared" si="51"/>
        <v>1900</v>
      </c>
      <c r="C242" s="63">
        <f t="shared" si="49"/>
        <v>12.471708</v>
      </c>
      <c r="D242" s="63">
        <f t="shared" si="49"/>
        <v>12.471708</v>
      </c>
      <c r="E242" s="63" cm="1">
        <f t="array" ref="E242">$D$2*SUM( ( ($B$12:$B$29) * ($B$12:$B$29)* EXP($B$12:$B$29/B242) ) / ( B242*B242* ( EXP(( $B$12:$B$29)/B242 )  -1)^2 ) )</f>
        <v>125.09191205556945</v>
      </c>
      <c r="H242" s="56">
        <f t="shared" si="52"/>
        <v>1900</v>
      </c>
      <c r="I242" s="63">
        <f t="shared" si="50"/>
        <v>2.9808097514340344</v>
      </c>
      <c r="J242" s="63">
        <f t="shared" si="50"/>
        <v>2.9808097514340344</v>
      </c>
      <c r="K242" s="63" cm="1">
        <f t="array" ref="K242" xml:space="preserve"> ( $D$2*SUM( ( ($B$12:$B$29) * ($B$12:$B$29)* EXP($B$12:$B$29/H242) ) / ( H242*H242* ( EXP(( $B$12:$B$29)/H242 )  -1)^2 ) ) ) / 4.184</f>
        <v>29.897684525709714</v>
      </c>
    </row>
    <row r="243" spans="1:12" x14ac:dyDescent="0.3">
      <c r="B243" s="56">
        <f t="shared" si="51"/>
        <v>2000</v>
      </c>
      <c r="C243" s="63">
        <f t="shared" si="49"/>
        <v>12.471708</v>
      </c>
      <c r="D243" s="63">
        <f t="shared" si="49"/>
        <v>12.471708</v>
      </c>
      <c r="E243" s="63" cm="1">
        <f t="array" ref="E243">$D$2*SUM( ( ($B$12:$B$29) * ($B$12:$B$29)* EXP($B$12:$B$29/B243) ) / ( B243*B243* ( EXP(( $B$12:$B$29)/B243 )  -1)^2 ) )</f>
        <v>127.08667751118901</v>
      </c>
      <c r="H243" s="56">
        <f t="shared" si="52"/>
        <v>2000</v>
      </c>
      <c r="I243" s="63">
        <f t="shared" si="50"/>
        <v>2.9808097514340344</v>
      </c>
      <c r="J243" s="63">
        <f t="shared" si="50"/>
        <v>2.9808097514340344</v>
      </c>
      <c r="K243" s="63" cm="1">
        <f t="array" ref="K243" xml:space="preserve"> ( $D$2*SUM( ( ($B$12:$B$29) * ($B$12:$B$29)* EXP($B$12:$B$29/H243) ) / ( H243*H243* ( EXP(( $B$12:$B$29)/H243 )  -1)^2 ) ) ) / 4.184</f>
        <v>30.374444911852056</v>
      </c>
    </row>
    <row r="244" spans="1:12" ht="15" thickBot="1" x14ac:dyDescent="0.35">
      <c r="B244" s="31">
        <f t="shared" si="51"/>
        <v>2100</v>
      </c>
      <c r="C244" s="64">
        <f t="shared" si="49"/>
        <v>12.471708</v>
      </c>
      <c r="D244" s="64">
        <f t="shared" si="49"/>
        <v>12.471708</v>
      </c>
      <c r="E244" s="64" cm="1">
        <f t="array" ref="E244">$D$2*SUM( ( ($B$12:$B$29) * ($B$12:$B$29)* EXP($B$12:$B$29/B244) ) / ( B244*B244* ( EXP(( $B$12:$B$29)/B244 )  -1)^2 ) )</f>
        <v>128.86225515906077</v>
      </c>
      <c r="F244" s="3"/>
      <c r="H244" s="31">
        <f t="shared" si="52"/>
        <v>2100</v>
      </c>
      <c r="I244" s="64">
        <f t="shared" si="50"/>
        <v>2.9808097514340344</v>
      </c>
      <c r="J244" s="64">
        <f t="shared" si="50"/>
        <v>2.9808097514340344</v>
      </c>
      <c r="K244" s="64" cm="1">
        <f t="array" ref="K244" xml:space="preserve"> ( $D$2*SUM( ( ($B$12:$B$29) * ($B$12:$B$29)* EXP($B$12:$B$29/H244) ) / ( H244*H244* ( EXP(( $B$12:$B$29)/H244 )  -1)^2 ) ) ) / 4.184</f>
        <v>30.798818154651233</v>
      </c>
      <c r="L244" s="3"/>
    </row>
    <row r="247" spans="1:12" ht="15" thickBot="1" x14ac:dyDescent="0.35">
      <c r="A247" s="2" t="s">
        <v>84</v>
      </c>
    </row>
    <row r="248" spans="1:12" ht="18" x14ac:dyDescent="0.3">
      <c r="A248" s="2" t="s">
        <v>85</v>
      </c>
      <c r="B248" s="58" t="s">
        <v>23</v>
      </c>
      <c r="C248" s="37" t="s">
        <v>73</v>
      </c>
      <c r="D248" s="37" t="s">
        <v>10</v>
      </c>
      <c r="E248" s="37" t="s">
        <v>11</v>
      </c>
      <c r="F248" s="37" t="s">
        <v>74</v>
      </c>
    </row>
    <row r="249" spans="1:12" ht="15" thickBot="1" x14ac:dyDescent="0.35">
      <c r="B249" s="56">
        <f>300</f>
        <v>300</v>
      </c>
      <c r="C249" s="63">
        <f xml:space="preserve"> -1 * $D$2 * LN( (($A$2 *B249) / $F$83 ) /$F$2 * EXP(1) * $G$2 )</f>
        <v>316.49891757051802</v>
      </c>
      <c r="D249" s="63">
        <f>$D$2 * B249*LN( (B249) / ($B$6 * $C$198))</f>
        <v>13953.532126342143</v>
      </c>
      <c r="E249" s="63" cm="1">
        <f t="array" ref="E249">$D$2*SUM( ( 0.5 * ($B$12:$B$29)  - B249 * LN( 1 - EXP( - ($B$12:$B$29) / B249 ) ) ) )</f>
        <v>196668.90413506588</v>
      </c>
      <c r="F249" s="64">
        <f>$F$2*$B$134 + 0.5*$D$2*SUM(B12:B29)</f>
        <v>-209232417.16789675</v>
      </c>
    </row>
    <row r="250" spans="1:12" x14ac:dyDescent="0.3">
      <c r="B250" s="56">
        <f>B249+100</f>
        <v>400</v>
      </c>
      <c r="C250" s="63">
        <f t="shared" ref="C250:C267" si="53" xml:space="preserve"> -1 * $D$2 * LN( (($A$2 *B250) / $F$83 ) /$F$2 * EXP(1) * $G$2 )</f>
        <v>314.10699303421575</v>
      </c>
      <c r="D250" s="63">
        <f t="shared" ref="D250:D267" si="54">$D$2 * B250*LN( (B250) / ($B$6 * $C$198))</f>
        <v>19561.479316310448</v>
      </c>
      <c r="E250" s="63" cm="1">
        <f t="array" ref="E250">$D$2*SUM( ( 0.5 * ($B$12:$B$29)  - B250 * LN( 1 - EXP( - ($B$12:$B$29) / B250 ) ) ) )</f>
        <v>197838.28469413932</v>
      </c>
    </row>
    <row r="251" spans="1:12" x14ac:dyDescent="0.3">
      <c r="B251" s="56">
        <f t="shared" ref="B251:B267" si="55">B250+100</f>
        <v>500</v>
      </c>
      <c r="C251" s="63">
        <f t="shared" si="53"/>
        <v>312.25167222483321</v>
      </c>
      <c r="D251" s="63">
        <f t="shared" si="54"/>
        <v>25379.509550079336</v>
      </c>
      <c r="E251" s="63" cm="1">
        <f t="array" ref="E251">$D$2*SUM( ( 0.5 * ($B$12:$B$29)  - B251 * LN( 1 - EXP( - ($B$12:$B$29) / B251 ) ) ) )</f>
        <v>199757.06113782697</v>
      </c>
    </row>
    <row r="252" spans="1:12" x14ac:dyDescent="0.3">
      <c r="B252" s="56">
        <f t="shared" si="55"/>
        <v>600</v>
      </c>
      <c r="C252" s="63">
        <f t="shared" si="53"/>
        <v>310.73576474587338</v>
      </c>
      <c r="D252" s="63">
        <f t="shared" si="54"/>
        <v>31364.955947471051</v>
      </c>
      <c r="E252" s="63" cm="1">
        <f t="array" ref="E252">$D$2*SUM( ( 0.5 * ($B$12:$B$29)  - B252 * LN( 1 - EXP( - ($B$12:$B$29) / B252 ) ) ) )</f>
        <v>202532.20198713834</v>
      </c>
    </row>
    <row r="253" spans="1:12" x14ac:dyDescent="0.3">
      <c r="B253" s="56">
        <f t="shared" si="55"/>
        <v>700</v>
      </c>
      <c r="C253" s="63">
        <f t="shared" si="53"/>
        <v>309.45408323466876</v>
      </c>
      <c r="D253" s="63">
        <f t="shared" si="54"/>
        <v>37489.625663226187</v>
      </c>
      <c r="E253" s="63" cm="1">
        <f t="array" ref="E253">$D$2*SUM( ( 0.5 * ($B$12:$B$29)  - B253 * LN( 1 - EXP( - ($B$12:$B$29) / B253 ) ) ) )</f>
        <v>206217.14389741881</v>
      </c>
    </row>
    <row r="254" spans="1:12" x14ac:dyDescent="0.3">
      <c r="B254" s="56">
        <f t="shared" si="55"/>
        <v>800</v>
      </c>
      <c r="C254" s="63">
        <f t="shared" si="53"/>
        <v>308.34384020957111</v>
      </c>
      <c r="D254" s="63">
        <f t="shared" si="54"/>
        <v>43733.480892336578</v>
      </c>
      <c r="E254" s="63" cm="1">
        <f t="array" ref="E254">$D$2*SUM( ( 0.5 * ($B$12:$B$29)  - B254 * LN( 1 - EXP( - ($B$12:$B$29) / B254 ) ) ) )</f>
        <v>210831.05155982598</v>
      </c>
    </row>
    <row r="255" spans="1:12" x14ac:dyDescent="0.3">
      <c r="B255" s="56">
        <f t="shared" si="55"/>
        <v>900</v>
      </c>
      <c r="C255" s="63">
        <f t="shared" si="53"/>
        <v>307.36453645753113</v>
      </c>
      <c r="D255" s="63">
        <f t="shared" si="54"/>
        <v>50081.539380714647</v>
      </c>
      <c r="E255" s="63" cm="1">
        <f t="array" ref="E255">$D$2*SUM( ( 0.5 * ($B$12:$B$29)  - B255 * LN( 1 - EXP( - ($B$12:$B$29) / B255 ) ) ) )</f>
        <v>216372.95976657348</v>
      </c>
    </row>
    <row r="256" spans="1:12" x14ac:dyDescent="0.3">
      <c r="B256" s="56">
        <f t="shared" si="55"/>
        <v>1000</v>
      </c>
      <c r="C256" s="63">
        <f t="shared" si="53"/>
        <v>306.48851940018858</v>
      </c>
      <c r="D256" s="63">
        <f t="shared" si="54"/>
        <v>56522.171924803275</v>
      </c>
      <c r="E256" s="63" cm="1">
        <f t="array" ref="E256">$D$2*SUM( ( 0.5 * ($B$12:$B$29)  - B256 * LN( 1 - EXP( - ($B$12:$B$29) / B256 ) ) ) )</f>
        <v>222830.05720775801</v>
      </c>
    </row>
    <row r="257" spans="1:12" x14ac:dyDescent="0.3">
      <c r="B257" s="56">
        <f t="shared" si="55"/>
        <v>1100</v>
      </c>
      <c r="C257" s="63">
        <f t="shared" si="53"/>
        <v>305.69606557889057</v>
      </c>
      <c r="D257" s="63">
        <f t="shared" si="54"/>
        <v>63046.088320711438</v>
      </c>
      <c r="E257" s="63" cm="1">
        <f t="array" ref="E257">$D$2*SUM( ( 0.5 * ($B$12:$B$29)  - B257 * LN( 1 - EXP( - ($B$12:$B$29) / B257 ) ) ) )</f>
        <v>230182.4308674309</v>
      </c>
    </row>
    <row r="258" spans="1:12" x14ac:dyDescent="0.3">
      <c r="B258" s="56">
        <f t="shared" si="55"/>
        <v>1200</v>
      </c>
      <c r="C258" s="63">
        <f t="shared" si="53"/>
        <v>304.97261192122886</v>
      </c>
      <c r="D258" s="63">
        <f t="shared" si="54"/>
        <v>69645.695284515634</v>
      </c>
      <c r="E258" s="63" cm="1">
        <f t="array" ref="E258">$D$2*SUM( ( 0.5 * ($B$12:$B$29)  - B258 * LN( 1 - EXP( - ($B$12:$B$29) / B258 ) ) ) )</f>
        <v>238405.93080936288</v>
      </c>
    </row>
    <row r="259" spans="1:12" x14ac:dyDescent="0.3">
      <c r="B259" s="56">
        <f t="shared" si="55"/>
        <v>1300</v>
      </c>
      <c r="C259" s="63">
        <f t="shared" si="53"/>
        <v>304.307099069473</v>
      </c>
      <c r="D259" s="63">
        <f t="shared" si="54"/>
        <v>76314.669932174467</v>
      </c>
      <c r="E259" s="63" cm="1">
        <f t="array" ref="E259">$D$2*SUM( ( 0.5 * ($B$12:$B$29)  - B259 * LN( 1 - EXP( - ($B$12:$B$29) / B259 ) ) ) )</f>
        <v>247474.01288595315</v>
      </c>
    </row>
    <row r="260" spans="1:12" x14ac:dyDescent="0.3">
      <c r="B260" s="56">
        <f t="shared" si="55"/>
        <v>1400</v>
      </c>
      <c r="C260" s="63">
        <f t="shared" si="53"/>
        <v>303.69093041002412</v>
      </c>
      <c r="D260" s="63">
        <f t="shared" si="54"/>
        <v>83047.66528095481</v>
      </c>
      <c r="E260" s="63" cm="1">
        <f t="array" ref="E260">$D$2*SUM( ( 0.5 * ($B$12:$B$29)  - B260 * LN( 1 - EXP( - ($B$12:$B$29) / B260 ) ) ) )</f>
        <v>257358.97526097245</v>
      </c>
    </row>
    <row r="261" spans="1:12" x14ac:dyDescent="0.3">
      <c r="B261" s="56">
        <f t="shared" si="55"/>
        <v>1500</v>
      </c>
      <c r="C261" s="63">
        <f t="shared" si="53"/>
        <v>303.11729111184627</v>
      </c>
      <c r="D261" s="63">
        <f t="shared" si="54"/>
        <v>89840.100319718375</v>
      </c>
      <c r="E261" s="63" cm="1">
        <f t="array" ref="E261">$D$2*SUM( ( 0.5 * ($B$12:$B$29)  - B261 * LN( 1 - EXP( - ($B$12:$B$29) / B261 ) ) ) )</f>
        <v>268032.80194761069</v>
      </c>
    </row>
    <row r="262" spans="1:12" x14ac:dyDescent="0.3">
      <c r="B262" s="56">
        <f t="shared" si="55"/>
        <v>1600</v>
      </c>
      <c r="C262" s="63">
        <f t="shared" si="53"/>
        <v>302.58068738492653</v>
      </c>
      <c r="D262" s="63">
        <f t="shared" si="54"/>
        <v>96688.006304104536</v>
      </c>
      <c r="E262" s="63" cm="1">
        <f t="array" ref="E262">$D$2*SUM( ( 0.5 * ($B$12:$B$29)  - B262 * LN( 1 - EXP( - ($B$12:$B$29) / B262 ) ) ) )</f>
        <v>279467.73592650361</v>
      </c>
    </row>
    <row r="263" spans="1:12" x14ac:dyDescent="0.3">
      <c r="B263" s="56">
        <f t="shared" si="55"/>
        <v>1700</v>
      </c>
      <c r="C263" s="63">
        <f t="shared" si="53"/>
        <v>302.07662566432322</v>
      </c>
      <c r="D263" s="63">
        <f t="shared" si="54"/>
        <v>103587.91162313674</v>
      </c>
      <c r="E263" s="63" cm="1">
        <f t="array" ref="E263">$D$2*SUM( ( 0.5 * ($B$12:$B$29)  - B263 * LN( 1 - EXP( - ($B$12:$B$29) / B263 ) ) ) )</f>
        <v>291636.66073356895</v>
      </c>
    </row>
    <row r="264" spans="1:12" x14ac:dyDescent="0.3">
      <c r="B264" s="56">
        <f t="shared" si="55"/>
        <v>1800</v>
      </c>
      <c r="C264" s="63">
        <f t="shared" si="53"/>
        <v>301.6013836328865</v>
      </c>
      <c r="D264" s="63">
        <f t="shared" si="54"/>
        <v>110536.7538457896</v>
      </c>
      <c r="E264" s="63" cm="1">
        <f t="array" ref="E264">$D$2*SUM( ( 0.5 * ($B$12:$B$29)  - B264 * LN( 1 - EXP( - ($B$12:$B$29) / B264 ) ) ) )</f>
        <v>304513.34524014214</v>
      </c>
    </row>
    <row r="265" spans="1:12" x14ac:dyDescent="0.3">
      <c r="B265" s="56">
        <f t="shared" si="55"/>
        <v>1900</v>
      </c>
      <c r="C265" s="63">
        <f t="shared" si="53"/>
        <v>301.15184323551705</v>
      </c>
      <c r="D265" s="63">
        <f t="shared" si="54"/>
        <v>117531.81137000221</v>
      </c>
      <c r="E265" s="63" cm="1">
        <f t="array" ref="E265">$D$2*SUM( ( 0.5 * ($B$12:$B$29)  - B265 * LN( 1 - EXP( - ($B$12:$B$29) / B265 ) ) ) )</f>
        <v>318072.59098650381</v>
      </c>
    </row>
    <row r="266" spans="1:12" x14ac:dyDescent="0.3">
      <c r="B266" s="56">
        <f t="shared" si="55"/>
        <v>2000</v>
      </c>
      <c r="C266" s="63">
        <f t="shared" si="53"/>
        <v>300.72536657554394</v>
      </c>
      <c r="D266" s="63">
        <f t="shared" si="54"/>
        <v>124570.64949889577</v>
      </c>
      <c r="E266" s="63" cm="1">
        <f t="array" ref="E266">$D$2*SUM( ( 0.5 * ($B$12:$B$29)  - B266 * LN( 1 - EXP( - ($B$12:$B$29) / B266 ) ) ) )</f>
        <v>332290.31072826224</v>
      </c>
    </row>
    <row r="267" spans="1:12" ht="15" thickBot="1" x14ac:dyDescent="0.35">
      <c r="B267" s="31">
        <f t="shared" si="55"/>
        <v>2100</v>
      </c>
      <c r="C267" s="64">
        <f t="shared" si="53"/>
        <v>300.31970212168181</v>
      </c>
      <c r="D267" s="64">
        <f t="shared" si="54"/>
        <v>131651.07732695108</v>
      </c>
      <c r="E267" s="64" cm="1">
        <f t="array" ref="E267">$D$2*SUM( ( 0.5 * ($B$12:$B$29)  - B267 * LN( 1 - EXP( - ($B$12:$B$29) / B267 ) ) ) )</f>
        <v>347143.55907076085</v>
      </c>
      <c r="F267" s="3"/>
    </row>
    <row r="272" spans="1:12" ht="15" thickBot="1" x14ac:dyDescent="0.35">
      <c r="A272" s="2" t="s">
        <v>98</v>
      </c>
      <c r="B272" s="139" t="s">
        <v>96</v>
      </c>
      <c r="C272" s="139"/>
      <c r="D272" s="139"/>
      <c r="E272" s="139"/>
      <c r="F272" s="139"/>
      <c r="H272" s="139" t="s">
        <v>97</v>
      </c>
      <c r="I272" s="139"/>
      <c r="J272" s="139"/>
      <c r="K272" s="139"/>
      <c r="L272" s="139"/>
    </row>
    <row r="273" spans="1:12" ht="18" x14ac:dyDescent="0.3">
      <c r="A273" s="2" t="s">
        <v>77</v>
      </c>
      <c r="B273" s="58" t="s">
        <v>23</v>
      </c>
      <c r="C273" s="37" t="s">
        <v>73</v>
      </c>
      <c r="D273" s="37" t="s">
        <v>10</v>
      </c>
      <c r="E273" s="37" t="s">
        <v>11</v>
      </c>
      <c r="F273" s="37" t="s">
        <v>74</v>
      </c>
      <c r="H273" s="58" t="s">
        <v>23</v>
      </c>
      <c r="I273" s="96" t="s">
        <v>73</v>
      </c>
      <c r="J273" s="96" t="s">
        <v>10</v>
      </c>
      <c r="K273" s="96" t="s">
        <v>11</v>
      </c>
      <c r="L273" s="37" t="s">
        <v>74</v>
      </c>
    </row>
    <row r="274" spans="1:12" ht="15" thickBot="1" x14ac:dyDescent="0.35">
      <c r="B274" s="56">
        <f>300</f>
        <v>300</v>
      </c>
      <c r="C274" s="63">
        <f>3/2*$D$2 + $D$2</f>
        <v>20.786180000000002</v>
      </c>
      <c r="D274" s="63">
        <f>3/2*$D$2  + $D$2</f>
        <v>20.786180000000002</v>
      </c>
      <c r="E274" s="63" cm="1">
        <f t="array" ref="E274">$D$2*SUM( ( ($B$12:$B$29) * ($B$12:$B$29)* EXP($B$12:$B$29/B274) ) / ( B274*B274* ( EXP(( $B$12:$B$29)/B274 )  -1)^2 ) ) +   $D$2</f>
        <v>25.830498482770622</v>
      </c>
      <c r="F274" s="64" t="s">
        <v>81</v>
      </c>
      <c r="H274" s="56">
        <f>300</f>
        <v>300</v>
      </c>
      <c r="I274" s="86">
        <f>(3/2*$D$2  + $D$2)/ 4.184</f>
        <v>4.9680162523900577</v>
      </c>
      <c r="J274" s="86">
        <f>(3/2*$D$2 + $D$2) / 4.184</f>
        <v>4.9680162523900577</v>
      </c>
      <c r="K274" s="86" cm="1">
        <f t="array" ref="K274" xml:space="preserve"> ( $D$2*SUM( ( ($B$12:$B$29) * ($B$12:$B$29)* EXP($B$12:$B$29/H274) ) / ( H274*H274* ( EXP(( $B$12:$B$29)/H274 )  -1)^2 ) )  + $D$2 ) / 4.184</f>
        <v>6.1736373046774906</v>
      </c>
      <c r="L274" s="88" t="s">
        <v>81</v>
      </c>
    </row>
    <row r="275" spans="1:12" x14ac:dyDescent="0.3">
      <c r="B275" s="56">
        <f>B274+100</f>
        <v>400</v>
      </c>
      <c r="C275" s="63">
        <f t="shared" ref="C275:C292" si="56">3/2*$D$2 + $D$2</f>
        <v>20.786180000000002</v>
      </c>
      <c r="D275" s="63">
        <f t="shared" ref="D275:D292" si="57">3/2*$D$2  + $D$2</f>
        <v>20.786180000000002</v>
      </c>
      <c r="E275" s="63" cm="1">
        <f t="array" ref="E275">$D$2*SUM( ( ($B$12:$B$29) * ($B$12:$B$29)* EXP($B$12:$B$29/B275) ) / ( B275*B275* ( EXP(( $B$12:$B$29)/B275 )  -1)^2 ) ) +   $D$2</f>
        <v>38.517982636594624</v>
      </c>
      <c r="H275" s="56">
        <f>H274+100</f>
        <v>400</v>
      </c>
      <c r="I275" s="63">
        <f t="shared" ref="I275:I292" si="58">(3/2*$D$2  + $D$2)/ 4.184</f>
        <v>4.9680162523900577</v>
      </c>
      <c r="J275" s="63">
        <f t="shared" ref="J275:J292" si="59">(3/2*$D$2 + $D$2) / 4.184</f>
        <v>4.9680162523900577</v>
      </c>
      <c r="K275" s="63" cm="1">
        <f t="array" ref="K275" xml:space="preserve"> ( $D$2*SUM( ( ($B$12:$B$29) * ($B$12:$B$29)* EXP($B$12:$B$29/H275) ) / ( H275*H275* ( EXP(( $B$12:$B$29)/H275 )  -1)^2 ) )  + $D$2 ) / 4.184</f>
        <v>9.2060187945971848</v>
      </c>
    </row>
    <row r="276" spans="1:12" x14ac:dyDescent="0.3">
      <c r="B276" s="56">
        <f t="shared" ref="B276:B292" si="60">B275+100</f>
        <v>500</v>
      </c>
      <c r="C276" s="63">
        <f t="shared" si="56"/>
        <v>20.786180000000002</v>
      </c>
      <c r="D276" s="63">
        <f t="shared" si="57"/>
        <v>20.786180000000002</v>
      </c>
      <c r="E276" s="63" cm="1">
        <f t="array" ref="E276">$D$2*SUM( ( ($B$12:$B$29) * ($B$12:$B$29)* EXP($B$12:$B$29/B276) ) / ( B276*B276* ( EXP(( $B$12:$B$29)/B276 )  -1)^2 ) ) +   $D$2</f>
        <v>51.358961525905841</v>
      </c>
      <c r="H276" s="56">
        <f t="shared" ref="H276:H292" si="61">H275+100</f>
        <v>500</v>
      </c>
      <c r="I276" s="63">
        <f t="shared" si="58"/>
        <v>4.9680162523900577</v>
      </c>
      <c r="J276" s="63">
        <f t="shared" si="59"/>
        <v>4.9680162523900577</v>
      </c>
      <c r="K276" s="63" cm="1">
        <f t="array" ref="K276" xml:space="preserve"> ( $D$2*SUM( ( ($B$12:$B$29) * ($B$12:$B$29)* EXP($B$12:$B$29/H276) ) / ( H276*H276* ( EXP(( $B$12:$B$29)/H276 )  -1)^2 ) )  + $D$2 ) / 4.184</f>
        <v>12.275086406765258</v>
      </c>
    </row>
    <row r="277" spans="1:12" x14ac:dyDescent="0.3">
      <c r="B277" s="56">
        <f t="shared" si="60"/>
        <v>600</v>
      </c>
      <c r="C277" s="63">
        <f t="shared" si="56"/>
        <v>20.786180000000002</v>
      </c>
      <c r="D277" s="63">
        <f t="shared" si="57"/>
        <v>20.786180000000002</v>
      </c>
      <c r="E277" s="63" cm="1">
        <f t="array" ref="E277">$D$2*SUM( ( ($B$12:$B$29) * ($B$12:$B$29)* EXP($B$12:$B$29/B277) ) / ( B277*B277* ( EXP(( $B$12:$B$29)/B277 )  -1)^2 ) ) +   $D$2</f>
        <v>63.068969122856757</v>
      </c>
      <c r="H277" s="56">
        <f t="shared" si="61"/>
        <v>600</v>
      </c>
      <c r="I277" s="63">
        <f t="shared" si="58"/>
        <v>4.9680162523900577</v>
      </c>
      <c r="J277" s="63">
        <f t="shared" si="59"/>
        <v>4.9680162523900577</v>
      </c>
      <c r="K277" s="63" cm="1">
        <f t="array" ref="K277" xml:space="preserve"> ( $D$2*SUM( ( ($B$12:$B$29) * ($B$12:$B$29)* EXP($B$12:$B$29/H277) ) / ( H277*H277* ( EXP(( $B$12:$B$29)/H277 )  -1)^2 ) )  + $D$2 ) / 4.184</f>
        <v>15.073845392652188</v>
      </c>
    </row>
    <row r="278" spans="1:12" x14ac:dyDescent="0.3">
      <c r="B278" s="56">
        <f t="shared" si="60"/>
        <v>700</v>
      </c>
      <c r="C278" s="63">
        <f t="shared" si="56"/>
        <v>20.786180000000002</v>
      </c>
      <c r="D278" s="63">
        <f t="shared" si="57"/>
        <v>20.786180000000002</v>
      </c>
      <c r="E278" s="63" cm="1">
        <f t="array" ref="E278">$D$2*SUM( ( ($B$12:$B$29) * ($B$12:$B$29)* EXP($B$12:$B$29/B278) ) / ( B278*B278* ( EXP(( $B$12:$B$29)/B278 )  -1)^2 ) ) +   $D$2</f>
        <v>73.454795945626827</v>
      </c>
      <c r="H278" s="56">
        <f t="shared" si="61"/>
        <v>700</v>
      </c>
      <c r="I278" s="63">
        <f t="shared" si="58"/>
        <v>4.9680162523900577</v>
      </c>
      <c r="J278" s="63">
        <f t="shared" si="59"/>
        <v>4.9680162523900577</v>
      </c>
      <c r="K278" s="63" cm="1">
        <f t="array" ref="K278" xml:space="preserve"> ( $D$2*SUM( ( ($B$12:$B$29) * ($B$12:$B$29)* EXP($B$12:$B$29/H278) ) / ( H278*H278* ( EXP(( $B$12:$B$29)/H278 )  -1)^2 ) )  + $D$2 ) / 4.184</f>
        <v>17.556117577826679</v>
      </c>
    </row>
    <row r="279" spans="1:12" x14ac:dyDescent="0.3">
      <c r="B279" s="56">
        <f t="shared" si="60"/>
        <v>800</v>
      </c>
      <c r="C279" s="63">
        <f t="shared" si="56"/>
        <v>20.786180000000002</v>
      </c>
      <c r="D279" s="63">
        <f t="shared" si="57"/>
        <v>20.786180000000002</v>
      </c>
      <c r="E279" s="63" cm="1">
        <f t="array" ref="E279">$D$2*SUM( ( ($B$12:$B$29) * ($B$12:$B$29)* EXP($B$12:$B$29/B279) ) / ( B279*B279* ( EXP(( $B$12:$B$29)/B279 )  -1)^2 ) ) +   $D$2</f>
        <v>82.630500507806701</v>
      </c>
      <c r="H279" s="56">
        <f t="shared" si="61"/>
        <v>800</v>
      </c>
      <c r="I279" s="63">
        <f t="shared" si="58"/>
        <v>4.9680162523900577</v>
      </c>
      <c r="J279" s="63">
        <f t="shared" si="59"/>
        <v>4.9680162523900577</v>
      </c>
      <c r="K279" s="63" cm="1">
        <f t="array" ref="K279" xml:space="preserve"> ( $D$2*SUM( ( ($B$12:$B$29) * ($B$12:$B$29)* EXP($B$12:$B$29/H279) ) / ( H279*H279* ( EXP(( $B$12:$B$29)/H279 )  -1)^2 ) )  + $D$2 ) / 4.184</f>
        <v>19.749163601292231</v>
      </c>
    </row>
    <row r="280" spans="1:12" x14ac:dyDescent="0.3">
      <c r="B280" s="56">
        <f t="shared" si="60"/>
        <v>900</v>
      </c>
      <c r="C280" s="63">
        <f t="shared" si="56"/>
        <v>20.786180000000002</v>
      </c>
      <c r="D280" s="63">
        <f t="shared" si="57"/>
        <v>20.786180000000002</v>
      </c>
      <c r="E280" s="63" cm="1">
        <f t="array" ref="E280">$D$2*SUM( ( ($B$12:$B$29) * ($B$12:$B$29)* EXP($B$12:$B$29/B280) ) / ( B280*B280* ( EXP(( $B$12:$B$29)/B280 )  -1)^2 ) ) +   $D$2</f>
        <v>90.733018703984357</v>
      </c>
      <c r="H280" s="56">
        <f t="shared" si="61"/>
        <v>900</v>
      </c>
      <c r="I280" s="63">
        <f t="shared" si="58"/>
        <v>4.9680162523900577</v>
      </c>
      <c r="J280" s="63">
        <f t="shared" si="59"/>
        <v>4.9680162523900577</v>
      </c>
      <c r="K280" s="63" cm="1">
        <f t="array" ref="K280" xml:space="preserve"> ( $D$2*SUM( ( ($B$12:$B$29) * ($B$12:$B$29)* EXP($B$12:$B$29/H280) ) / ( H280*H280* ( EXP(( $B$12:$B$29)/H280 )  -1)^2 ) )  + $D$2 ) / 4.184</f>
        <v>21.685711927338517</v>
      </c>
    </row>
    <row r="281" spans="1:12" x14ac:dyDescent="0.3">
      <c r="B281" s="56">
        <f t="shared" si="60"/>
        <v>1000</v>
      </c>
      <c r="C281" s="63">
        <f t="shared" si="56"/>
        <v>20.786180000000002</v>
      </c>
      <c r="D281" s="63">
        <f t="shared" si="57"/>
        <v>20.786180000000002</v>
      </c>
      <c r="E281" s="63" cm="1">
        <f t="array" ref="E281">$D$2*SUM( ( ($B$12:$B$29) * ($B$12:$B$29)* EXP($B$12:$B$29/B281) ) / ( B281*B281* ( EXP(( $B$12:$B$29)/B281 )  -1)^2 ) ) +   $D$2</f>
        <v>97.876338666513533</v>
      </c>
      <c r="H281" s="56">
        <f t="shared" si="61"/>
        <v>1000</v>
      </c>
      <c r="I281" s="63">
        <f t="shared" si="58"/>
        <v>4.9680162523900577</v>
      </c>
      <c r="J281" s="63">
        <f t="shared" si="59"/>
        <v>4.9680162523900577</v>
      </c>
      <c r="K281" s="63" cm="1">
        <f t="array" ref="K281" xml:space="preserve"> ( $D$2*SUM( ( ($B$12:$B$29) * ($B$12:$B$29)* EXP($B$12:$B$29/H281) ) / ( H281*H281* ( EXP(( $B$12:$B$29)/H281 )  -1)^2 ) )  + $D$2 ) / 4.184</f>
        <v>23.393006373449698</v>
      </c>
    </row>
    <row r="282" spans="1:12" x14ac:dyDescent="0.3">
      <c r="B282" s="56">
        <f t="shared" si="60"/>
        <v>1100</v>
      </c>
      <c r="C282" s="63">
        <f t="shared" si="56"/>
        <v>20.786180000000002</v>
      </c>
      <c r="D282" s="63">
        <f t="shared" si="57"/>
        <v>20.786180000000002</v>
      </c>
      <c r="E282" s="63" cm="1">
        <f t="array" ref="E282">$D$2*SUM( ( ($B$12:$B$29) * ($B$12:$B$29)* EXP($B$12:$B$29/B282) ) / ( B282*B282* ( EXP(( $B$12:$B$29)/B282 )  -1)^2 ) ) +   $D$2</f>
        <v>104.15960445492711</v>
      </c>
      <c r="H282" s="56">
        <f t="shared" si="61"/>
        <v>1100</v>
      </c>
      <c r="I282" s="63">
        <f t="shared" si="58"/>
        <v>4.9680162523900577</v>
      </c>
      <c r="J282" s="63">
        <f t="shared" si="59"/>
        <v>4.9680162523900577</v>
      </c>
      <c r="K282" s="63" cm="1">
        <f t="array" ref="K282" xml:space="preserve"> ( $D$2*SUM( ( ($B$12:$B$29) * ($B$12:$B$29)* EXP($B$12:$B$29/H282) ) / ( H282*H282* ( EXP(( $B$12:$B$29)/H282 )  -1)^2 ) )  + $D$2 ) / 4.184</f>
        <v>24.894742938558103</v>
      </c>
    </row>
    <row r="283" spans="1:12" x14ac:dyDescent="0.3">
      <c r="B283" s="56">
        <f t="shared" si="60"/>
        <v>1200</v>
      </c>
      <c r="C283" s="63">
        <f t="shared" si="56"/>
        <v>20.786180000000002</v>
      </c>
      <c r="D283" s="63">
        <f t="shared" si="57"/>
        <v>20.786180000000002</v>
      </c>
      <c r="E283" s="63" cm="1">
        <f t="array" ref="E283">$D$2*SUM( ( ($B$12:$B$29) * ($B$12:$B$29)* EXP($B$12:$B$29/B283) ) / ( B283*B283* ( EXP(( $B$12:$B$29)/B283 )  -1)^2 ) ) +   $D$2</f>
        <v>109.67539825296163</v>
      </c>
      <c r="H283" s="56">
        <f t="shared" si="61"/>
        <v>1200</v>
      </c>
      <c r="I283" s="63">
        <f t="shared" si="58"/>
        <v>4.9680162523900577</v>
      </c>
      <c r="J283" s="63">
        <f t="shared" si="59"/>
        <v>4.9680162523900577</v>
      </c>
      <c r="K283" s="63" cm="1">
        <f t="array" ref="K283" xml:space="preserve"> ( $D$2*SUM( ( ($B$12:$B$29) * ($B$12:$B$29)* EXP($B$12:$B$29/H283) ) / ( H283*H283* ( EXP(( $B$12:$B$29)/H283 )  -1)^2 ) )  + $D$2 ) / 4.184</f>
        <v>26.213049295640925</v>
      </c>
    </row>
    <row r="284" spans="1:12" x14ac:dyDescent="0.3">
      <c r="B284" s="56">
        <f t="shared" si="60"/>
        <v>1300</v>
      </c>
      <c r="C284" s="63">
        <f t="shared" si="56"/>
        <v>20.786180000000002</v>
      </c>
      <c r="D284" s="63">
        <f t="shared" si="57"/>
        <v>20.786180000000002</v>
      </c>
      <c r="E284" s="63" cm="1">
        <f t="array" ref="E284">$D$2*SUM( ( ($B$12:$B$29) * ($B$12:$B$29)* EXP($B$12:$B$29/B284) ) / ( B284*B284* ( EXP(( $B$12:$B$29)/B284 )  -1)^2 ) ) +   $D$2</f>
        <v>114.51193265248368</v>
      </c>
      <c r="H284" s="56">
        <f t="shared" si="61"/>
        <v>1300</v>
      </c>
      <c r="I284" s="63">
        <f t="shared" si="58"/>
        <v>4.9680162523900577</v>
      </c>
      <c r="J284" s="63">
        <f t="shared" si="59"/>
        <v>4.9680162523900577</v>
      </c>
      <c r="K284" s="63" cm="1">
        <f t="array" ref="K284" xml:space="preserve"> ( $D$2*SUM( ( ($B$12:$B$29) * ($B$12:$B$29)* EXP($B$12:$B$29/H284) ) / ( H284*H284* ( EXP(( $B$12:$B$29)/H284 )  -1)^2 ) )  + $D$2 ) / 4.184</f>
        <v>27.369008760153843</v>
      </c>
    </row>
    <row r="285" spans="1:12" x14ac:dyDescent="0.3">
      <c r="B285" s="56">
        <f t="shared" si="60"/>
        <v>1400</v>
      </c>
      <c r="C285" s="63">
        <f t="shared" si="56"/>
        <v>20.786180000000002</v>
      </c>
      <c r="D285" s="63">
        <f t="shared" si="57"/>
        <v>20.786180000000002</v>
      </c>
      <c r="E285" s="63" cm="1">
        <f t="array" ref="E285">$D$2*SUM( ( ($B$12:$B$29) * ($B$12:$B$29)* EXP($B$12:$B$29/B285) ) / ( B285*B285* ( EXP(( $B$12:$B$29)/B285 )  -1)^2 ) ) +   $D$2</f>
        <v>118.7521620461762</v>
      </c>
      <c r="H285" s="56">
        <f t="shared" si="61"/>
        <v>1400</v>
      </c>
      <c r="I285" s="63">
        <f t="shared" si="58"/>
        <v>4.9680162523900577</v>
      </c>
      <c r="J285" s="63">
        <f t="shared" si="59"/>
        <v>4.9680162523900577</v>
      </c>
      <c r="K285" s="63" cm="1">
        <f t="array" ref="K285" xml:space="preserve"> ( $D$2*SUM( ( ($B$12:$B$29) * ($B$12:$B$29)* EXP($B$12:$B$29/H285) ) / ( H285*H285* ( EXP(( $B$12:$B$29)/H285 )  -1)^2 ) )  + $D$2 ) / 4.184</f>
        <v>28.382447907785895</v>
      </c>
    </row>
    <row r="286" spans="1:12" x14ac:dyDescent="0.3">
      <c r="B286" s="56">
        <f t="shared" si="60"/>
        <v>1500</v>
      </c>
      <c r="C286" s="63">
        <f t="shared" si="56"/>
        <v>20.786180000000002</v>
      </c>
      <c r="D286" s="63">
        <f t="shared" si="57"/>
        <v>20.786180000000002</v>
      </c>
      <c r="E286" s="63" cm="1">
        <f t="array" ref="E286">$D$2*SUM( ( ($B$12:$B$29) * ($B$12:$B$29)* EXP($B$12:$B$29/B286) ) / ( B286*B286* ( EXP(( $B$12:$B$29)/B286 )  -1)^2 ) ) +   $D$2</f>
        <v>122.47233483318095</v>
      </c>
      <c r="H286" s="56">
        <f t="shared" si="61"/>
        <v>1500</v>
      </c>
      <c r="I286" s="63">
        <f t="shared" si="58"/>
        <v>4.9680162523900577</v>
      </c>
      <c r="J286" s="63">
        <f t="shared" si="59"/>
        <v>4.9680162523900577</v>
      </c>
      <c r="K286" s="63" cm="1">
        <f t="array" ref="K286" xml:space="preserve"> ( $D$2*SUM( ( ($B$12:$B$29) * ($B$12:$B$29)* EXP($B$12:$B$29/H286) ) / ( H286*H286* ( EXP(( $B$12:$B$29)/H286 )  -1)^2 ) )  + $D$2 ) / 4.184</f>
        <v>29.271590543303287</v>
      </c>
    </row>
    <row r="287" spans="1:12" x14ac:dyDescent="0.3">
      <c r="B287" s="56">
        <f t="shared" si="60"/>
        <v>1600</v>
      </c>
      <c r="C287" s="63">
        <f t="shared" si="56"/>
        <v>20.786180000000002</v>
      </c>
      <c r="D287" s="63">
        <f t="shared" si="57"/>
        <v>20.786180000000002</v>
      </c>
      <c r="E287" s="63" cm="1">
        <f t="array" ref="E287">$D$2*SUM( ( ($B$12:$B$29) * ($B$12:$B$29)* EXP($B$12:$B$29/B287) ) / ( B287*B287* ( EXP(( $B$12:$B$29)/B287 )  -1)^2 ) ) +   $D$2</f>
        <v>125.74102977813737</v>
      </c>
      <c r="H287" s="56">
        <f t="shared" si="61"/>
        <v>1600</v>
      </c>
      <c r="I287" s="63">
        <f t="shared" si="58"/>
        <v>4.9680162523900577</v>
      </c>
      <c r="J287" s="63">
        <f t="shared" si="59"/>
        <v>4.9680162523900577</v>
      </c>
      <c r="K287" s="63" cm="1">
        <f t="array" ref="K287" xml:space="preserve"> ( $D$2*SUM( ( ($B$12:$B$29) * ($B$12:$B$29)* EXP($B$12:$B$29/H287) ) / ( H287*H287* ( EXP(( $B$12:$B$29)/H287 )  -1)^2 ) )  + $D$2 ) / 4.184</f>
        <v>30.052827384832067</v>
      </c>
    </row>
    <row r="288" spans="1:12" x14ac:dyDescent="0.3">
      <c r="B288" s="56">
        <f t="shared" si="60"/>
        <v>1700</v>
      </c>
      <c r="C288" s="63">
        <f t="shared" si="56"/>
        <v>20.786180000000002</v>
      </c>
      <c r="D288" s="63">
        <f t="shared" si="57"/>
        <v>20.786180000000002</v>
      </c>
      <c r="E288" s="63" cm="1">
        <f t="array" ref="E288">$D$2*SUM( ( ($B$12:$B$29) * ($B$12:$B$29)* EXP($B$12:$B$29/B288) ) / ( B288*B288* ( EXP(( $B$12:$B$29)/B288 )  -1)^2 ) ) +   $D$2</f>
        <v>128.61886382859203</v>
      </c>
      <c r="H288" s="56">
        <f t="shared" si="61"/>
        <v>1700</v>
      </c>
      <c r="I288" s="63">
        <f t="shared" si="58"/>
        <v>4.9680162523900577</v>
      </c>
      <c r="J288" s="63">
        <f t="shared" si="59"/>
        <v>4.9680162523900577</v>
      </c>
      <c r="K288" s="63" cm="1">
        <f t="array" ref="K288" xml:space="preserve"> ( $D$2*SUM( ( ($B$12:$B$29) * ($B$12:$B$29)* EXP($B$12:$B$29/H288) ) / ( H288*H288* ( EXP(( $B$12:$B$29)/H288 )  -1)^2 ) )  + $D$2 ) / 4.184</f>
        <v>30.740646230543025</v>
      </c>
    </row>
    <row r="289" spans="2:12" x14ac:dyDescent="0.3">
      <c r="B289" s="56">
        <f t="shared" si="60"/>
        <v>1800</v>
      </c>
      <c r="C289" s="63">
        <f t="shared" si="56"/>
        <v>20.786180000000002</v>
      </c>
      <c r="D289" s="63">
        <f t="shared" si="57"/>
        <v>20.786180000000002</v>
      </c>
      <c r="E289" s="63" cm="1">
        <f t="array" ref="E289">$D$2*SUM( ( ($B$12:$B$29) * ($B$12:$B$29)* EXP($B$12:$B$29/B289) ) / ( B289*B289* ( EXP(( $B$12:$B$29)/B289 )  -1)^2 ) ) +   $D$2</f>
        <v>131.15873292407969</v>
      </c>
      <c r="H289" s="56">
        <f t="shared" si="61"/>
        <v>1800</v>
      </c>
      <c r="I289" s="63">
        <f t="shared" si="58"/>
        <v>4.9680162523900577</v>
      </c>
      <c r="J289" s="63">
        <f t="shared" si="59"/>
        <v>4.9680162523900577</v>
      </c>
      <c r="K289" s="63" cm="1">
        <f t="array" ref="K289" xml:space="preserve"> ( $D$2*SUM( ( ($B$12:$B$29) * ($B$12:$B$29)* EXP($B$12:$B$29/H289) ) / ( H289*H289* ( EXP(( $B$12:$B$29)/H289 )  -1)^2 ) )  + $D$2 ) / 4.184</f>
        <v>31.347689513403367</v>
      </c>
    </row>
    <row r="290" spans="2:12" x14ac:dyDescent="0.3">
      <c r="B290" s="56">
        <f t="shared" si="60"/>
        <v>1900</v>
      </c>
      <c r="C290" s="63">
        <f t="shared" si="56"/>
        <v>20.786180000000002</v>
      </c>
      <c r="D290" s="63">
        <f t="shared" si="57"/>
        <v>20.786180000000002</v>
      </c>
      <c r="E290" s="63" cm="1">
        <f t="array" ref="E290">$D$2*SUM( ( ($B$12:$B$29) * ($B$12:$B$29)* EXP($B$12:$B$29/B290) ) / ( B290*B290* ( EXP(( $B$12:$B$29)/B290 )  -1)^2 ) ) +   $D$2</f>
        <v>133.40638405556945</v>
      </c>
      <c r="H290" s="56">
        <f t="shared" si="61"/>
        <v>1900</v>
      </c>
      <c r="I290" s="63">
        <f t="shared" si="58"/>
        <v>4.9680162523900577</v>
      </c>
      <c r="J290" s="63">
        <f t="shared" si="59"/>
        <v>4.9680162523900577</v>
      </c>
      <c r="K290" s="63" cm="1">
        <f t="array" ref="K290" xml:space="preserve"> ( $D$2*SUM( ( ($B$12:$B$29) * ($B$12:$B$29)* EXP($B$12:$B$29/H290) ) / ( H290*H290* ( EXP(( $B$12:$B$29)/H290 )  -1)^2 ) )  + $D$2 ) / 4.184</f>
        <v>31.884891026665738</v>
      </c>
    </row>
    <row r="291" spans="2:12" x14ac:dyDescent="0.3">
      <c r="B291" s="56">
        <f t="shared" si="60"/>
        <v>2000</v>
      </c>
      <c r="C291" s="63">
        <f t="shared" si="56"/>
        <v>20.786180000000002</v>
      </c>
      <c r="D291" s="63">
        <f t="shared" si="57"/>
        <v>20.786180000000002</v>
      </c>
      <c r="E291" s="63" cm="1">
        <f t="array" ref="E291">$D$2*SUM( ( ($B$12:$B$29) * ($B$12:$B$29)* EXP($B$12:$B$29/B291) ) / ( B291*B291* ( EXP(( $B$12:$B$29)/B291 )  -1)^2 ) ) +   $D$2</f>
        <v>135.401149511189</v>
      </c>
      <c r="H291" s="56">
        <f t="shared" si="61"/>
        <v>2000</v>
      </c>
      <c r="I291" s="63">
        <f t="shared" si="58"/>
        <v>4.9680162523900577</v>
      </c>
      <c r="J291" s="63">
        <f t="shared" si="59"/>
        <v>4.9680162523900577</v>
      </c>
      <c r="K291" s="63" cm="1">
        <f t="array" ref="K291" xml:space="preserve"> ( $D$2*SUM( ( ($B$12:$B$29) * ($B$12:$B$29)* EXP($B$12:$B$29/H291) ) / ( H291*H291* ( EXP(( $B$12:$B$29)/H291 )  -1)^2 ) )  + $D$2 ) / 4.184</f>
        <v>32.361651412808079</v>
      </c>
    </row>
    <row r="292" spans="2:12" ht="15" thickBot="1" x14ac:dyDescent="0.35">
      <c r="B292" s="31">
        <f t="shared" si="60"/>
        <v>2100</v>
      </c>
      <c r="C292" s="64">
        <f t="shared" si="56"/>
        <v>20.786180000000002</v>
      </c>
      <c r="D292" s="64">
        <f t="shared" si="57"/>
        <v>20.786180000000002</v>
      </c>
      <c r="E292" s="64" cm="1">
        <f t="array" ref="E292">$D$2*SUM( ( ($B$12:$B$29) * ($B$12:$B$29)* EXP($B$12:$B$29/B292) ) / ( B292*B292* ( EXP(( $B$12:$B$29)/B292 )  -1)^2 ) ) +   $D$2</f>
        <v>137.17672715906076</v>
      </c>
      <c r="F292" s="3"/>
      <c r="H292" s="31">
        <f t="shared" si="61"/>
        <v>2100</v>
      </c>
      <c r="I292" s="64">
        <f t="shared" si="58"/>
        <v>4.9680162523900577</v>
      </c>
      <c r="J292" s="64">
        <f t="shared" si="59"/>
        <v>4.9680162523900577</v>
      </c>
      <c r="K292" s="64" cm="1">
        <f t="array" ref="K292" xml:space="preserve"> ( $D$2*SUM( ( ($B$12:$B$29) * ($B$12:$B$29)* EXP($B$12:$B$29/H292) ) / ( H292*H292* ( EXP(( $B$12:$B$29)/H292 )  -1)^2 ) )  + $D$2 ) / 4.184</f>
        <v>32.786024655607257</v>
      </c>
      <c r="L292" s="3"/>
    </row>
  </sheetData>
  <mergeCells count="13">
    <mergeCell ref="B224:F224"/>
    <mergeCell ref="H224:L224"/>
    <mergeCell ref="M228:N228"/>
    <mergeCell ref="B272:F272"/>
    <mergeCell ref="H272:L272"/>
    <mergeCell ref="M204:N204"/>
    <mergeCell ref="B200:F200"/>
    <mergeCell ref="D52:W52"/>
    <mergeCell ref="H174:K174"/>
    <mergeCell ref="B174:F174"/>
    <mergeCell ref="M178:N178"/>
    <mergeCell ref="M177:N177"/>
    <mergeCell ref="H200:L20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867A7-BB0F-4876-AF54-82A91D9A39AA}">
  <dimension ref="A1:W292"/>
  <sheetViews>
    <sheetView tabSelected="1" topLeftCell="A158" zoomScale="88" workbookViewId="0">
      <selection activeCell="N195" sqref="N195"/>
    </sheetView>
  </sheetViews>
  <sheetFormatPr defaultRowHeight="14.4" x14ac:dyDescent="0.3"/>
  <cols>
    <col min="1" max="1" width="29.88671875" style="2" bestFit="1" customWidth="1"/>
    <col min="2" max="2" width="16.5546875" style="2" bestFit="1" customWidth="1"/>
    <col min="3" max="3" width="14.6640625" style="2" bestFit="1" customWidth="1"/>
    <col min="4" max="4" width="29.88671875" style="2" bestFit="1" customWidth="1"/>
    <col min="5" max="5" width="14.6640625" style="2" bestFit="1" customWidth="1"/>
    <col min="6" max="6" width="19.44140625" style="2" bestFit="1" customWidth="1"/>
    <col min="7" max="7" width="16" style="2" bestFit="1" customWidth="1"/>
    <col min="8" max="8" width="19.21875" style="2" bestFit="1" customWidth="1"/>
    <col min="9" max="9" width="16.77734375" style="2" bestFit="1" customWidth="1"/>
    <col min="10" max="10" width="20.33203125" style="2" bestFit="1" customWidth="1"/>
    <col min="11" max="11" width="21.109375" style="2" bestFit="1" customWidth="1"/>
    <col min="12" max="12" width="15.21875" style="2" bestFit="1" customWidth="1"/>
    <col min="13" max="14" width="20.33203125" style="2" bestFit="1" customWidth="1"/>
    <col min="15" max="15" width="14.77734375" style="2" bestFit="1" customWidth="1"/>
    <col min="16" max="16" width="8.88671875" style="2"/>
    <col min="17" max="17" width="12.33203125" style="2" customWidth="1"/>
    <col min="18" max="18" width="12.77734375" style="2" bestFit="1" customWidth="1"/>
    <col min="19" max="19" width="16" style="2" bestFit="1" customWidth="1"/>
    <col min="20" max="16384" width="8.88671875" style="2"/>
  </cols>
  <sheetData>
    <row r="1" spans="1:21" x14ac:dyDescent="0.3">
      <c r="A1" s="65" t="s">
        <v>31</v>
      </c>
      <c r="B1" s="66" t="s">
        <v>0</v>
      </c>
      <c r="C1" s="67" t="s">
        <v>1</v>
      </c>
      <c r="D1" s="67" t="s">
        <v>2</v>
      </c>
      <c r="E1" s="67" t="s">
        <v>20</v>
      </c>
      <c r="F1" s="67" t="s">
        <v>32</v>
      </c>
      <c r="G1" s="67" t="s">
        <v>22</v>
      </c>
      <c r="H1" s="67" t="s">
        <v>33</v>
      </c>
      <c r="I1" s="67" t="s">
        <v>40</v>
      </c>
      <c r="J1" s="68" t="s">
        <v>44</v>
      </c>
    </row>
    <row r="2" spans="1:21" ht="15" thickBot="1" x14ac:dyDescent="0.35">
      <c r="A2" s="69">
        <v>1.3805999999999999E-23</v>
      </c>
      <c r="B2" s="70">
        <v>3.1415899999999999</v>
      </c>
      <c r="C2" s="70">
        <v>6.626068E-34</v>
      </c>
      <c r="D2" s="70">
        <v>8.3144720000000003</v>
      </c>
      <c r="E2" s="71">
        <f>16.0313*1.66E-27</f>
        <v>2.6611957999999999E-26</v>
      </c>
      <c r="F2" s="70">
        <v>6.0221407599999999E+23</v>
      </c>
      <c r="G2" s="70">
        <f>((2*$E$2*$B$2*$A$2*$H$2)/($C$2*$C$2))^1.5</f>
        <v>6.2068443532226734E+31</v>
      </c>
      <c r="H2" s="71">
        <f>298.15</f>
        <v>298.14999999999998</v>
      </c>
      <c r="I2" s="91">
        <v>29979300000</v>
      </c>
      <c r="J2" s="90">
        <v>101325</v>
      </c>
    </row>
    <row r="3" spans="1:21" ht="15" thickBot="1" x14ac:dyDescent="0.35"/>
    <row r="4" spans="1:21" ht="15" thickBot="1" x14ac:dyDescent="0.35">
      <c r="E4" s="12" t="s">
        <v>25</v>
      </c>
      <c r="F4" s="22" t="s">
        <v>26</v>
      </c>
      <c r="G4" s="13" t="s">
        <v>27</v>
      </c>
      <c r="I4" s="12" t="s">
        <v>34</v>
      </c>
      <c r="J4" s="22" t="s">
        <v>35</v>
      </c>
      <c r="K4" s="22" t="s">
        <v>36</v>
      </c>
      <c r="L4" s="50" t="s">
        <v>37</v>
      </c>
    </row>
    <row r="5" spans="1:21" ht="16.8" thickBot="1" x14ac:dyDescent="0.35">
      <c r="B5" s="30" t="s">
        <v>29</v>
      </c>
      <c r="D5" s="37" t="s">
        <v>57</v>
      </c>
      <c r="E5" s="18">
        <v>11.452500000000001</v>
      </c>
      <c r="F5" s="21">
        <v>11.456390000000001</v>
      </c>
      <c r="G5" s="19">
        <v>11.456390000000001</v>
      </c>
      <c r="I5" s="51">
        <v>4.48E-2</v>
      </c>
      <c r="J5" s="52">
        <f>I5*627.509474</f>
        <v>28.112424435199998</v>
      </c>
      <c r="K5" s="52">
        <f>I5*4.35974E-18</f>
        <v>1.9531635199999998E-19</v>
      </c>
      <c r="L5" s="53">
        <f>(2*K5)/(C2)</f>
        <v>589539232015125.63</v>
      </c>
    </row>
    <row r="6" spans="1:21" ht="16.8" thickBot="1" x14ac:dyDescent="0.35">
      <c r="A6" s="7" t="s">
        <v>28</v>
      </c>
      <c r="B6" s="130">
        <v>3</v>
      </c>
      <c r="D6" s="31" t="s">
        <v>58</v>
      </c>
      <c r="E6" s="16">
        <f>E5*1.66E-47</f>
        <v>1.9011150000000002E-46</v>
      </c>
      <c r="F6" s="23">
        <f t="shared" ref="F6:G6" si="0">F5*1.66E-47</f>
        <v>1.9017607399999999E-46</v>
      </c>
      <c r="G6" s="17">
        <f t="shared" si="0"/>
        <v>1.9017607399999999E-46</v>
      </c>
      <c r="U6" s="5"/>
    </row>
    <row r="7" spans="1:21" ht="15" thickBot="1" x14ac:dyDescent="0.35">
      <c r="U7" s="5"/>
    </row>
    <row r="8" spans="1:21" ht="15" thickBot="1" x14ac:dyDescent="0.35">
      <c r="A8" s="2" t="s">
        <v>100</v>
      </c>
      <c r="D8" s="7" t="s">
        <v>24</v>
      </c>
      <c r="E8" s="18">
        <v>157.58485999999999</v>
      </c>
      <c r="F8" s="21">
        <v>157.53139999999999</v>
      </c>
      <c r="G8" s="19">
        <v>157.53139999999999</v>
      </c>
      <c r="U8" s="5"/>
    </row>
    <row r="9" spans="1:21" ht="15" thickBot="1" x14ac:dyDescent="0.35">
      <c r="E9" s="16">
        <f>E8*1000000000</f>
        <v>157584860000</v>
      </c>
      <c r="F9" s="23">
        <f>F8*1000000000</f>
        <v>157531400000</v>
      </c>
      <c r="G9" s="17">
        <f>G8*1000000000</f>
        <v>157531400000</v>
      </c>
    </row>
    <row r="10" spans="1:21" ht="15" customHeight="1" thickBot="1" x14ac:dyDescent="0.35"/>
    <row r="11" spans="1:21" ht="15" customHeight="1" thickBot="1" x14ac:dyDescent="0.35">
      <c r="D11" s="32" t="s">
        <v>56</v>
      </c>
      <c r="E11" s="33">
        <v>7.5628700000000002</v>
      </c>
      <c r="F11" s="33">
        <v>7.5603100000000003</v>
      </c>
      <c r="G11" s="34">
        <v>7.5603100000000003</v>
      </c>
    </row>
    <row r="12" spans="1:21" ht="27" customHeight="1" x14ac:dyDescent="0.3">
      <c r="A12" s="35" t="s">
        <v>30</v>
      </c>
      <c r="B12" s="101">
        <v>1937.39</v>
      </c>
    </row>
    <row r="13" spans="1:21" ht="15" thickBot="1" x14ac:dyDescent="0.35">
      <c r="A13" s="14"/>
      <c r="B13" s="15">
        <v>1938.16</v>
      </c>
      <c r="S13" s="5"/>
      <c r="T13" s="5"/>
    </row>
    <row r="14" spans="1:21" ht="15.6" x14ac:dyDescent="0.3">
      <c r="A14" s="14"/>
      <c r="B14" s="15">
        <v>1938.16</v>
      </c>
      <c r="D14" s="24" t="s">
        <v>50</v>
      </c>
      <c r="E14" s="72"/>
      <c r="F14" s="67" t="s">
        <v>21</v>
      </c>
      <c r="G14" s="67" t="s">
        <v>82</v>
      </c>
      <c r="H14" s="68" t="s">
        <v>3</v>
      </c>
    </row>
    <row r="15" spans="1:21" x14ac:dyDescent="0.3">
      <c r="A15" s="14"/>
      <c r="B15" s="15">
        <v>2249.63</v>
      </c>
      <c r="E15" s="73"/>
      <c r="F15" s="77" t="s">
        <v>4</v>
      </c>
      <c r="G15" s="77" t="s">
        <v>5</v>
      </c>
      <c r="H15" s="78" t="s">
        <v>5</v>
      </c>
    </row>
    <row r="16" spans="1:21" x14ac:dyDescent="0.3">
      <c r="A16" s="14"/>
      <c r="B16" s="15">
        <v>2249.63</v>
      </c>
      <c r="E16" s="73" t="s">
        <v>6</v>
      </c>
      <c r="F16" s="79">
        <v>29.911999999999999</v>
      </c>
      <c r="G16" s="79">
        <v>6.4619999999999997</v>
      </c>
      <c r="H16" s="80">
        <v>47.234999999999999</v>
      </c>
    </row>
    <row r="17" spans="1:10" x14ac:dyDescent="0.3">
      <c r="A17" s="14"/>
      <c r="B17" s="15">
        <v>4373.0600000000004</v>
      </c>
      <c r="E17" s="73" t="s">
        <v>7</v>
      </c>
      <c r="F17" s="79" t="s">
        <v>8</v>
      </c>
      <c r="G17" s="79" t="s">
        <v>8</v>
      </c>
      <c r="H17" s="80" t="s">
        <v>8</v>
      </c>
    </row>
    <row r="18" spans="1:10" x14ac:dyDescent="0.3">
      <c r="A18" s="14"/>
      <c r="B18" s="15">
        <v>4531.79</v>
      </c>
      <c r="E18" s="73" t="s">
        <v>9</v>
      </c>
      <c r="F18" s="79">
        <v>0.88900000000000001</v>
      </c>
      <c r="G18" s="79">
        <v>2.9809999999999999</v>
      </c>
      <c r="H18" s="80">
        <v>34.261000000000003</v>
      </c>
    </row>
    <row r="19" spans="1:10" x14ac:dyDescent="0.3">
      <c r="A19" s="14"/>
      <c r="B19" s="15">
        <v>4537.79</v>
      </c>
      <c r="E19" s="73" t="s">
        <v>10</v>
      </c>
      <c r="F19" s="79">
        <v>0.88900000000000001</v>
      </c>
      <c r="G19" s="79">
        <v>2.9809999999999999</v>
      </c>
      <c r="H19" s="80">
        <v>12.888</v>
      </c>
    </row>
    <row r="20" spans="1:10" ht="15" thickBot="1" x14ac:dyDescent="0.35">
      <c r="A20" s="16"/>
      <c r="B20" s="17">
        <v>4537.79</v>
      </c>
      <c r="E20" s="74" t="s">
        <v>11</v>
      </c>
      <c r="F20" s="81">
        <v>28.135000000000002</v>
      </c>
      <c r="G20" s="81">
        <v>0.5</v>
      </c>
      <c r="H20" s="82">
        <v>8.5000000000000006E-2</v>
      </c>
    </row>
    <row r="21" spans="1:10" ht="15" thickBot="1" x14ac:dyDescent="0.35">
      <c r="F21" s="83"/>
      <c r="G21" s="83"/>
      <c r="H21" s="83"/>
    </row>
    <row r="22" spans="1:10" x14ac:dyDescent="0.3">
      <c r="E22" s="72"/>
      <c r="F22" s="68" t="s">
        <v>13</v>
      </c>
    </row>
    <row r="23" spans="1:10" x14ac:dyDescent="0.3">
      <c r="E23" s="73" t="s">
        <v>14</v>
      </c>
      <c r="F23" s="75">
        <v>9.1839100000000006E-13</v>
      </c>
      <c r="J23"/>
    </row>
    <row r="24" spans="1:10" x14ac:dyDescent="0.3">
      <c r="E24" s="73" t="s">
        <v>15</v>
      </c>
      <c r="F24" s="75">
        <v>371152000</v>
      </c>
    </row>
    <row r="25" spans="1:10" x14ac:dyDescent="0.3">
      <c r="E25" s="73" t="s">
        <v>16</v>
      </c>
      <c r="F25" s="75">
        <v>2.4882600000000002E-21</v>
      </c>
    </row>
    <row r="26" spans="1:10" x14ac:dyDescent="0.3">
      <c r="E26" s="73" t="s">
        <v>18</v>
      </c>
      <c r="F26" s="75">
        <v>1.00559</v>
      </c>
      <c r="G26" s="2" t="s">
        <v>51</v>
      </c>
    </row>
    <row r="27" spans="1:10" x14ac:dyDescent="0.3">
      <c r="E27" s="73" t="s">
        <v>7</v>
      </c>
      <c r="F27" s="76">
        <v>1</v>
      </c>
      <c r="G27" s="4"/>
    </row>
    <row r="28" spans="1:10" x14ac:dyDescent="0.3">
      <c r="E28" s="73" t="s">
        <v>9</v>
      </c>
      <c r="F28" s="76">
        <v>2522950</v>
      </c>
      <c r="G28" s="4"/>
    </row>
    <row r="29" spans="1:10" ht="15" thickBot="1" x14ac:dyDescent="0.35">
      <c r="E29" s="74" t="s">
        <v>10</v>
      </c>
      <c r="F29" s="100">
        <v>146.29300000000001</v>
      </c>
      <c r="G29" s="4"/>
    </row>
    <row r="30" spans="1:10" ht="15" thickBot="1" x14ac:dyDescent="0.35"/>
    <row r="31" spans="1:10" ht="16.2" x14ac:dyDescent="0.3">
      <c r="A31" s="18" t="s">
        <v>38</v>
      </c>
      <c r="B31" s="21" t="s">
        <v>39</v>
      </c>
      <c r="C31" s="54" t="s">
        <v>23</v>
      </c>
    </row>
    <row r="32" spans="1:10" x14ac:dyDescent="0.3">
      <c r="A32" s="14">
        <v>1346.5569</v>
      </c>
      <c r="B32" s="3">
        <f t="shared" ref="B32:B40" si="1">A32*$I$2</f>
        <v>40368833272170</v>
      </c>
      <c r="C32" s="56">
        <f>300</f>
        <v>300</v>
      </c>
    </row>
    <row r="33" spans="1:3" x14ac:dyDescent="0.3">
      <c r="A33" s="14">
        <v>1347.0905</v>
      </c>
      <c r="B33" s="3">
        <f t="shared" si="1"/>
        <v>40384830226650</v>
      </c>
      <c r="C33" s="56">
        <f>C32+100</f>
        <v>400</v>
      </c>
    </row>
    <row r="34" spans="1:3" x14ac:dyDescent="0.3">
      <c r="A34" s="14">
        <v>1347.0916999999999</v>
      </c>
      <c r="B34" s="3">
        <f t="shared" si="1"/>
        <v>40384866201810</v>
      </c>
      <c r="C34" s="56">
        <f t="shared" ref="C34:C50" si="2">C33+100</f>
        <v>500</v>
      </c>
    </row>
    <row r="35" spans="1:3" x14ac:dyDescent="0.3">
      <c r="A35" s="14">
        <v>1563.5745999999999</v>
      </c>
      <c r="B35" s="3">
        <f t="shared" si="1"/>
        <v>46874872005780</v>
      </c>
      <c r="C35" s="56">
        <f t="shared" si="2"/>
        <v>600</v>
      </c>
    </row>
    <row r="36" spans="1:3" x14ac:dyDescent="0.3">
      <c r="A36" s="14">
        <v>1563.5759</v>
      </c>
      <c r="B36" s="3">
        <f t="shared" si="1"/>
        <v>46874910978870</v>
      </c>
      <c r="C36" s="56">
        <f t="shared" si="2"/>
        <v>700</v>
      </c>
    </row>
    <row r="37" spans="1:3" x14ac:dyDescent="0.3">
      <c r="A37" s="14">
        <v>3039.4317000000001</v>
      </c>
      <c r="B37" s="3">
        <f t="shared" si="1"/>
        <v>91120034763810</v>
      </c>
      <c r="C37" s="56">
        <f t="shared" si="2"/>
        <v>800</v>
      </c>
    </row>
    <row r="38" spans="1:3" x14ac:dyDescent="0.3">
      <c r="A38" s="14">
        <v>3149.7538</v>
      </c>
      <c r="B38" s="3">
        <f t="shared" si="1"/>
        <v>94427414096340</v>
      </c>
      <c r="C38" s="56">
        <f t="shared" si="2"/>
        <v>900</v>
      </c>
    </row>
    <row r="39" spans="1:3" x14ac:dyDescent="0.3">
      <c r="A39" s="14">
        <v>3153.9252999999999</v>
      </c>
      <c r="B39" s="3">
        <f t="shared" si="1"/>
        <v>94552472746290</v>
      </c>
      <c r="C39" s="56">
        <f t="shared" si="2"/>
        <v>1000</v>
      </c>
    </row>
    <row r="40" spans="1:3" ht="15" thickBot="1" x14ac:dyDescent="0.35">
      <c r="A40" s="16">
        <v>3153.9254999999998</v>
      </c>
      <c r="B40" s="9">
        <f t="shared" si="1"/>
        <v>94552478742150</v>
      </c>
      <c r="C40" s="56">
        <f t="shared" si="2"/>
        <v>1100</v>
      </c>
    </row>
    <row r="41" spans="1:3" x14ac:dyDescent="0.3">
      <c r="B41" s="3"/>
      <c r="C41" s="56">
        <f t="shared" si="2"/>
        <v>1200</v>
      </c>
    </row>
    <row r="42" spans="1:3" x14ac:dyDescent="0.3">
      <c r="B42" s="3"/>
      <c r="C42" s="56">
        <f t="shared" si="2"/>
        <v>1300</v>
      </c>
    </row>
    <row r="43" spans="1:3" x14ac:dyDescent="0.3">
      <c r="B43" s="3"/>
      <c r="C43" s="56">
        <f t="shared" si="2"/>
        <v>1400</v>
      </c>
    </row>
    <row r="44" spans="1:3" x14ac:dyDescent="0.3">
      <c r="B44" s="3"/>
      <c r="C44" s="56">
        <f t="shared" si="2"/>
        <v>1500</v>
      </c>
    </row>
    <row r="45" spans="1:3" x14ac:dyDescent="0.3">
      <c r="B45" s="3"/>
      <c r="C45" s="56">
        <f t="shared" si="2"/>
        <v>1600</v>
      </c>
    </row>
    <row r="46" spans="1:3" x14ac:dyDescent="0.3">
      <c r="B46" s="3"/>
      <c r="C46" s="56">
        <f t="shared" si="2"/>
        <v>1700</v>
      </c>
    </row>
    <row r="47" spans="1:3" x14ac:dyDescent="0.3">
      <c r="B47" s="3"/>
      <c r="C47" s="56">
        <f t="shared" si="2"/>
        <v>1800</v>
      </c>
    </row>
    <row r="48" spans="1:3" x14ac:dyDescent="0.3">
      <c r="B48" s="3"/>
      <c r="C48" s="56">
        <f t="shared" si="2"/>
        <v>1900</v>
      </c>
    </row>
    <row r="49" spans="1:23" x14ac:dyDescent="0.3">
      <c r="B49" s="3"/>
      <c r="C49" s="56">
        <f t="shared" si="2"/>
        <v>2000</v>
      </c>
    </row>
    <row r="50" spans="1:23" ht="15" thickBot="1" x14ac:dyDescent="0.35">
      <c r="C50" s="31">
        <f t="shared" si="2"/>
        <v>2100</v>
      </c>
    </row>
    <row r="51" spans="1:23" ht="15" thickBot="1" x14ac:dyDescent="0.35"/>
    <row r="52" spans="1:23" ht="19.8" thickBot="1" x14ac:dyDescent="0.35">
      <c r="D52" s="146" t="s">
        <v>41</v>
      </c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8"/>
    </row>
    <row r="53" spans="1:23" x14ac:dyDescent="0.3">
      <c r="A53" s="12" t="s">
        <v>104</v>
      </c>
      <c r="B53" s="114">
        <f>(EXP((-$C$2*D54)/(2*$A$2*$E$53))/(1 - EXP((-$C$2*D54)/($A$2*$E$53))))</f>
        <v>3.9654845334520836E-2</v>
      </c>
      <c r="D53" s="103" t="s">
        <v>52</v>
      </c>
      <c r="E53" s="41">
        <f>300</f>
        <v>300</v>
      </c>
      <c r="F53" s="41">
        <f t="shared" ref="F53:W53" si="3">E53+100</f>
        <v>400</v>
      </c>
      <c r="G53" s="41">
        <f t="shared" si="3"/>
        <v>500</v>
      </c>
      <c r="H53" s="41">
        <f t="shared" si="3"/>
        <v>600</v>
      </c>
      <c r="I53" s="41">
        <f t="shared" si="3"/>
        <v>700</v>
      </c>
      <c r="J53" s="41">
        <f t="shared" si="3"/>
        <v>800</v>
      </c>
      <c r="K53" s="41">
        <f t="shared" si="3"/>
        <v>900</v>
      </c>
      <c r="L53" s="41">
        <f t="shared" si="3"/>
        <v>1000</v>
      </c>
      <c r="M53" s="41">
        <f t="shared" si="3"/>
        <v>1100</v>
      </c>
      <c r="N53" s="41">
        <f t="shared" si="3"/>
        <v>1200</v>
      </c>
      <c r="O53" s="41">
        <f t="shared" si="3"/>
        <v>1300</v>
      </c>
      <c r="P53" s="41">
        <f t="shared" si="3"/>
        <v>1400</v>
      </c>
      <c r="Q53" s="41">
        <f t="shared" si="3"/>
        <v>1500</v>
      </c>
      <c r="R53" s="41">
        <f t="shared" si="3"/>
        <v>1600</v>
      </c>
      <c r="S53" s="41">
        <f t="shared" si="3"/>
        <v>1700</v>
      </c>
      <c r="T53" s="41">
        <f t="shared" si="3"/>
        <v>1800</v>
      </c>
      <c r="U53" s="41">
        <f t="shared" si="3"/>
        <v>1900</v>
      </c>
      <c r="V53" s="41">
        <f t="shared" si="3"/>
        <v>2000</v>
      </c>
      <c r="W53" s="104">
        <f t="shared" si="3"/>
        <v>2100</v>
      </c>
    </row>
    <row r="54" spans="1:23" x14ac:dyDescent="0.3">
      <c r="A54" s="14"/>
      <c r="B54" s="8">
        <f t="shared" ref="B54:B61" si="4">(EXP((-$C$2*D55)/(2*$A$2*$E$53))/(1 - EXP((-$C$2*D55)/($A$2*$E$53))))</f>
        <v>3.9603976536145911E-2</v>
      </c>
      <c r="D54" s="105">
        <f t="shared" ref="D54:D62" si="5">A32*$I$2</f>
        <v>40368833272170</v>
      </c>
      <c r="E54" s="3">
        <f>(EXP((-$C$2*D54)/(2*$A$2*$E$53))/(1 - EXP((-$C$2*D54)/($A$2*$E$53))))</f>
        <v>3.9654845334520836E-2</v>
      </c>
      <c r="F54" s="3">
        <f t="shared" ref="F54:F62" si="6">(EXP((-$C$2*D54)/(2*$A$2*$F$53))/(1 - EXP((-$C$2*D54)/($A$2*$F$53))))</f>
        <v>8.9463559162988954E-2</v>
      </c>
      <c r="G54" s="3">
        <f t="shared" ref="G54:G62" si="7">(EXP((-$C$2*D54)/(2*$A$2*$G$53))/(1 - EXP((-$C$2*D54)/($A$2*$G$53))))</f>
        <v>0.14712210153210242</v>
      </c>
      <c r="H54" s="3">
        <f t="shared" ref="H54:H62" si="8">(EXP((-$C$2*D54)/(2*$A$2*$H$53))/(1 - EXP((-$C$2*D54)/($A$2*$H$53))))</f>
        <v>0.20718199336639803</v>
      </c>
      <c r="I54" s="3">
        <f t="shared" ref="I54:I62" si="9">(EXP((-$C$2*D54)/(2*$A$2*$I$53))/(1 - EXP((-$C$2*D54)/($A$2*$I$53))))</f>
        <v>0.26739007442770918</v>
      </c>
      <c r="J54" s="3">
        <f t="shared" ref="J54:J62" si="10">(EXP((-$C$2*D54)/(2*$A$2*$J$53))/(1 - EXP((-$C$2*D54)/($A$2*$J$53))))</f>
        <v>0.32694314174756334</v>
      </c>
      <c r="K54" s="3">
        <f t="shared" ref="K54:K62" si="11">(EXP((-$C$2*D54)/(2*$A$2*$E$53))/(1 - EXP((-$C$2*D54)/($A$2*$E$53))))</f>
        <v>3.9654845334520836E-2</v>
      </c>
      <c r="L54" s="3">
        <f t="shared" ref="L54:L62" si="12">(EXP((-$C$2*D54)/(2*$A$2*$L$53))/(1 - EXP((-$C$2*D54)/($A$2*$L$53))))</f>
        <v>0.44345081601014769</v>
      </c>
      <c r="M54" s="3">
        <f t="shared" ref="M54:M62" si="13">(EXP((-$C$2*D54)/(2*$A$2*$M$53))/(1 - EXP((-$C$2*D54)/($A$2*$M$53))))</f>
        <v>0.5005002751134987</v>
      </c>
      <c r="N54" s="3">
        <f t="shared" ref="N54:N62" si="14">(EXP((-$C$2*D54)/(2*$A$2*$N$53))/(1 - EXP((-$C$2*D54)/($A$2*$N$53))))</f>
        <v>0.55687777714016007</v>
      </c>
      <c r="O54" s="3">
        <f t="shared" ref="O54:O62" si="15">(EXP((-$C$2*D54)/(2*$A$2*$O$53))/(1 - EXP((-$C$2*D54)/($A$2*$O$53))))</f>
        <v>0.61268114529386764</v>
      </c>
      <c r="P54" s="3">
        <f t="shared" ref="P54:P62" si="16">(EXP((-$C$2*D54)/(2*$A$2*$P$53))/(1 - EXP((-$C$2*D54)/($A$2*$P$53))))</f>
        <v>0.66799643261825847</v>
      </c>
      <c r="Q54" s="3">
        <f t="shared" ref="Q54:Q62" si="17">(EXP((-$C$2*D54)/(2*$A$2*$Q$53))/(1 - EXP((-$C$2*D54)/($A$2*$Q$53))))</f>
        <v>0.72289675289381872</v>
      </c>
      <c r="R54" s="3">
        <f t="shared" ref="R54:R62" si="18">(EXP((-$C$2*D54)/(2*$A$2*$R$53))/(1 - EXP((-$C$2*D54)/($A$2*$R$53))))</f>
        <v>0.77744329035143123</v>
      </c>
      <c r="S54" s="3">
        <f t="shared" ref="S54:S62" si="19">(EXP((-$C$2*D54)/(2*$A$2*$S$53))/(1 - EXP((-$C$2*D54)/($A$2*$S$53))))</f>
        <v>0.8316869573437019</v>
      </c>
      <c r="T54" s="3">
        <f t="shared" ref="T54:T62" si="20">(EXP((-$C$2*D54)/(2*$A$2*$T$53))/(1 - EXP((-$C$2*D54)/($A$2*$T$53))))</f>
        <v>0.88567009154541465</v>
      </c>
      <c r="U54" s="3">
        <f t="shared" ref="U54:U62" si="21">(EXP((-$C$2*D54)/(2*$A$2*$U$53))/(1 - EXP((-$C$2*D54)/($A$2*$U$53))))</f>
        <v>0.93942797410768486</v>
      </c>
      <c r="V54" s="3">
        <f t="shared" ref="V54:V62" si="22">(EXP((-$C$2*D54)/(2*$A$2*$V$53))/(1 - EXP((-$C$2*D54)/($A$2*$V$53))))</f>
        <v>0.99299011228276002</v>
      </c>
      <c r="W54" s="8">
        <f t="shared" ref="W54:W62" si="23">(EXP((-$C$2*D54)/(2*$A$2*$W$53))/(1 - EXP((-$C$2*D54)/($A$2*$W$53))))</f>
        <v>1.0463812939693182</v>
      </c>
    </row>
    <row r="55" spans="1:23" x14ac:dyDescent="0.3">
      <c r="A55" s="14"/>
      <c r="B55" s="8">
        <f t="shared" si="4"/>
        <v>3.9603862212577647E-2</v>
      </c>
      <c r="D55" s="105">
        <f t="shared" si="5"/>
        <v>40384830226650</v>
      </c>
      <c r="E55" s="3">
        <f t="shared" ref="E55:E62" si="24">(EXP((-$C$2*D55)/(2*$A$2*$E$53))/(1 - EXP((-$C$2*D55)/($A$2*$E$53))))</f>
        <v>3.9603976536145911E-2</v>
      </c>
      <c r="F55" s="3">
        <f t="shared" si="6"/>
        <v>8.9376381293463675E-2</v>
      </c>
      <c r="G55" s="3">
        <f t="shared" si="7"/>
        <v>0.14700440967255266</v>
      </c>
      <c r="H55" s="3">
        <f t="shared" si="8"/>
        <v>0.20703856619054198</v>
      </c>
      <c r="I55" s="3">
        <f t="shared" si="9"/>
        <v>0.26722384944689337</v>
      </c>
      <c r="J55" s="3">
        <f t="shared" si="10"/>
        <v>0.32675576568282277</v>
      </c>
      <c r="K55" s="3">
        <f t="shared" si="11"/>
        <v>3.9603976536145911E-2</v>
      </c>
      <c r="L55" s="3">
        <f t="shared" si="12"/>
        <v>0.443223362133011</v>
      </c>
      <c r="M55" s="3">
        <f t="shared" si="13"/>
        <v>0.50025322880084322</v>
      </c>
      <c r="N55" s="3">
        <f t="shared" si="14"/>
        <v>0.55661122619367875</v>
      </c>
      <c r="O55" s="3">
        <f t="shared" si="15"/>
        <v>0.61239510606530989</v>
      </c>
      <c r="P55" s="3">
        <f t="shared" si="16"/>
        <v>0.66769088322115411</v>
      </c>
      <c r="Q55" s="3">
        <f t="shared" si="17"/>
        <v>0.72257165193137185</v>
      </c>
      <c r="R55" s="3">
        <f t="shared" si="18"/>
        <v>0.7770985875107731</v>
      </c>
      <c r="S55" s="3">
        <f t="shared" si="19"/>
        <v>0.8313225993654878</v>
      </c>
      <c r="T55" s="3">
        <f t="shared" si="20"/>
        <v>0.88528602553508806</v>
      </c>
      <c r="U55" s="3">
        <f t="shared" si="21"/>
        <v>0.93902414930681599</v>
      </c>
      <c r="V55" s="3">
        <f t="shared" si="22"/>
        <v>0.99256648094560929</v>
      </c>
      <c r="W55" s="8">
        <f t="shared" si="23"/>
        <v>1.0459378117213372</v>
      </c>
    </row>
    <row r="56" spans="1:23" x14ac:dyDescent="0.3">
      <c r="A56" s="14"/>
      <c r="B56" s="8">
        <f t="shared" si="4"/>
        <v>2.3541828309654681E-2</v>
      </c>
      <c r="D56" s="105">
        <f t="shared" si="5"/>
        <v>40384866201810</v>
      </c>
      <c r="E56" s="3">
        <f t="shared" si="24"/>
        <v>3.9603862212577647E-2</v>
      </c>
      <c r="F56" s="3">
        <f t="shared" si="6"/>
        <v>8.9376185340016956E-2</v>
      </c>
      <c r="G56" s="3">
        <f t="shared" si="7"/>
        <v>0.14700414511278254</v>
      </c>
      <c r="H56" s="3">
        <f t="shared" si="8"/>
        <v>0.20703824376897864</v>
      </c>
      <c r="I56" s="3">
        <f t="shared" si="9"/>
        <v>0.2672234757699557</v>
      </c>
      <c r="J56" s="3">
        <f t="shared" si="10"/>
        <v>0.32675534445464138</v>
      </c>
      <c r="K56" s="3">
        <f t="shared" si="11"/>
        <v>3.9603862212577647E-2</v>
      </c>
      <c r="L56" s="3">
        <f t="shared" si="12"/>
        <v>0.44322285080690516</v>
      </c>
      <c r="M56" s="3">
        <f t="shared" si="13"/>
        <v>0.50025267343062729</v>
      </c>
      <c r="N56" s="3">
        <f t="shared" si="14"/>
        <v>0.55661062697715424</v>
      </c>
      <c r="O56" s="3">
        <f t="shared" si="15"/>
        <v>0.61239446303950285</v>
      </c>
      <c r="P56" s="3">
        <f t="shared" si="16"/>
        <v>0.66769019633702964</v>
      </c>
      <c r="Q56" s="3">
        <f t="shared" si="17"/>
        <v>0.72257092109597143</v>
      </c>
      <c r="R56" s="3">
        <f t="shared" si="18"/>
        <v>0.77709781261105182</v>
      </c>
      <c r="S56" s="3">
        <f t="shared" si="19"/>
        <v>0.83132178028174974</v>
      </c>
      <c r="T56" s="3">
        <f t="shared" si="20"/>
        <v>0.88528516214844022</v>
      </c>
      <c r="U56" s="3">
        <f t="shared" si="21"/>
        <v>0.93902324150315541</v>
      </c>
      <c r="V56" s="3">
        <f t="shared" si="22"/>
        <v>0.99256552861759761</v>
      </c>
      <c r="W56" s="8">
        <f t="shared" si="23"/>
        <v>1.0459368147692105</v>
      </c>
    </row>
    <row r="57" spans="1:23" x14ac:dyDescent="0.3">
      <c r="A57" s="14"/>
      <c r="B57" s="8">
        <f t="shared" si="4"/>
        <v>2.354175483763592E-2</v>
      </c>
      <c r="D57" s="105">
        <f t="shared" si="5"/>
        <v>46874872005780</v>
      </c>
      <c r="E57" s="3">
        <f t="shared" si="24"/>
        <v>2.3541828309654681E-2</v>
      </c>
      <c r="F57" s="3">
        <f t="shared" si="6"/>
        <v>6.029343410249579E-2</v>
      </c>
      <c r="G57" s="3">
        <f t="shared" si="7"/>
        <v>0.10661397637547312</v>
      </c>
      <c r="H57" s="3">
        <f t="shared" si="8"/>
        <v>0.15708705808832404</v>
      </c>
      <c r="I57" s="3">
        <f t="shared" si="9"/>
        <v>0.20889762555517091</v>
      </c>
      <c r="J57" s="3">
        <f t="shared" si="10"/>
        <v>0.26076966387604128</v>
      </c>
      <c r="K57" s="3">
        <f t="shared" si="11"/>
        <v>2.3541828309654681E-2</v>
      </c>
      <c r="L57" s="3">
        <f t="shared" si="12"/>
        <v>0.36296526098432697</v>
      </c>
      <c r="M57" s="3">
        <f t="shared" si="13"/>
        <v>0.41309456618623758</v>
      </c>
      <c r="N57" s="3">
        <f t="shared" si="14"/>
        <v>0.46261215211468326</v>
      </c>
      <c r="O57" s="3">
        <f t="shared" si="15"/>
        <v>0.51158040941838778</v>
      </c>
      <c r="P57" s="3">
        <f t="shared" si="16"/>
        <v>0.56006515507306343</v>
      </c>
      <c r="Q57" s="3">
        <f t="shared" si="17"/>
        <v>0.60812816433963968</v>
      </c>
      <c r="R57" s="3">
        <f t="shared" si="18"/>
        <v>0.65582452260683999</v>
      </c>
      <c r="S57" s="3">
        <f t="shared" si="19"/>
        <v>0.70320213776166152</v>
      </c>
      <c r="T57" s="3">
        <f t="shared" si="20"/>
        <v>0.75030216570384345</v>
      </c>
      <c r="U57" s="3">
        <f t="shared" si="21"/>
        <v>0.79715976741876404</v>
      </c>
      <c r="V57" s="3">
        <f t="shared" si="22"/>
        <v>0.84380493279079349</v>
      </c>
      <c r="W57" s="8">
        <f t="shared" si="23"/>
        <v>0.89026325748731172</v>
      </c>
    </row>
    <row r="58" spans="1:23" x14ac:dyDescent="0.3">
      <c r="A58" s="14"/>
      <c r="B58" s="8">
        <f t="shared" si="4"/>
        <v>6.8320943192920209E-4</v>
      </c>
      <c r="D58" s="105">
        <f t="shared" si="5"/>
        <v>46874910978870</v>
      </c>
      <c r="E58" s="3">
        <f t="shared" si="24"/>
        <v>2.354175483763592E-2</v>
      </c>
      <c r="F58" s="3">
        <f t="shared" si="6"/>
        <v>6.0293292109403512E-2</v>
      </c>
      <c r="G58" s="3">
        <f t="shared" si="7"/>
        <v>0.10661377247343917</v>
      </c>
      <c r="H58" s="3">
        <f t="shared" si="8"/>
        <v>0.1570868014318296</v>
      </c>
      <c r="I58" s="3">
        <f t="shared" si="9"/>
        <v>0.20889732307685097</v>
      </c>
      <c r="J58" s="3">
        <f t="shared" si="10"/>
        <v>0.26076932005400277</v>
      </c>
      <c r="K58" s="3">
        <f t="shared" si="11"/>
        <v>2.354175483763592E-2</v>
      </c>
      <c r="L58" s="3">
        <f t="shared" si="12"/>
        <v>0.36296484151175529</v>
      </c>
      <c r="M58" s="3">
        <f t="shared" si="13"/>
        <v>0.41309411060242923</v>
      </c>
      <c r="N58" s="3">
        <f t="shared" si="14"/>
        <v>0.46261166092189093</v>
      </c>
      <c r="O58" s="3">
        <f t="shared" si="15"/>
        <v>0.51157988287162981</v>
      </c>
      <c r="P58" s="3">
        <f t="shared" si="16"/>
        <v>0.56006459327964564</v>
      </c>
      <c r="Q58" s="3">
        <f t="shared" si="17"/>
        <v>0.60812756731930551</v>
      </c>
      <c r="R58" s="3">
        <f t="shared" si="18"/>
        <v>0.65582389032832011</v>
      </c>
      <c r="S58" s="3">
        <f t="shared" si="19"/>
        <v>0.70320147016499568</v>
      </c>
      <c r="T58" s="3">
        <f t="shared" si="20"/>
        <v>0.75030146271404885</v>
      </c>
      <c r="U58" s="3">
        <f t="shared" si="21"/>
        <v>0.79715902895419199</v>
      </c>
      <c r="V58" s="3">
        <f t="shared" si="22"/>
        <v>0.84380415876819537</v>
      </c>
      <c r="W58" s="8">
        <f t="shared" si="23"/>
        <v>0.89026244782485553</v>
      </c>
    </row>
    <row r="59" spans="1:23" x14ac:dyDescent="0.3">
      <c r="A59" s="14"/>
      <c r="B59" s="8">
        <f t="shared" si="4"/>
        <v>5.2439401044677785E-4</v>
      </c>
      <c r="D59" s="105">
        <f t="shared" si="5"/>
        <v>91120034763810</v>
      </c>
      <c r="E59" s="3">
        <f t="shared" si="24"/>
        <v>6.8320943192920209E-4</v>
      </c>
      <c r="F59" s="3">
        <f t="shared" si="6"/>
        <v>4.2259367593092045E-3</v>
      </c>
      <c r="G59" s="3">
        <f t="shared" si="7"/>
        <v>1.2612502326597285E-2</v>
      </c>
      <c r="H59" s="3">
        <f t="shared" si="8"/>
        <v>2.6156139241007997E-2</v>
      </c>
      <c r="I59" s="3">
        <f t="shared" si="9"/>
        <v>4.4077957685536837E-2</v>
      </c>
      <c r="J59" s="3">
        <f t="shared" si="10"/>
        <v>6.5282499781603484E-2</v>
      </c>
      <c r="K59" s="3">
        <f t="shared" si="11"/>
        <v>6.8320943192920209E-4</v>
      </c>
      <c r="L59" s="3">
        <f t="shared" si="12"/>
        <v>0.1137306677699438</v>
      </c>
      <c r="M59" s="3">
        <f t="shared" si="13"/>
        <v>0.13961248818318472</v>
      </c>
      <c r="N59" s="3">
        <f t="shared" si="14"/>
        <v>0.1660126234390677</v>
      </c>
      <c r="O59" s="3">
        <f t="shared" si="15"/>
        <v>0.19266518623516915</v>
      </c>
      <c r="P59" s="3">
        <f t="shared" si="16"/>
        <v>0.21939606668509007</v>
      </c>
      <c r="Q59" s="3">
        <f t="shared" si="17"/>
        <v>0.2460941171845388</v>
      </c>
      <c r="R59" s="3">
        <f t="shared" si="18"/>
        <v>0.27269066802336672</v>
      </c>
      <c r="S59" s="3">
        <f t="shared" si="19"/>
        <v>0.29914537077304648</v>
      </c>
      <c r="T59" s="3">
        <f t="shared" si="20"/>
        <v>0.325436565538057</v>
      </c>
      <c r="U59" s="3">
        <f t="shared" si="21"/>
        <v>0.35155478339490742</v>
      </c>
      <c r="V59" s="3">
        <f t="shared" si="22"/>
        <v>0.37749838633194993</v>
      </c>
      <c r="W59" s="8">
        <f t="shared" si="23"/>
        <v>0.40327065237532095</v>
      </c>
    </row>
    <row r="60" spans="1:23" x14ac:dyDescent="0.3">
      <c r="A60" s="14"/>
      <c r="B60" s="8">
        <f t="shared" si="4"/>
        <v>5.1917440051605236E-4</v>
      </c>
      <c r="D60" s="105">
        <f t="shared" si="5"/>
        <v>94427414096340</v>
      </c>
      <c r="E60" s="3">
        <f t="shared" si="24"/>
        <v>5.2439401044677785E-4</v>
      </c>
      <c r="F60" s="3">
        <f t="shared" si="6"/>
        <v>3.4653604747500772E-3</v>
      </c>
      <c r="G60" s="3">
        <f t="shared" si="7"/>
        <v>1.0760807002233756E-2</v>
      </c>
      <c r="H60" s="3">
        <f t="shared" si="8"/>
        <v>2.2911662467143986E-2</v>
      </c>
      <c r="I60" s="3">
        <f t="shared" si="9"/>
        <v>3.9337745904402775E-2</v>
      </c>
      <c r="J60" s="3">
        <f t="shared" si="10"/>
        <v>5.9071661135439074E-2</v>
      </c>
      <c r="K60" s="3">
        <f t="shared" si="11"/>
        <v>5.2439401044677785E-4</v>
      </c>
      <c r="L60" s="3">
        <f t="shared" si="12"/>
        <v>0.10485651502409347</v>
      </c>
      <c r="M60" s="3">
        <f t="shared" si="13"/>
        <v>0.1295609891275491</v>
      </c>
      <c r="N60" s="3">
        <f t="shared" si="14"/>
        <v>0.1548728287957748</v>
      </c>
      <c r="O60" s="3">
        <f t="shared" si="15"/>
        <v>0.18051095224650815</v>
      </c>
      <c r="P60" s="3">
        <f t="shared" si="16"/>
        <v>0.2062867461364116</v>
      </c>
      <c r="Q60" s="3">
        <f t="shared" si="17"/>
        <v>0.23207648250020155</v>
      </c>
      <c r="R60" s="3">
        <f t="shared" si="18"/>
        <v>0.2578011081566815</v>
      </c>
      <c r="S60" s="3">
        <f t="shared" si="19"/>
        <v>0.28341194215041715</v>
      </c>
      <c r="T60" s="3">
        <f t="shared" si="20"/>
        <v>0.30888074752074135</v>
      </c>
      <c r="U60" s="3">
        <f t="shared" si="21"/>
        <v>0.33419291448379107</v>
      </c>
      <c r="V60" s="3">
        <f t="shared" si="22"/>
        <v>0.35934280966018478</v>
      </c>
      <c r="W60" s="8">
        <f t="shared" si="23"/>
        <v>0.38433061598155377</v>
      </c>
    </row>
    <row r="61" spans="1:23" ht="15" thickBot="1" x14ac:dyDescent="0.35">
      <c r="A61" s="16"/>
      <c r="B61" s="10">
        <f t="shared" si="4"/>
        <v>5.1917415151472987E-4</v>
      </c>
      <c r="D61" s="105">
        <f t="shared" si="5"/>
        <v>94552472746290</v>
      </c>
      <c r="E61" s="3">
        <f t="shared" si="24"/>
        <v>5.1917440051605236E-4</v>
      </c>
      <c r="F61" s="3">
        <f t="shared" si="6"/>
        <v>3.4394579349538868E-3</v>
      </c>
      <c r="G61" s="3">
        <f t="shared" si="7"/>
        <v>1.0696398445332059E-2</v>
      </c>
      <c r="H61" s="3">
        <f t="shared" si="8"/>
        <v>2.2797231509789784E-2</v>
      </c>
      <c r="I61" s="3">
        <f t="shared" si="9"/>
        <v>3.9168941434991951E-2</v>
      </c>
      <c r="J61" s="3">
        <f t="shared" si="10"/>
        <v>5.8848951158456918E-2</v>
      </c>
      <c r="K61" s="3">
        <f t="shared" si="11"/>
        <v>5.1917440051605236E-4</v>
      </c>
      <c r="L61" s="3">
        <f t="shared" si="12"/>
        <v>0.10453550429179957</v>
      </c>
      <c r="M61" s="3">
        <f t="shared" si="13"/>
        <v>0.12919639081437409</v>
      </c>
      <c r="N61" s="3">
        <f t="shared" si="14"/>
        <v>0.15446793455743113</v>
      </c>
      <c r="O61" s="3">
        <f t="shared" si="15"/>
        <v>0.18006852508845028</v>
      </c>
      <c r="P61" s="3">
        <f t="shared" si="16"/>
        <v>0.20580902798941936</v>
      </c>
      <c r="Q61" s="3">
        <f t="shared" si="17"/>
        <v>0.23156525468655598</v>
      </c>
      <c r="R61" s="3">
        <f t="shared" si="18"/>
        <v>0.25725776680583656</v>
      </c>
      <c r="S61" s="3">
        <f t="shared" si="19"/>
        <v>0.28283757117831565</v>
      </c>
      <c r="T61" s="3">
        <f t="shared" si="20"/>
        <v>0.30827618240288879</v>
      </c>
      <c r="U61" s="3">
        <f t="shared" si="21"/>
        <v>0.33355879516873255</v>
      </c>
      <c r="V61" s="3">
        <f t="shared" si="22"/>
        <v>0.35867962321628583</v>
      </c>
      <c r="W61" s="8">
        <f t="shared" si="23"/>
        <v>0.38363873039289392</v>
      </c>
    </row>
    <row r="62" spans="1:23" ht="15" thickBot="1" x14ac:dyDescent="0.35">
      <c r="B62" s="3"/>
      <c r="D62" s="106">
        <f t="shared" si="5"/>
        <v>94552478742150</v>
      </c>
      <c r="E62" s="9">
        <f t="shared" si="24"/>
        <v>5.1917415151472987E-4</v>
      </c>
      <c r="F62" s="9">
        <f t="shared" si="6"/>
        <v>3.4394566977259552E-3</v>
      </c>
      <c r="G62" s="9">
        <f t="shared" si="7"/>
        <v>1.0696395366568273E-2</v>
      </c>
      <c r="H62" s="9">
        <f t="shared" si="8"/>
        <v>2.279722603722055E-2</v>
      </c>
      <c r="I62" s="9">
        <f t="shared" si="9"/>
        <v>3.916893335926213E-2</v>
      </c>
      <c r="J62" s="9">
        <f t="shared" si="10"/>
        <v>5.8848940501194484E-2</v>
      </c>
      <c r="K62" s="9">
        <f t="shared" si="11"/>
        <v>5.1917415151472987E-4</v>
      </c>
      <c r="L62" s="9">
        <f t="shared" si="12"/>
        <v>0.10453548892571002</v>
      </c>
      <c r="M62" s="9">
        <f t="shared" si="13"/>
        <v>0.12919637336009462</v>
      </c>
      <c r="N62" s="9">
        <f t="shared" si="14"/>
        <v>0.15446791517263928</v>
      </c>
      <c r="O62" s="9">
        <f t="shared" si="15"/>
        <v>0.18006850390555845</v>
      </c>
      <c r="P62" s="9">
        <f t="shared" si="16"/>
        <v>0.20580900511590608</v>
      </c>
      <c r="Q62" s="9">
        <f t="shared" si="17"/>
        <v>0.23156523020784375</v>
      </c>
      <c r="R62" s="9">
        <f t="shared" si="18"/>
        <v>0.25725774078889407</v>
      </c>
      <c r="S62" s="9">
        <f t="shared" si="19"/>
        <v>0.2828375436751483</v>
      </c>
      <c r="T62" s="9">
        <f t="shared" si="20"/>
        <v>0.30827615345359177</v>
      </c>
      <c r="U62" s="9">
        <f t="shared" si="21"/>
        <v>0.33355876480402541</v>
      </c>
      <c r="V62" s="9">
        <f t="shared" si="22"/>
        <v>0.35867959145955525</v>
      </c>
      <c r="W62" s="10">
        <f t="shared" si="23"/>
        <v>0.3836386972618141</v>
      </c>
    </row>
    <row r="63" spans="1:23" x14ac:dyDescent="0.3">
      <c r="B63" s="3"/>
      <c r="D63" s="10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5" thickBot="1" x14ac:dyDescent="0.35">
      <c r="B64" s="3"/>
      <c r="D64" s="10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">
      <c r="B65" s="3"/>
      <c r="D65" s="135" t="s">
        <v>111</v>
      </c>
      <c r="E65" s="136">
        <f>300</f>
        <v>300</v>
      </c>
      <c r="F65" s="136">
        <f t="shared" ref="F65" si="25">E65+100</f>
        <v>400</v>
      </c>
      <c r="G65" s="136">
        <f t="shared" ref="G65" si="26">F65+100</f>
        <v>500</v>
      </c>
      <c r="H65" s="136">
        <f t="shared" ref="H65" si="27">G65+100</f>
        <v>600</v>
      </c>
      <c r="I65" s="136">
        <f t="shared" ref="I65" si="28">H65+100</f>
        <v>700</v>
      </c>
      <c r="J65" s="136">
        <f t="shared" ref="J65" si="29">I65+100</f>
        <v>800</v>
      </c>
      <c r="K65" s="136">
        <f t="shared" ref="K65" si="30">J65+100</f>
        <v>900</v>
      </c>
      <c r="L65" s="136">
        <f t="shared" ref="L65" si="31">K65+100</f>
        <v>1000</v>
      </c>
      <c r="M65" s="136">
        <f t="shared" ref="M65" si="32">L65+100</f>
        <v>1100</v>
      </c>
      <c r="N65" s="136">
        <f t="shared" ref="N65" si="33">M65+100</f>
        <v>1200</v>
      </c>
      <c r="O65" s="136">
        <f t="shared" ref="O65" si="34">N65+100</f>
        <v>1300</v>
      </c>
      <c r="P65" s="136">
        <f t="shared" ref="P65" si="35">O65+100</f>
        <v>1400</v>
      </c>
      <c r="Q65" s="136">
        <f t="shared" ref="Q65" si="36">P65+100</f>
        <v>1500</v>
      </c>
      <c r="R65" s="136">
        <f t="shared" ref="R65" si="37">Q65+100</f>
        <v>1600</v>
      </c>
      <c r="S65" s="136">
        <f t="shared" ref="S65" si="38">R65+100</f>
        <v>1700</v>
      </c>
      <c r="T65" s="136">
        <f t="shared" ref="T65" si="39">S65+100</f>
        <v>1800</v>
      </c>
      <c r="U65" s="136">
        <f t="shared" ref="U65" si="40">T65+100</f>
        <v>1900</v>
      </c>
      <c r="V65" s="136">
        <f t="shared" ref="V65" si="41">U65+100</f>
        <v>2000</v>
      </c>
      <c r="W65" s="137">
        <f t="shared" ref="W65" si="42">V65+100</f>
        <v>2100</v>
      </c>
    </row>
    <row r="66" spans="1:23" ht="15" thickBot="1" x14ac:dyDescent="0.35">
      <c r="B66" s="3"/>
      <c r="D66" s="106" t="s">
        <v>110</v>
      </c>
      <c r="E66" s="9">
        <f>PRODUCT(E54:E62)</f>
        <v>3.328813961672257E-21</v>
      </c>
      <c r="F66" s="9">
        <f>PRODUCT(F54:F62)</f>
        <v>4.5007100072614691E-16</v>
      </c>
      <c r="G66" s="9">
        <f t="shared" ref="G66:W66" si="43">PRODUCT(G54:G62)</f>
        <v>5.6115965116358827E-13</v>
      </c>
      <c r="H66" s="9">
        <f t="shared" si="43"/>
        <v>6.8254029373409054E-11</v>
      </c>
      <c r="I66" s="9">
        <f t="shared" si="43"/>
        <v>2.216542173783435E-9</v>
      </c>
      <c r="J66" s="9">
        <f t="shared" si="43"/>
        <v>3.1701885105781797E-8</v>
      </c>
      <c r="K66" s="9">
        <f t="shared" si="43"/>
        <v>3.328813961672257E-21</v>
      </c>
      <c r="L66" s="9">
        <f t="shared" si="43"/>
        <v>1.4956171882431537E-6</v>
      </c>
      <c r="M66" s="9">
        <f t="shared" si="43"/>
        <v>6.4532925173967981E-6</v>
      </c>
      <c r="N66" s="9">
        <f t="shared" si="43"/>
        <v>2.2651132620723072E-5</v>
      </c>
      <c r="O66" s="9">
        <f t="shared" si="43"/>
        <v>6.781210300804256E-5</v>
      </c>
      <c r="P66" s="9">
        <f t="shared" si="43"/>
        <v>1.7907304484827573E-4</v>
      </c>
      <c r="Q66" s="9">
        <f t="shared" si="43"/>
        <v>4.2747093724311168E-4</v>
      </c>
      <c r="R66" s="9">
        <f t="shared" si="43"/>
        <v>9.3947972738230891E-4</v>
      </c>
      <c r="S66" s="9">
        <f t="shared" si="43"/>
        <v>1.9276721722619617E-3</v>
      </c>
      <c r="T66" s="9">
        <f t="shared" si="43"/>
        <v>3.7329129075870651E-3</v>
      </c>
      <c r="U66" s="9">
        <f t="shared" si="43"/>
        <v>6.880847539343744E-3</v>
      </c>
      <c r="V66" s="9">
        <f t="shared" si="43"/>
        <v>1.2155837020012076E-2</v>
      </c>
      <c r="W66" s="10">
        <f t="shared" si="43"/>
        <v>2.0695896183210393E-2</v>
      </c>
    </row>
    <row r="67" spans="1:23" x14ac:dyDescent="0.3">
      <c r="B67" s="3"/>
      <c r="D67" s="10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3">
      <c r="B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3">
      <c r="B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">
      <c r="B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" thickBot="1" x14ac:dyDescent="0.35"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">
      <c r="A72" s="18" t="s">
        <v>42</v>
      </c>
      <c r="B72" s="19">
        <f>COUNT(B53:B70)</f>
        <v>9</v>
      </c>
    </row>
    <row r="73" spans="1:23" ht="21" thickBot="1" x14ac:dyDescent="0.35">
      <c r="A73" s="20" t="s">
        <v>109</v>
      </c>
      <c r="B73" s="123">
        <f>PRODUCT(B53:B61)</f>
        <v>3.328813961672257E-21</v>
      </c>
    </row>
    <row r="76" spans="1:23" ht="15" thickBot="1" x14ac:dyDescent="0.35"/>
    <row r="77" spans="1:23" x14ac:dyDescent="0.3">
      <c r="A77" s="37" t="s">
        <v>102</v>
      </c>
    </row>
    <row r="78" spans="1:23" x14ac:dyDescent="0.3">
      <c r="A78" s="122">
        <v>2.4882600000000002E-21</v>
      </c>
    </row>
    <row r="79" spans="1:23" x14ac:dyDescent="0.3">
      <c r="A79" s="120" t="s">
        <v>90</v>
      </c>
    </row>
    <row r="80" spans="1:23" ht="15" thickBot="1" x14ac:dyDescent="0.35">
      <c r="A80" s="121">
        <f>ABS(B73-A78)/B73</f>
        <v>0.25250854248700572</v>
      </c>
    </row>
    <row r="81" spans="2:10" ht="15" thickBot="1" x14ac:dyDescent="0.35"/>
    <row r="82" spans="2:10" ht="19.2" x14ac:dyDescent="0.3">
      <c r="D82" s="12" t="s">
        <v>23</v>
      </c>
      <c r="E82" s="39" t="s">
        <v>46</v>
      </c>
      <c r="F82" s="54" t="s">
        <v>44</v>
      </c>
    </row>
    <row r="83" spans="2:10" ht="18.600000000000001" thickBot="1" x14ac:dyDescent="0.35">
      <c r="B83" s="11"/>
      <c r="D83" s="14">
        <f>300</f>
        <v>300</v>
      </c>
      <c r="E83" s="8">
        <f xml:space="preserve"> ( (2*$B$2*$E$2*$A$2*D83)/($C$2*$C$2) )^(1.5) * ($A$2*D83) /$F$83</f>
        <v>2560784.4726412501</v>
      </c>
      <c r="F83" s="31">
        <v>101325</v>
      </c>
      <c r="H83" s="2" t="s">
        <v>55</v>
      </c>
    </row>
    <row r="84" spans="2:10" ht="15" thickBot="1" x14ac:dyDescent="0.35">
      <c r="D84" s="14">
        <f>D83+100</f>
        <v>400</v>
      </c>
      <c r="E84" s="8">
        <f t="shared" ref="E84:E101" si="44" xml:space="preserve"> ( (2*$B$2*$E$2*$A$2*D84)/($C$2*$C$2) )^(1.5) * ($A$2*D84) /$F$83</f>
        <v>5256780.8164125588</v>
      </c>
    </row>
    <row r="85" spans="2:10" ht="15" thickBot="1" x14ac:dyDescent="0.35">
      <c r="D85" s="14">
        <f t="shared" ref="D85:D101" si="45">D84+100</f>
        <v>500</v>
      </c>
      <c r="E85" s="8">
        <f t="shared" si="44"/>
        <v>9183218.1627463996</v>
      </c>
      <c r="J85" s="37" t="s">
        <v>45</v>
      </c>
    </row>
    <row r="86" spans="2:10" x14ac:dyDescent="0.3">
      <c r="D86" s="14">
        <f t="shared" si="45"/>
        <v>600</v>
      </c>
      <c r="E86" s="8">
        <f t="shared" si="44"/>
        <v>14485984.526094593</v>
      </c>
      <c r="H86" s="40" t="s">
        <v>48</v>
      </c>
      <c r="I86" s="18" t="s">
        <v>47</v>
      </c>
      <c r="J86" s="42">
        <f xml:space="preserve"> ( (2*$B$2*$E$2*$A$2*298.15)/($C$2*$C$2) )^(1.5) * ($A$2*D83) /$F$83</f>
        <v>2537133.7717421828</v>
      </c>
    </row>
    <row r="87" spans="2:10" ht="15" thickBot="1" x14ac:dyDescent="0.35">
      <c r="D87" s="14">
        <f t="shared" si="45"/>
        <v>700</v>
      </c>
      <c r="E87" s="8">
        <f t="shared" si="44"/>
        <v>21296831.316035271</v>
      </c>
      <c r="H87" s="41" t="s">
        <v>49</v>
      </c>
      <c r="I87" s="16" t="s">
        <v>47</v>
      </c>
      <c r="J87" s="43">
        <v>2522950</v>
      </c>
    </row>
    <row r="88" spans="2:10" x14ac:dyDescent="0.3">
      <c r="D88" s="14">
        <f t="shared" si="45"/>
        <v>800</v>
      </c>
      <c r="E88" s="8">
        <f t="shared" si="44"/>
        <v>29736842.899973489</v>
      </c>
      <c r="J88" s="1" t="s">
        <v>90</v>
      </c>
    </row>
    <row r="89" spans="2:10" x14ac:dyDescent="0.3">
      <c r="D89" s="14">
        <f t="shared" si="45"/>
        <v>900</v>
      </c>
      <c r="E89" s="8">
        <f t="shared" si="44"/>
        <v>39918679.324632928</v>
      </c>
      <c r="J89" s="85">
        <f>(J86-J87)/J87</f>
        <v>5.6218996580125581E-3</v>
      </c>
    </row>
    <row r="90" spans="2:10" x14ac:dyDescent="0.3">
      <c r="D90" s="14">
        <f t="shared" si="45"/>
        <v>1000</v>
      </c>
      <c r="E90" s="8">
        <f t="shared" si="44"/>
        <v>51948126.68794772</v>
      </c>
    </row>
    <row r="91" spans="2:10" x14ac:dyDescent="0.3">
      <c r="D91" s="14">
        <f t="shared" si="45"/>
        <v>1100</v>
      </c>
      <c r="E91" s="8">
        <f t="shared" si="44"/>
        <v>65925222.448581584</v>
      </c>
    </row>
    <row r="92" spans="2:10" x14ac:dyDescent="0.3">
      <c r="D92" s="14">
        <f t="shared" si="45"/>
        <v>1200</v>
      </c>
      <c r="E92" s="8">
        <f t="shared" si="44"/>
        <v>81945103.124519289</v>
      </c>
    </row>
    <row r="93" spans="2:10" x14ac:dyDescent="0.3">
      <c r="D93" s="14">
        <f t="shared" si="45"/>
        <v>1300</v>
      </c>
      <c r="E93" s="8">
        <f t="shared" si="44"/>
        <v>100098661.85591246</v>
      </c>
    </row>
    <row r="94" spans="2:10" x14ac:dyDescent="0.3">
      <c r="D94" s="14">
        <f t="shared" si="45"/>
        <v>1400</v>
      </c>
      <c r="E94" s="8">
        <f t="shared" si="44"/>
        <v>120473070.73083685</v>
      </c>
    </row>
    <row r="95" spans="2:10" x14ac:dyDescent="0.3">
      <c r="D95" s="14">
        <f t="shared" si="45"/>
        <v>1500</v>
      </c>
      <c r="E95" s="8">
        <f t="shared" si="44"/>
        <v>143152203.91379422</v>
      </c>
    </row>
    <row r="96" spans="2:10" x14ac:dyDescent="0.3">
      <c r="D96" s="14">
        <f t="shared" si="45"/>
        <v>1600</v>
      </c>
      <c r="E96" s="8">
        <f t="shared" si="44"/>
        <v>168216986.12520283</v>
      </c>
    </row>
    <row r="97" spans="1:10" x14ac:dyDescent="0.3">
      <c r="D97" s="14">
        <f t="shared" si="45"/>
        <v>1700</v>
      </c>
      <c r="E97" s="8">
        <f t="shared" si="44"/>
        <v>195745683.71600592</v>
      </c>
    </row>
    <row r="98" spans="1:10" x14ac:dyDescent="0.3">
      <c r="D98" s="14">
        <f t="shared" si="45"/>
        <v>1800</v>
      </c>
      <c r="E98" s="8">
        <f t="shared" si="44"/>
        <v>225814150.77167404</v>
      </c>
    </row>
    <row r="99" spans="1:10" x14ac:dyDescent="0.3">
      <c r="D99" s="14">
        <f t="shared" si="45"/>
        <v>1900</v>
      </c>
      <c r="E99" s="8">
        <f t="shared" si="44"/>
        <v>258496039.41555744</v>
      </c>
    </row>
    <row r="100" spans="1:10" x14ac:dyDescent="0.3">
      <c r="D100" s="14">
        <f t="shared" si="45"/>
        <v>2000</v>
      </c>
      <c r="E100" s="8">
        <f t="shared" si="44"/>
        <v>293862981.20788223</v>
      </c>
    </row>
    <row r="101" spans="1:10" ht="15" thickBot="1" x14ac:dyDescent="0.35">
      <c r="D101" s="16">
        <f t="shared" si="45"/>
        <v>2100</v>
      </c>
      <c r="E101" s="10">
        <f t="shared" si="44"/>
        <v>331984744.9163723</v>
      </c>
    </row>
    <row r="104" spans="1:10" ht="15" thickBot="1" x14ac:dyDescent="0.35"/>
    <row r="105" spans="1:10" ht="19.2" x14ac:dyDescent="0.3">
      <c r="D105" s="12" t="s">
        <v>23</v>
      </c>
      <c r="E105" s="39" t="s">
        <v>54</v>
      </c>
    </row>
    <row r="106" spans="1:10" x14ac:dyDescent="0.3">
      <c r="D106" s="14">
        <f>300</f>
        <v>300</v>
      </c>
      <c r="E106" s="8">
        <f xml:space="preserve"> ( SQRT($B$2)/$B$6) * SQRT(  (D106*D106*D106) / ($E$11 * $F$11 * $G$11 ) )</f>
        <v>147.65646236659535</v>
      </c>
    </row>
    <row r="107" spans="1:10" x14ac:dyDescent="0.3">
      <c r="D107" s="14">
        <f>D106+100</f>
        <v>400</v>
      </c>
      <c r="E107" s="8">
        <f t="shared" ref="E107:E124" si="46" xml:space="preserve"> ( SQRT($B$2)/$B$6) * SQRT(  (D107*D107*D107) / ($E$11 * $F$11 * $G$11 ) )</f>
        <v>227.3319954531778</v>
      </c>
    </row>
    <row r="108" spans="1:10" x14ac:dyDescent="0.3">
      <c r="D108" s="14">
        <f t="shared" ref="D108:D124" si="47">D107+100</f>
        <v>500</v>
      </c>
      <c r="E108" s="8">
        <f t="shared" si="46"/>
        <v>317.7061220587367</v>
      </c>
      <c r="H108" s="2" t="s">
        <v>55</v>
      </c>
    </row>
    <row r="109" spans="1:10" ht="15" thickBot="1" x14ac:dyDescent="0.35">
      <c r="D109" s="14">
        <f t="shared" si="47"/>
        <v>600</v>
      </c>
      <c r="E109" s="8">
        <f t="shared" si="46"/>
        <v>417.63554330174333</v>
      </c>
    </row>
    <row r="110" spans="1:10" ht="18.600000000000001" thickBot="1" x14ac:dyDescent="0.35">
      <c r="A110" s="36"/>
      <c r="B110" s="11"/>
      <c r="D110" s="14">
        <f t="shared" si="47"/>
        <v>700</v>
      </c>
      <c r="E110" s="8">
        <f t="shared" si="46"/>
        <v>526.28093439002782</v>
      </c>
      <c r="J110" s="37" t="s">
        <v>45</v>
      </c>
    </row>
    <row r="111" spans="1:10" x14ac:dyDescent="0.3">
      <c r="D111" s="14">
        <f t="shared" si="47"/>
        <v>800</v>
      </c>
      <c r="E111" s="8">
        <f t="shared" si="46"/>
        <v>642.99198226244562</v>
      </c>
      <c r="H111" s="40" t="s">
        <v>48</v>
      </c>
      <c r="I111" s="18" t="s">
        <v>89</v>
      </c>
      <c r="J111" s="42">
        <f>E106</f>
        <v>147.65646236659535</v>
      </c>
    </row>
    <row r="112" spans="1:10" ht="15" thickBot="1" x14ac:dyDescent="0.35">
      <c r="D112" s="14">
        <f t="shared" si="47"/>
        <v>900</v>
      </c>
      <c r="E112" s="8">
        <f t="shared" si="46"/>
        <v>767.24548465447515</v>
      </c>
      <c r="H112" s="41" t="s">
        <v>49</v>
      </c>
      <c r="I112" s="16" t="s">
        <v>89</v>
      </c>
      <c r="J112" s="43">
        <v>146.29300000000001</v>
      </c>
    </row>
    <row r="113" spans="4:10" x14ac:dyDescent="0.3">
      <c r="D113" s="14">
        <f t="shared" si="47"/>
        <v>1000</v>
      </c>
      <c r="E113" s="8">
        <f t="shared" si="46"/>
        <v>898.60861332885463</v>
      </c>
      <c r="J113" s="1" t="s">
        <v>90</v>
      </c>
    </row>
    <row r="114" spans="4:10" x14ac:dyDescent="0.3">
      <c r="D114" s="14">
        <f t="shared" si="47"/>
        <v>1100</v>
      </c>
      <c r="E114" s="8">
        <f t="shared" si="46"/>
        <v>1036.7155311713345</v>
      </c>
      <c r="J114" s="85">
        <f>(J111-J112)/J112</f>
        <v>9.3200793380089457E-3</v>
      </c>
    </row>
    <row r="115" spans="4:10" x14ac:dyDescent="0.3">
      <c r="D115" s="14">
        <f t="shared" si="47"/>
        <v>1200</v>
      </c>
      <c r="E115" s="8">
        <f t="shared" si="46"/>
        <v>1181.2516989327628</v>
      </c>
    </row>
    <row r="116" spans="4:10" x14ac:dyDescent="0.3">
      <c r="D116" s="14">
        <f t="shared" si="47"/>
        <v>1300</v>
      </c>
      <c r="E116" s="8">
        <f t="shared" si="46"/>
        <v>1331.9428950099662</v>
      </c>
      <c r="H116" s="57"/>
    </row>
    <row r="117" spans="4:10" x14ac:dyDescent="0.3">
      <c r="D117" s="14">
        <f t="shared" si="47"/>
        <v>1400</v>
      </c>
      <c r="E117" s="8">
        <f t="shared" si="46"/>
        <v>1488.547270065525</v>
      </c>
    </row>
    <row r="118" spans="4:10" x14ac:dyDescent="0.3">
      <c r="D118" s="14">
        <f t="shared" si="47"/>
        <v>1500</v>
      </c>
      <c r="E118" s="8">
        <f t="shared" si="46"/>
        <v>1650.8494358442335</v>
      </c>
    </row>
    <row r="119" spans="4:10" x14ac:dyDescent="0.3">
      <c r="D119" s="14">
        <f t="shared" si="47"/>
        <v>1600</v>
      </c>
      <c r="E119" s="8">
        <f t="shared" si="46"/>
        <v>1818.6559636254224</v>
      </c>
    </row>
    <row r="120" spans="4:10" x14ac:dyDescent="0.3">
      <c r="D120" s="14">
        <f t="shared" si="47"/>
        <v>1700</v>
      </c>
      <c r="E120" s="8">
        <f t="shared" si="46"/>
        <v>1991.7918873387575</v>
      </c>
    </row>
    <row r="121" spans="4:10" x14ac:dyDescent="0.3">
      <c r="D121" s="14">
        <f t="shared" si="47"/>
        <v>1800</v>
      </c>
      <c r="E121" s="8">
        <f t="shared" si="46"/>
        <v>2170.097940135754</v>
      </c>
    </row>
    <row r="122" spans="4:10" x14ac:dyDescent="0.3">
      <c r="D122" s="14">
        <f t="shared" si="47"/>
        <v>1900</v>
      </c>
      <c r="E122" s="8">
        <f t="shared" si="46"/>
        <v>2353.4283376828935</v>
      </c>
    </row>
    <row r="123" spans="4:10" x14ac:dyDescent="0.3">
      <c r="D123" s="14">
        <f t="shared" si="47"/>
        <v>2000</v>
      </c>
      <c r="E123" s="8">
        <f t="shared" si="46"/>
        <v>2541.6489764698936</v>
      </c>
    </row>
    <row r="124" spans="4:10" ht="15" thickBot="1" x14ac:dyDescent="0.35">
      <c r="D124" s="16">
        <f t="shared" si="47"/>
        <v>2100</v>
      </c>
      <c r="E124" s="10">
        <f t="shared" si="46"/>
        <v>2734.6359522550533</v>
      </c>
    </row>
    <row r="126" spans="4:10" ht="15" thickBot="1" x14ac:dyDescent="0.35"/>
    <row r="127" spans="4:10" ht="19.2" x14ac:dyDescent="0.3">
      <c r="D127" s="12" t="s">
        <v>23</v>
      </c>
      <c r="E127" s="13" t="s">
        <v>63</v>
      </c>
      <c r="F127" s="54" t="s">
        <v>108</v>
      </c>
    </row>
    <row r="128" spans="4:10" ht="15.6" x14ac:dyDescent="0.3">
      <c r="D128" s="14">
        <f>300</f>
        <v>300</v>
      </c>
      <c r="E128" s="48">
        <f>$B$135*EXP($B$134/($A$2*D128) )</f>
        <v>0</v>
      </c>
      <c r="F128" s="56">
        <f>$B$135</f>
        <v>1</v>
      </c>
      <c r="G128" s="2" t="s">
        <v>65</v>
      </c>
      <c r="H128" s="6">
        <f>$B$135*EXP($B$134/($A$2*298.15) )</f>
        <v>0</v>
      </c>
    </row>
    <row r="129" spans="1:6" ht="15.6" x14ac:dyDescent="0.2">
      <c r="A129" s="44"/>
      <c r="D129" s="14">
        <f>D128+100</f>
        <v>400</v>
      </c>
      <c r="E129" s="48">
        <f t="shared" ref="E129:E146" si="48">$B$135*EXP($B$134/($A$2*D129) )</f>
        <v>0</v>
      </c>
      <c r="F129" s="56">
        <f t="shared" ref="F129:F146" si="49">$B$135</f>
        <v>1</v>
      </c>
    </row>
    <row r="130" spans="1:6" ht="15.6" x14ac:dyDescent="0.3">
      <c r="D130" s="14">
        <f t="shared" ref="D130:D146" si="50">D129+100</f>
        <v>500</v>
      </c>
      <c r="E130" s="48">
        <f t="shared" si="48"/>
        <v>0</v>
      </c>
      <c r="F130" s="56">
        <f t="shared" si="49"/>
        <v>1</v>
      </c>
    </row>
    <row r="131" spans="1:6" ht="15.6" x14ac:dyDescent="0.3">
      <c r="A131" s="45" t="s">
        <v>59</v>
      </c>
      <c r="B131" s="46">
        <v>-40.4758721364</v>
      </c>
      <c r="D131" s="14">
        <f t="shared" si="50"/>
        <v>600</v>
      </c>
      <c r="E131" s="48">
        <f t="shared" si="48"/>
        <v>0</v>
      </c>
      <c r="F131" s="56">
        <f t="shared" si="49"/>
        <v>1</v>
      </c>
    </row>
    <row r="132" spans="1:6" ht="15.6" x14ac:dyDescent="0.3">
      <c r="A132" s="45" t="s">
        <v>60</v>
      </c>
      <c r="B132" s="47">
        <f>B131/(229400000000000000)</f>
        <v>-1.7644233712467306E-16</v>
      </c>
      <c r="D132" s="14">
        <f t="shared" si="50"/>
        <v>700</v>
      </c>
      <c r="E132" s="48">
        <f t="shared" si="48"/>
        <v>0</v>
      </c>
      <c r="F132" s="56">
        <f t="shared" si="49"/>
        <v>1</v>
      </c>
    </row>
    <row r="133" spans="1:6" ht="15.6" x14ac:dyDescent="0.3">
      <c r="A133" s="45" t="s">
        <v>61</v>
      </c>
      <c r="B133" s="45">
        <f>3.25263E-19</f>
        <v>3.2526300000000002E-19</v>
      </c>
      <c r="D133" s="14">
        <f t="shared" si="50"/>
        <v>800</v>
      </c>
      <c r="E133" s="48">
        <f t="shared" si="48"/>
        <v>0</v>
      </c>
      <c r="F133" s="56">
        <f t="shared" si="49"/>
        <v>1</v>
      </c>
    </row>
    <row r="134" spans="1:6" ht="19.2" x14ac:dyDescent="0.3">
      <c r="A134" s="45" t="s">
        <v>67</v>
      </c>
      <c r="B134" s="47">
        <f>B132+B133</f>
        <v>-1.7611707412467306E-16</v>
      </c>
      <c r="D134" s="14">
        <f t="shared" si="50"/>
        <v>900</v>
      </c>
      <c r="E134" s="48">
        <f t="shared" si="48"/>
        <v>0</v>
      </c>
      <c r="F134" s="56">
        <f t="shared" si="49"/>
        <v>1</v>
      </c>
    </row>
    <row r="135" spans="1:6" ht="19.2" x14ac:dyDescent="0.3">
      <c r="A135" s="45" t="s">
        <v>62</v>
      </c>
      <c r="B135" s="45">
        <v>1</v>
      </c>
      <c r="D135" s="14">
        <f t="shared" si="50"/>
        <v>1000</v>
      </c>
      <c r="E135" s="48">
        <f t="shared" si="48"/>
        <v>0</v>
      </c>
      <c r="F135" s="56">
        <f t="shared" si="49"/>
        <v>1</v>
      </c>
    </row>
    <row r="136" spans="1:6" ht="15.6" x14ac:dyDescent="0.3">
      <c r="A136" s="2" t="s">
        <v>66</v>
      </c>
      <c r="B136" s="3">
        <f>A2*D128</f>
        <v>4.1417999999999996E-21</v>
      </c>
      <c r="D136" s="14">
        <f t="shared" si="50"/>
        <v>1100</v>
      </c>
      <c r="E136" s="48">
        <f t="shared" si="48"/>
        <v>0</v>
      </c>
      <c r="F136" s="56">
        <f t="shared" si="49"/>
        <v>1</v>
      </c>
    </row>
    <row r="137" spans="1:6" ht="15.6" x14ac:dyDescent="0.3">
      <c r="D137" s="14">
        <f t="shared" si="50"/>
        <v>1200</v>
      </c>
      <c r="E137" s="48">
        <f t="shared" si="48"/>
        <v>0</v>
      </c>
      <c r="F137" s="56">
        <f t="shared" si="49"/>
        <v>1</v>
      </c>
    </row>
    <row r="138" spans="1:6" ht="15.6" x14ac:dyDescent="0.3">
      <c r="D138" s="14">
        <f t="shared" si="50"/>
        <v>1300</v>
      </c>
      <c r="E138" s="48">
        <f t="shared" si="48"/>
        <v>0</v>
      </c>
      <c r="F138" s="56">
        <f t="shared" si="49"/>
        <v>1</v>
      </c>
    </row>
    <row r="139" spans="1:6" ht="15.6" x14ac:dyDescent="0.3">
      <c r="D139" s="14">
        <f t="shared" si="50"/>
        <v>1400</v>
      </c>
      <c r="E139" s="48">
        <f t="shared" si="48"/>
        <v>0</v>
      </c>
      <c r="F139" s="56">
        <f t="shared" si="49"/>
        <v>1</v>
      </c>
    </row>
    <row r="140" spans="1:6" ht="15.6" x14ac:dyDescent="0.3">
      <c r="D140" s="14">
        <f t="shared" si="50"/>
        <v>1500</v>
      </c>
      <c r="E140" s="48">
        <f t="shared" si="48"/>
        <v>0</v>
      </c>
      <c r="F140" s="56">
        <f t="shared" si="49"/>
        <v>1</v>
      </c>
    </row>
    <row r="141" spans="1:6" ht="15.6" x14ac:dyDescent="0.3">
      <c r="D141" s="14">
        <f t="shared" si="50"/>
        <v>1600</v>
      </c>
      <c r="E141" s="48">
        <f t="shared" si="48"/>
        <v>0</v>
      </c>
      <c r="F141" s="56">
        <f t="shared" si="49"/>
        <v>1</v>
      </c>
    </row>
    <row r="142" spans="1:6" ht="15.6" x14ac:dyDescent="0.3">
      <c r="D142" s="14">
        <f t="shared" si="50"/>
        <v>1700</v>
      </c>
      <c r="E142" s="48">
        <f t="shared" si="48"/>
        <v>0</v>
      </c>
      <c r="F142" s="56">
        <f t="shared" si="49"/>
        <v>1</v>
      </c>
    </row>
    <row r="143" spans="1:6" ht="15.6" x14ac:dyDescent="0.3">
      <c r="D143" s="14">
        <f t="shared" si="50"/>
        <v>1800</v>
      </c>
      <c r="E143" s="48">
        <f t="shared" si="48"/>
        <v>0</v>
      </c>
      <c r="F143" s="56">
        <f t="shared" si="49"/>
        <v>1</v>
      </c>
    </row>
    <row r="144" spans="1:6" ht="15.6" x14ac:dyDescent="0.3">
      <c r="D144" s="14">
        <f t="shared" si="50"/>
        <v>1900</v>
      </c>
      <c r="E144" s="48">
        <f t="shared" si="48"/>
        <v>0</v>
      </c>
      <c r="F144" s="56">
        <f t="shared" si="49"/>
        <v>1</v>
      </c>
    </row>
    <row r="145" spans="4:13" ht="15.6" x14ac:dyDescent="0.3">
      <c r="D145" s="14">
        <f t="shared" si="50"/>
        <v>2000</v>
      </c>
      <c r="E145" s="48">
        <f t="shared" si="48"/>
        <v>0</v>
      </c>
      <c r="F145" s="56">
        <f t="shared" si="49"/>
        <v>1</v>
      </c>
    </row>
    <row r="146" spans="4:13" ht="16.2" thickBot="1" x14ac:dyDescent="0.35">
      <c r="D146" s="16">
        <f t="shared" si="50"/>
        <v>2100</v>
      </c>
      <c r="E146" s="49">
        <f t="shared" si="48"/>
        <v>0</v>
      </c>
      <c r="F146" s="31">
        <f t="shared" si="49"/>
        <v>1</v>
      </c>
    </row>
    <row r="151" spans="4:13" ht="15" thickBot="1" x14ac:dyDescent="0.35">
      <c r="H151" s="2" t="s">
        <v>68</v>
      </c>
    </row>
    <row r="152" spans="4:13" ht="20.399999999999999" x14ac:dyDescent="0.3">
      <c r="D152" s="58" t="s">
        <v>23</v>
      </c>
      <c r="E152" s="62" t="s">
        <v>53</v>
      </c>
      <c r="F152" s="59" t="s">
        <v>69</v>
      </c>
      <c r="G152" s="59" t="s">
        <v>70</v>
      </c>
      <c r="H152" s="59" t="s">
        <v>43</v>
      </c>
      <c r="I152" s="38" t="s">
        <v>71</v>
      </c>
    </row>
    <row r="153" spans="4:13" ht="15.6" x14ac:dyDescent="0.3">
      <c r="D153" s="56">
        <f>300</f>
        <v>300</v>
      </c>
      <c r="E153" s="116">
        <f xml:space="preserve"> ( SQRT($B$2)/$B$6) * SQRT(  (D153*D153*D153) / ($E$11 * $F$11 * $G$11 ) )</f>
        <v>147.65646236659535</v>
      </c>
      <c r="F153" s="47">
        <v>1</v>
      </c>
      <c r="G153" s="3">
        <f xml:space="preserve"> ( (2*$B$2*$E$2*$A$2*D153)/($C$2*$C$2) )^(1.5) * ($A$2*D153) /$F$83</f>
        <v>2560784.4726412501</v>
      </c>
      <c r="H153" s="3">
        <f>PRODUCT(E54:E62)</f>
        <v>3.328813961672257E-21</v>
      </c>
      <c r="I153" s="99">
        <f>PRODUCT(E153:H153)</f>
        <v>1.2586790719435853E-12</v>
      </c>
      <c r="J153" s="41"/>
      <c r="K153" s="57"/>
      <c r="M153" s="3"/>
    </row>
    <row r="154" spans="4:13" ht="15.6" x14ac:dyDescent="0.3">
      <c r="D154" s="56">
        <f>D153+100</f>
        <v>400</v>
      </c>
      <c r="E154" s="116">
        <f t="shared" ref="E154:E171" si="51" xml:space="preserve"> ( SQRT($B$2)/$B$6) * SQRT(  (D154*D154*D154) / ($E$11 * $F$11 * $G$11 ) )</f>
        <v>227.3319954531778</v>
      </c>
      <c r="F154" s="47">
        <v>1</v>
      </c>
      <c r="G154" s="3">
        <f t="shared" ref="G154:G171" si="52" xml:space="preserve"> ( (2*$B$2*$E$2*$A$2*D154)/($C$2*$C$2) )^(1.5) * ($A$2*D154) /$F$83</f>
        <v>5256780.8164125588</v>
      </c>
      <c r="H154" s="3">
        <f>PRODUCT(F54:F62)</f>
        <v>4.5007100072614691E-16</v>
      </c>
      <c r="I154" s="8">
        <f>PRODUCT(E154:H154)</f>
        <v>5.3785036101010256E-7</v>
      </c>
      <c r="M154" s="60"/>
    </row>
    <row r="155" spans="4:13" ht="15.6" x14ac:dyDescent="0.3">
      <c r="D155" s="56">
        <f t="shared" ref="D155:D171" si="53">D154+100</f>
        <v>500</v>
      </c>
      <c r="E155" s="116">
        <f t="shared" si="51"/>
        <v>317.7061220587367</v>
      </c>
      <c r="F155" s="47">
        <v>1</v>
      </c>
      <c r="G155" s="3">
        <f t="shared" si="52"/>
        <v>9183218.1627463996</v>
      </c>
      <c r="H155" s="3">
        <f>PRODUCT(G54:G62)</f>
        <v>5.6115965116358827E-13</v>
      </c>
      <c r="I155" s="8">
        <f>PRODUCT(E155:H155)</f>
        <v>1.6372195503016984E-3</v>
      </c>
      <c r="J155" s="2" t="s">
        <v>92</v>
      </c>
    </row>
    <row r="156" spans="4:13" ht="16.2" thickBot="1" x14ac:dyDescent="0.35">
      <c r="D156" s="56">
        <f t="shared" si="53"/>
        <v>600</v>
      </c>
      <c r="E156" s="116">
        <f t="shared" si="51"/>
        <v>417.63554330174333</v>
      </c>
      <c r="F156" s="47">
        <v>1</v>
      </c>
      <c r="G156" s="3">
        <f t="shared" si="52"/>
        <v>14485984.526094593</v>
      </c>
      <c r="H156" s="3">
        <f>PRODUCT(H54:H62)</f>
        <v>6.8254029373409054E-11</v>
      </c>
      <c r="I156" s="8">
        <f t="shared" ref="I156:I171" si="54">PRODUCT(E156:H156)</f>
        <v>0.41292745986909613</v>
      </c>
    </row>
    <row r="157" spans="4:13" ht="16.2" thickBot="1" x14ac:dyDescent="0.35">
      <c r="D157" s="56">
        <f t="shared" si="53"/>
        <v>700</v>
      </c>
      <c r="E157" s="116">
        <f t="shared" si="51"/>
        <v>526.28093439002782</v>
      </c>
      <c r="F157" s="47">
        <v>1</v>
      </c>
      <c r="G157" s="3">
        <f t="shared" si="52"/>
        <v>21296831.316035271</v>
      </c>
      <c r="H157" s="3">
        <f>PRODUCT(I54:I62)</f>
        <v>2.216542173783435E-9</v>
      </c>
      <c r="I157" s="8">
        <f t="shared" si="54"/>
        <v>24.843262433373638</v>
      </c>
      <c r="L157" s="37" t="s">
        <v>45</v>
      </c>
    </row>
    <row r="158" spans="4:13" ht="15.6" x14ac:dyDescent="0.3">
      <c r="D158" s="56">
        <f t="shared" si="53"/>
        <v>800</v>
      </c>
      <c r="E158" s="116">
        <f t="shared" si="51"/>
        <v>642.99198226244562</v>
      </c>
      <c r="F158" s="47">
        <v>1</v>
      </c>
      <c r="G158" s="3">
        <f t="shared" si="52"/>
        <v>29736842.899973489</v>
      </c>
      <c r="H158" s="3">
        <f>PRODUCT(J54:J62)</f>
        <v>3.1701885105781797E-8</v>
      </c>
      <c r="I158" s="8">
        <f t="shared" si="54"/>
        <v>606.15752879294564</v>
      </c>
      <c r="J158" s="40" t="s">
        <v>48</v>
      </c>
      <c r="K158" s="18" t="s">
        <v>91</v>
      </c>
      <c r="L158" s="42">
        <f>I153</f>
        <v>1.2586790719435853E-12</v>
      </c>
    </row>
    <row r="159" spans="4:13" ht="16.2" thickBot="1" x14ac:dyDescent="0.35">
      <c r="D159" s="56">
        <f t="shared" si="53"/>
        <v>900</v>
      </c>
      <c r="E159" s="116">
        <f t="shared" si="51"/>
        <v>767.24548465447515</v>
      </c>
      <c r="F159" s="47">
        <v>1</v>
      </c>
      <c r="G159" s="3">
        <f t="shared" si="52"/>
        <v>39918679.324632928</v>
      </c>
      <c r="H159" s="3">
        <f>PRODUCT(K54:K62)</f>
        <v>3.328813961672257E-21</v>
      </c>
      <c r="I159" s="8">
        <f t="shared" si="54"/>
        <v>1.0195300482743007E-10</v>
      </c>
      <c r="J159" s="41" t="s">
        <v>49</v>
      </c>
      <c r="K159" s="16" t="s">
        <v>91</v>
      </c>
      <c r="L159" s="43">
        <f>F23</f>
        <v>9.1839100000000006E-13</v>
      </c>
    </row>
    <row r="160" spans="4:13" ht="15.6" x14ac:dyDescent="0.3">
      <c r="D160" s="56">
        <f t="shared" si="53"/>
        <v>1000</v>
      </c>
      <c r="E160" s="116">
        <f t="shared" si="51"/>
        <v>898.60861332885463</v>
      </c>
      <c r="F160" s="47">
        <v>1</v>
      </c>
      <c r="G160" s="3">
        <f t="shared" si="52"/>
        <v>51948126.68794772</v>
      </c>
      <c r="H160" s="3">
        <f>PRODUCT(L54:L62)</f>
        <v>1.4956171882431537E-6</v>
      </c>
      <c r="I160" s="8">
        <f t="shared" si="54"/>
        <v>69816.956947109531</v>
      </c>
      <c r="L160" s="1" t="s">
        <v>90</v>
      </c>
    </row>
    <row r="161" spans="1:12" ht="15.6" x14ac:dyDescent="0.3">
      <c r="D161" s="56">
        <f t="shared" si="53"/>
        <v>1100</v>
      </c>
      <c r="E161" s="116">
        <f t="shared" si="51"/>
        <v>1036.7155311713345</v>
      </c>
      <c r="F161" s="47">
        <v>1</v>
      </c>
      <c r="G161" s="3">
        <f t="shared" si="52"/>
        <v>65925222.448581584</v>
      </c>
      <c r="H161" s="3">
        <f>PRODUCT(M54:M62)</f>
        <v>6.4532925173967981E-6</v>
      </c>
      <c r="I161" s="8">
        <f t="shared" si="54"/>
        <v>441054.80736684316</v>
      </c>
      <c r="L161" s="112">
        <f>ABS(L158-L159)/L159</f>
        <v>0.37052635744860873</v>
      </c>
    </row>
    <row r="162" spans="1:12" ht="15.6" x14ac:dyDescent="0.3">
      <c r="D162" s="56">
        <f t="shared" si="53"/>
        <v>1200</v>
      </c>
      <c r="E162" s="116">
        <f t="shared" si="51"/>
        <v>1181.2516989327628</v>
      </c>
      <c r="F162" s="47">
        <v>1</v>
      </c>
      <c r="G162" s="3">
        <f t="shared" si="52"/>
        <v>81945103.124519289</v>
      </c>
      <c r="H162" s="3">
        <f>PRODUCT(N54:N62)</f>
        <v>2.2651132620723072E-5</v>
      </c>
      <c r="I162" s="8">
        <f t="shared" si="54"/>
        <v>2192579.6304420726</v>
      </c>
      <c r="J162" s="2" t="s">
        <v>64</v>
      </c>
    </row>
    <row r="163" spans="1:12" ht="15.6" x14ac:dyDescent="0.3">
      <c r="D163" s="56">
        <f t="shared" si="53"/>
        <v>1300</v>
      </c>
      <c r="E163" s="116">
        <f t="shared" si="51"/>
        <v>1331.9428950099662</v>
      </c>
      <c r="F163" s="47">
        <v>1</v>
      </c>
      <c r="G163" s="3">
        <f t="shared" si="52"/>
        <v>100098661.85591246</v>
      </c>
      <c r="H163" s="3">
        <f>PRODUCT(O54:O62)</f>
        <v>6.781210300804256E-5</v>
      </c>
      <c r="I163" s="8">
        <f t="shared" si="54"/>
        <v>9041096.2009564061</v>
      </c>
      <c r="J163" s="57">
        <f>L158/L159</f>
        <v>1.3705263574486088</v>
      </c>
    </row>
    <row r="164" spans="1:12" ht="15.6" x14ac:dyDescent="0.3">
      <c r="D164" s="56">
        <f t="shared" si="53"/>
        <v>1400</v>
      </c>
      <c r="E164" s="116">
        <f t="shared" si="51"/>
        <v>1488.547270065525</v>
      </c>
      <c r="F164" s="47">
        <v>1</v>
      </c>
      <c r="G164" s="3">
        <f t="shared" si="52"/>
        <v>120473070.73083685</v>
      </c>
      <c r="H164" s="3">
        <f>PRODUCT(P54:P62)</f>
        <v>1.7907304484827573E-4</v>
      </c>
      <c r="I164" s="8">
        <f t="shared" si="54"/>
        <v>32113144.161406245</v>
      </c>
    </row>
    <row r="165" spans="1:12" ht="15.6" x14ac:dyDescent="0.3">
      <c r="D165" s="56">
        <f t="shared" si="53"/>
        <v>1500</v>
      </c>
      <c r="E165" s="116">
        <f t="shared" si="51"/>
        <v>1650.8494358442335</v>
      </c>
      <c r="F165" s="47">
        <v>1</v>
      </c>
      <c r="G165" s="3">
        <f t="shared" si="52"/>
        <v>143152203.91379422</v>
      </c>
      <c r="H165" s="3">
        <f>PRODUCT(Q54:Q62)</f>
        <v>4.2747093724311168E-4</v>
      </c>
      <c r="I165" s="8">
        <f t="shared" si="54"/>
        <v>101021101.05263281</v>
      </c>
    </row>
    <row r="166" spans="1:12" ht="15.6" x14ac:dyDescent="0.3">
      <c r="D166" s="56">
        <f t="shared" si="53"/>
        <v>1600</v>
      </c>
      <c r="E166" s="116">
        <f t="shared" si="51"/>
        <v>1818.6559636254224</v>
      </c>
      <c r="F166" s="47">
        <v>1</v>
      </c>
      <c r="G166" s="3">
        <f t="shared" si="52"/>
        <v>168216986.12520283</v>
      </c>
      <c r="H166" s="3">
        <f>PRODUCT(R54:R62)</f>
        <v>9.3947972738230891E-4</v>
      </c>
      <c r="I166" s="8">
        <f t="shared" si="54"/>
        <v>287413929.10910362</v>
      </c>
    </row>
    <row r="167" spans="1:12" ht="15.6" x14ac:dyDescent="0.3">
      <c r="D167" s="56">
        <f t="shared" si="53"/>
        <v>1700</v>
      </c>
      <c r="E167" s="116">
        <f t="shared" si="51"/>
        <v>1991.7918873387575</v>
      </c>
      <c r="F167" s="47">
        <v>1</v>
      </c>
      <c r="G167" s="3">
        <f t="shared" si="52"/>
        <v>195745683.71600592</v>
      </c>
      <c r="H167" s="3">
        <f>PRODUCT(S54:S62)</f>
        <v>1.9276721722619617E-3</v>
      </c>
      <c r="I167" s="8">
        <f t="shared" si="54"/>
        <v>751569818.74036586</v>
      </c>
    </row>
    <row r="168" spans="1:12" ht="15.6" x14ac:dyDescent="0.3">
      <c r="D168" s="56">
        <f t="shared" si="53"/>
        <v>1800</v>
      </c>
      <c r="E168" s="116">
        <f t="shared" si="51"/>
        <v>2170.097940135754</v>
      </c>
      <c r="F168" s="47">
        <v>1</v>
      </c>
      <c r="G168" s="3">
        <f t="shared" si="52"/>
        <v>225814150.77167404</v>
      </c>
      <c r="H168" s="3">
        <f>PRODUCT(T54:T62)</f>
        <v>3.7329129075870651E-3</v>
      </c>
      <c r="I168" s="8">
        <f t="shared" si="54"/>
        <v>1829272249.2495809</v>
      </c>
    </row>
    <row r="169" spans="1:12" ht="15.6" x14ac:dyDescent="0.3">
      <c r="D169" s="56">
        <f t="shared" si="53"/>
        <v>1900</v>
      </c>
      <c r="E169" s="116">
        <f t="shared" si="51"/>
        <v>2353.4283376828935</v>
      </c>
      <c r="F169" s="47">
        <v>1</v>
      </c>
      <c r="G169" s="3">
        <f t="shared" si="52"/>
        <v>258496039.41555744</v>
      </c>
      <c r="H169" s="3">
        <f>PRODUCT(U54:U62)</f>
        <v>6.880847539343744E-3</v>
      </c>
      <c r="I169" s="8">
        <f>PRODUCT(E169:H169)</f>
        <v>4185976704.0286145</v>
      </c>
    </row>
    <row r="170" spans="1:12" ht="15.6" x14ac:dyDescent="0.3">
      <c r="D170" s="56">
        <f t="shared" si="53"/>
        <v>2000</v>
      </c>
      <c r="E170" s="116">
        <f t="shared" si="51"/>
        <v>2541.6489764698936</v>
      </c>
      <c r="F170" s="47">
        <v>1</v>
      </c>
      <c r="G170" s="3">
        <f t="shared" si="52"/>
        <v>293862981.20788223</v>
      </c>
      <c r="H170" s="3">
        <f>PRODUCT(V54:V62)</f>
        <v>1.2155837020012076E-2</v>
      </c>
      <c r="I170" s="8">
        <f t="shared" si="54"/>
        <v>9079152676.8067818</v>
      </c>
    </row>
    <row r="171" spans="1:12" ht="16.2" thickBot="1" x14ac:dyDescent="0.35">
      <c r="D171" s="31">
        <f t="shared" si="53"/>
        <v>2100</v>
      </c>
      <c r="E171" s="117">
        <f t="shared" si="51"/>
        <v>2734.6359522550533</v>
      </c>
      <c r="F171" s="55">
        <v>1</v>
      </c>
      <c r="G171" s="9">
        <f t="shared" si="52"/>
        <v>331984744.9163723</v>
      </c>
      <c r="H171" s="9">
        <f>PRODUCT(W54:W62)</f>
        <v>2.0695896183210393E-2</v>
      </c>
      <c r="I171" s="10">
        <f t="shared" si="54"/>
        <v>18788922893.785809</v>
      </c>
    </row>
    <row r="174" spans="1:12" ht="15" thickBot="1" x14ac:dyDescent="0.35">
      <c r="A174" s="2" t="s">
        <v>72</v>
      </c>
      <c r="B174" s="139" t="s">
        <v>86</v>
      </c>
      <c r="C174" s="139"/>
      <c r="D174" s="139"/>
      <c r="E174" s="139"/>
      <c r="F174" s="139"/>
      <c r="G174" s="61"/>
      <c r="H174" s="139" t="s">
        <v>87</v>
      </c>
      <c r="I174" s="139"/>
      <c r="J174" s="139"/>
      <c r="K174" s="139"/>
    </row>
    <row r="175" spans="1:12" ht="18" x14ac:dyDescent="0.3">
      <c r="A175" s="2" t="s">
        <v>85</v>
      </c>
      <c r="B175" s="62" t="s">
        <v>23</v>
      </c>
      <c r="C175" s="37" t="s">
        <v>73</v>
      </c>
      <c r="D175" s="37" t="s">
        <v>10</v>
      </c>
      <c r="E175" s="37" t="s">
        <v>11</v>
      </c>
      <c r="F175" s="37" t="s">
        <v>74</v>
      </c>
      <c r="G175" s="61" t="s">
        <v>75</v>
      </c>
      <c r="H175" s="62" t="s">
        <v>23</v>
      </c>
      <c r="I175" s="37" t="s">
        <v>73</v>
      </c>
      <c r="J175" s="37" t="s">
        <v>10</v>
      </c>
      <c r="K175" s="37" t="s">
        <v>11</v>
      </c>
      <c r="L175" s="37" t="s">
        <v>74</v>
      </c>
    </row>
    <row r="176" spans="1:12" ht="15" thickBot="1" x14ac:dyDescent="0.35">
      <c r="B176" s="14">
        <f>300</f>
        <v>300</v>
      </c>
      <c r="C176" s="63">
        <f>3/2*$D$2*B176</f>
        <v>3741.5124000000001</v>
      </c>
      <c r="D176" s="63">
        <f t="shared" ref="D176:D194" si="55">3/2*$D$2*B176</f>
        <v>3741.5124000000001</v>
      </c>
      <c r="E176" s="63" cm="1">
        <f t="array" ref="E176">$D$2*SUM( ($B$12:$B$20)/(EXP($B$12:$B$20/B176)-1) + 0.5*$B$12:$B$20)</f>
        <v>117718.89809163475</v>
      </c>
      <c r="F176" s="64">
        <v>0</v>
      </c>
      <c r="H176" s="73">
        <f>300</f>
        <v>300</v>
      </c>
      <c r="I176" s="86">
        <f>3/2*$D$2*H176 /4184</f>
        <v>0.89424292543021033</v>
      </c>
      <c r="J176" s="86">
        <f>3/2*$D$2*H176 / 4184</f>
        <v>0.89424292543021033</v>
      </c>
      <c r="K176" s="86" cm="1">
        <f t="array" ref="K176">$D$2*SUM( ($B$12:$B$20)/(EXP($B$12:$B$20/B176)-1) + 0.5*$B$12:$B$20) / 4184</f>
        <v>28.135491895706203</v>
      </c>
      <c r="L176" s="87">
        <f xml:space="preserve"> F176/4184</f>
        <v>0</v>
      </c>
    </row>
    <row r="177" spans="2:14" x14ac:dyDescent="0.3">
      <c r="B177" s="14">
        <f>B176+100</f>
        <v>400</v>
      </c>
      <c r="C177" s="63">
        <f t="shared" ref="C177:C194" si="56">3/2*$D$2*B177</f>
        <v>4988.6831999999995</v>
      </c>
      <c r="D177" s="63">
        <f t="shared" si="55"/>
        <v>4988.6831999999995</v>
      </c>
      <c r="E177" s="63" cm="1">
        <f t="array" ref="E177">$D$2*SUM( ($B$12:$B$20)/(EXP($B$12:$B$20/B177)-1) + 0.5*$B$12:$B$20)</f>
        <v>118143.28189955943</v>
      </c>
      <c r="H177" s="14">
        <f>H176+100</f>
        <v>400</v>
      </c>
      <c r="I177" s="63">
        <f t="shared" ref="I177:I194" si="57">3/2*$D$2*H177 /4184</f>
        <v>1.1923239005736137</v>
      </c>
      <c r="J177" s="63">
        <f t="shared" ref="J177:J194" si="58">3/2*$D$2*H177 / 4184</f>
        <v>1.1923239005736137</v>
      </c>
      <c r="K177" s="63" cm="1">
        <f t="array" ref="K177">$D$2*SUM( ($B$12:$B$20)/(EXP($B$12:$B$20/H177)-1) + 0.5*$B$12:$B$20) / 4184</f>
        <v>28.236922060124147</v>
      </c>
      <c r="M177" s="144" t="s">
        <v>93</v>
      </c>
      <c r="N177" s="144"/>
    </row>
    <row r="178" spans="2:14" ht="18.600000000000001" thickBot="1" x14ac:dyDescent="0.35">
      <c r="B178" s="14">
        <f t="shared" ref="B178:B194" si="59">B177+100</f>
        <v>500</v>
      </c>
      <c r="C178" s="63">
        <f t="shared" si="56"/>
        <v>6235.8539999999994</v>
      </c>
      <c r="D178" s="63">
        <f t="shared" si="55"/>
        <v>6235.8539999999994</v>
      </c>
      <c r="E178" s="63" cm="1">
        <f t="array" ref="E178">$D$2*SUM( ($B$12:$B$20)/(EXP($B$12:$B$20/B178)-1) + 0.5*$B$12:$B$20)</f>
        <v>119085.32546860915</v>
      </c>
      <c r="H178" s="14">
        <f t="shared" ref="H178:H194" si="60">H177+100</f>
        <v>500</v>
      </c>
      <c r="I178" s="63">
        <f t="shared" si="57"/>
        <v>1.490404875717017</v>
      </c>
      <c r="J178" s="63">
        <f t="shared" si="58"/>
        <v>1.490404875717017</v>
      </c>
      <c r="K178" s="63" cm="1">
        <f t="array" ref="K178">$D$2*SUM( ($B$12:$B$20)/(EXP($B$12:$B$20/H178)-1) + 0.5*$B$12:$B$20) / 4184</f>
        <v>28.462075876818631</v>
      </c>
      <c r="M178" s="143" t="s">
        <v>88</v>
      </c>
      <c r="N178" s="143"/>
    </row>
    <row r="179" spans="2:14" x14ac:dyDescent="0.3">
      <c r="B179" s="14">
        <f t="shared" si="59"/>
        <v>600</v>
      </c>
      <c r="C179" s="63">
        <f t="shared" si="56"/>
        <v>7483.0248000000001</v>
      </c>
      <c r="D179" s="63">
        <f t="shared" si="55"/>
        <v>7483.0248000000001</v>
      </c>
      <c r="E179" s="63" cm="1">
        <f t="array" ref="E179">$D$2*SUM( ($B$12:$B$20)/(EXP($B$12:$B$20/B179)-1) + 0.5*$B$12:$B$20)</f>
        <v>120598.93735518583</v>
      </c>
      <c r="H179" s="14">
        <f t="shared" si="60"/>
        <v>600</v>
      </c>
      <c r="I179" s="63">
        <f t="shared" si="57"/>
        <v>1.7884858508604207</v>
      </c>
      <c r="J179" s="63">
        <f t="shared" si="58"/>
        <v>1.7884858508604207</v>
      </c>
      <c r="K179" s="63" cm="1">
        <f t="array" ref="K179">$D$2*SUM( ($B$12:$B$20)/(EXP($B$12:$B$20/H179)-1) + 0.5*$B$12:$B$20) / 4184</f>
        <v>28.823837799996614</v>
      </c>
      <c r="M179" s="72"/>
      <c r="N179" s="68" t="s">
        <v>21</v>
      </c>
    </row>
    <row r="180" spans="2:14" x14ac:dyDescent="0.3">
      <c r="B180" s="14">
        <f t="shared" si="59"/>
        <v>700</v>
      </c>
      <c r="C180" s="63">
        <f t="shared" si="56"/>
        <v>8730.1955999999991</v>
      </c>
      <c r="D180" s="63">
        <f t="shared" si="55"/>
        <v>8730.1955999999991</v>
      </c>
      <c r="E180" s="63" cm="1">
        <f t="array" ref="E180">$D$2*SUM( ($B$12:$B$20)/(EXP($B$12:$B$20/B180)-1) + 0.5*$B$12:$B$20)</f>
        <v>122670.6025324285</v>
      </c>
      <c r="H180" s="14">
        <f t="shared" si="60"/>
        <v>700</v>
      </c>
      <c r="I180" s="63">
        <f t="shared" si="57"/>
        <v>2.0865668260038239</v>
      </c>
      <c r="J180" s="63">
        <f t="shared" si="58"/>
        <v>2.0865668260038239</v>
      </c>
      <c r="K180" s="63" cm="1">
        <f t="array" ref="K180">$D$2*SUM( ($B$12:$B$20)/(EXP($B$12:$B$20/H180)-1) + 0.5*$B$12:$B$20) / 4184</f>
        <v>29.318977660714268</v>
      </c>
      <c r="M180" s="73"/>
      <c r="N180" s="78" t="s">
        <v>4</v>
      </c>
    </row>
    <row r="181" spans="2:14" x14ac:dyDescent="0.3">
      <c r="B181" s="14">
        <f t="shared" si="59"/>
        <v>800</v>
      </c>
      <c r="C181" s="63">
        <f t="shared" si="56"/>
        <v>9977.366399999999</v>
      </c>
      <c r="D181" s="63">
        <f t="shared" si="55"/>
        <v>9977.366399999999</v>
      </c>
      <c r="E181" s="63" cm="1">
        <f t="array" ref="E181">$D$2*SUM( ($B$12:$B$20)/(EXP($B$12:$B$20/B181)-1) + 0.5*$B$12:$B$20)</f>
        <v>125265.01221729745</v>
      </c>
      <c r="H181" s="14">
        <f t="shared" si="60"/>
        <v>800</v>
      </c>
      <c r="I181" s="63">
        <f t="shared" si="57"/>
        <v>2.3846478011472274</v>
      </c>
      <c r="J181" s="63">
        <f t="shared" si="58"/>
        <v>2.3846478011472274</v>
      </c>
      <c r="K181" s="63" cm="1">
        <f t="array" ref="K181">$D$2*SUM( ($B$12:$B$20)/(EXP($B$12:$B$20/H181)-1) + 0.5*$B$12:$B$20) / 4184</f>
        <v>29.939056457289066</v>
      </c>
      <c r="M181" s="73" t="s">
        <v>6</v>
      </c>
      <c r="N181" s="80">
        <v>29.911999999999999</v>
      </c>
    </row>
    <row r="182" spans="2:14" x14ac:dyDescent="0.3">
      <c r="B182" s="14">
        <f t="shared" si="59"/>
        <v>900</v>
      </c>
      <c r="C182" s="63">
        <f t="shared" si="56"/>
        <v>11224.537199999999</v>
      </c>
      <c r="D182" s="63">
        <f t="shared" si="55"/>
        <v>11224.537199999999</v>
      </c>
      <c r="E182" s="63" cm="1">
        <f t="array" ref="E182">$D$2*SUM( ($B$12:$B$20)/(EXP($B$12:$B$20/B182)-1) + 0.5*$B$12:$B$20)</f>
        <v>128340.56528211261</v>
      </c>
      <c r="H182" s="14">
        <f t="shared" si="60"/>
        <v>900</v>
      </c>
      <c r="I182" s="63">
        <f t="shared" si="57"/>
        <v>2.6827287762906309</v>
      </c>
      <c r="J182" s="63">
        <f t="shared" si="58"/>
        <v>2.6827287762906309</v>
      </c>
      <c r="K182" s="63" cm="1">
        <f t="array" ref="K182">$D$2*SUM( ($B$12:$B$20)/(EXP($B$12:$B$20/H182)-1) + 0.5*$B$12:$B$20) / 4184</f>
        <v>30.674131281575672</v>
      </c>
      <c r="M182" s="73" t="s">
        <v>7</v>
      </c>
      <c r="N182" s="80" t="s">
        <v>8</v>
      </c>
    </row>
    <row r="183" spans="2:14" x14ac:dyDescent="0.3">
      <c r="B183" s="14">
        <f t="shared" si="59"/>
        <v>1000</v>
      </c>
      <c r="C183" s="63">
        <f t="shared" si="56"/>
        <v>12471.707999999999</v>
      </c>
      <c r="D183" s="63">
        <f t="shared" si="55"/>
        <v>12471.707999999999</v>
      </c>
      <c r="E183" s="63" cm="1">
        <f t="array" ref="E183">$D$2*SUM( ($B$12:$B$20)/(EXP($B$12:$B$20/B183)-1) + 0.5*$B$12:$B$20)</f>
        <v>131853.81315167921</v>
      </c>
      <c r="H183" s="14">
        <f t="shared" si="60"/>
        <v>1000</v>
      </c>
      <c r="I183" s="63">
        <f t="shared" si="57"/>
        <v>2.9808097514340339</v>
      </c>
      <c r="J183" s="63">
        <f t="shared" si="58"/>
        <v>2.9808097514340339</v>
      </c>
      <c r="K183" s="63" cm="1">
        <f t="array" ref="K183">$D$2*SUM( ($B$12:$B$20)/(EXP($B$12:$B$20/H183)-1) + 0.5*$B$12:$B$20) / 4184</f>
        <v>31.513817674875526</v>
      </c>
      <c r="M183" s="73" t="s">
        <v>9</v>
      </c>
      <c r="N183" s="80">
        <v>0.88900000000000001</v>
      </c>
    </row>
    <row r="184" spans="2:14" x14ac:dyDescent="0.3">
      <c r="B184" s="14">
        <f t="shared" si="59"/>
        <v>1100</v>
      </c>
      <c r="C184" s="63">
        <f t="shared" si="56"/>
        <v>13718.8788</v>
      </c>
      <c r="D184" s="63">
        <f t="shared" si="55"/>
        <v>13718.8788</v>
      </c>
      <c r="E184" s="63" cm="1">
        <f t="array" ref="E184">$D$2*SUM( ($B$12:$B$20)/(EXP($B$12:$B$20/B184)-1) + 0.5*$B$12:$B$20)</f>
        <v>135761.4417137382</v>
      </c>
      <c r="H184" s="14">
        <f t="shared" si="60"/>
        <v>1100</v>
      </c>
      <c r="I184" s="63">
        <f t="shared" si="57"/>
        <v>3.2788907265774379</v>
      </c>
      <c r="J184" s="63">
        <f t="shared" si="58"/>
        <v>3.2788907265774379</v>
      </c>
      <c r="K184" s="63" cm="1">
        <f t="array" ref="K184">$D$2*SUM( ($B$12:$B$20)/(EXP($B$12:$B$20/H184)-1) + 0.5*$B$12:$B$20) / 4184</f>
        <v>32.447763315903011</v>
      </c>
      <c r="M184" s="73" t="s">
        <v>10</v>
      </c>
      <c r="N184" s="80">
        <v>0.88900000000000001</v>
      </c>
    </row>
    <row r="185" spans="2:14" ht="15" thickBot="1" x14ac:dyDescent="0.35">
      <c r="B185" s="14">
        <f t="shared" si="59"/>
        <v>1200</v>
      </c>
      <c r="C185" s="63">
        <f t="shared" si="56"/>
        <v>14966.0496</v>
      </c>
      <c r="D185" s="63">
        <f t="shared" si="55"/>
        <v>14966.0496</v>
      </c>
      <c r="E185" s="63" cm="1">
        <f t="array" ref="E185">$D$2*SUM( ($B$12:$B$20)/(EXP($B$12:$B$20/B185)-1) + 0.5*$B$12:$B$20)</f>
        <v>140021.73700681882</v>
      </c>
      <c r="H185" s="14">
        <f t="shared" si="60"/>
        <v>1200</v>
      </c>
      <c r="I185" s="63">
        <f t="shared" si="57"/>
        <v>3.5769717017208413</v>
      </c>
      <c r="J185" s="63">
        <f t="shared" si="58"/>
        <v>3.5769717017208413</v>
      </c>
      <c r="K185" s="63" cm="1">
        <f t="array" ref="K185">$D$2*SUM( ($B$12:$B$20)/(EXP($B$12:$B$20/H185)-1) + 0.5*$B$12:$B$20) / 4184</f>
        <v>33.465998328589585</v>
      </c>
      <c r="M185" s="74" t="s">
        <v>11</v>
      </c>
      <c r="N185" s="82">
        <v>28.135000000000002</v>
      </c>
    </row>
    <row r="186" spans="2:14" x14ac:dyDescent="0.3">
      <c r="B186" s="14">
        <f t="shared" si="59"/>
        <v>1300</v>
      </c>
      <c r="C186" s="63">
        <f t="shared" si="56"/>
        <v>16213.2204</v>
      </c>
      <c r="D186" s="63">
        <f t="shared" si="55"/>
        <v>16213.2204</v>
      </c>
      <c r="E186" s="63" cm="1">
        <f t="array" ref="E186">$D$2*SUM( ($B$12:$B$20)/(EXP($B$12:$B$20/B186)-1) + 0.5*$B$12:$B$20)</f>
        <v>144595.66972630969</v>
      </c>
      <c r="H186" s="14">
        <f t="shared" si="60"/>
        <v>1300</v>
      </c>
      <c r="I186" s="63">
        <f t="shared" si="57"/>
        <v>3.8750526768642448</v>
      </c>
      <c r="J186" s="63">
        <f t="shared" si="58"/>
        <v>3.8750526768642448</v>
      </c>
      <c r="K186" s="63" cm="1">
        <f t="array" ref="K186">$D$2*SUM( ($B$12:$B$20)/(EXP($B$12:$B$20/H186)-1) + 0.5*$B$12:$B$20) / 4184</f>
        <v>34.559194485255659</v>
      </c>
      <c r="N186" s="83"/>
    </row>
    <row r="187" spans="2:14" x14ac:dyDescent="0.3">
      <c r="B187" s="14">
        <f t="shared" si="59"/>
        <v>1400</v>
      </c>
      <c r="C187" s="63">
        <f t="shared" si="56"/>
        <v>17460.391199999998</v>
      </c>
      <c r="D187" s="63">
        <f t="shared" si="55"/>
        <v>17460.391199999998</v>
      </c>
      <c r="E187" s="63" cm="1">
        <f t="array" ref="E187">$D$2*SUM( ($B$12:$B$20)/(EXP($B$12:$B$20/B187)-1) + 0.5*$B$12:$B$20)</f>
        <v>149447.54951988708</v>
      </c>
      <c r="H187" s="14">
        <f t="shared" si="60"/>
        <v>1400</v>
      </c>
      <c r="I187" s="63">
        <f t="shared" si="57"/>
        <v>4.1731336520076479</v>
      </c>
      <c r="J187" s="63">
        <f t="shared" si="58"/>
        <v>4.1731336520076479</v>
      </c>
      <c r="K187" s="63" cm="1">
        <f t="array" ref="K187">$D$2*SUM( ($B$12:$B$20)/(EXP($B$12:$B$20/H187)-1) + 0.5*$B$12:$B$20) / 4184</f>
        <v>35.718821586971096</v>
      </c>
    </row>
    <row r="188" spans="2:14" ht="15" thickBot="1" x14ac:dyDescent="0.35">
      <c r="B188" s="14">
        <f t="shared" si="59"/>
        <v>1500</v>
      </c>
      <c r="C188" s="63">
        <f t="shared" si="56"/>
        <v>18707.561999999998</v>
      </c>
      <c r="D188" s="63">
        <f t="shared" si="55"/>
        <v>18707.561999999998</v>
      </c>
      <c r="E188" s="63" cm="1">
        <f t="array" ref="E188">$D$2*SUM( ($B$12:$B$20)/(EXP($B$12:$B$20/B188)-1) + 0.5*$B$12:$B$20)</f>
        <v>154545.29403174605</v>
      </c>
      <c r="H188" s="14">
        <f t="shared" si="60"/>
        <v>1500</v>
      </c>
      <c r="I188" s="63">
        <f t="shared" si="57"/>
        <v>4.4712146271510509</v>
      </c>
      <c r="J188" s="63">
        <f t="shared" si="58"/>
        <v>4.4712146271510509</v>
      </c>
      <c r="K188" s="63" cm="1">
        <f t="array" ref="K188">$D$2*SUM( ($B$12:$B$20)/(EXP($B$12:$B$20/H188)-1) + 0.5*$B$12:$B$20) / 4184</f>
        <v>36.937211766669705</v>
      </c>
    </row>
    <row r="189" spans="2:14" ht="15" thickBot="1" x14ac:dyDescent="0.35">
      <c r="B189" s="14">
        <f t="shared" si="59"/>
        <v>1600</v>
      </c>
      <c r="C189" s="63">
        <f t="shared" si="56"/>
        <v>19954.732799999998</v>
      </c>
      <c r="D189" s="63">
        <f t="shared" si="55"/>
        <v>19954.732799999998</v>
      </c>
      <c r="E189" s="63" cm="1">
        <f t="array" ref="E189">$D$2*SUM( ($B$12:$B$20)/(EXP($B$12:$B$20/B189)-1) + 0.5*$B$12:$B$20)</f>
        <v>159860.4144584701</v>
      </c>
      <c r="H189" s="14">
        <f t="shared" si="60"/>
        <v>1600</v>
      </c>
      <c r="I189" s="63">
        <f t="shared" si="57"/>
        <v>4.7692956022944548</v>
      </c>
      <c r="J189" s="63">
        <f t="shared" si="58"/>
        <v>4.7692956022944548</v>
      </c>
      <c r="K189" s="63" cm="1">
        <f t="array" ref="K189">$D$2*SUM( ($B$12:$B$20)/(EXP($B$12:$B$20/H189)-1) + 0.5*$B$12:$B$20) / 4184</f>
        <v>38.207556036919243</v>
      </c>
      <c r="M189" s="32" t="s">
        <v>99</v>
      </c>
      <c r="N189" s="128">
        <f>SUM(I176:L176)</f>
        <v>29.923977746566624</v>
      </c>
    </row>
    <row r="190" spans="2:14" x14ac:dyDescent="0.3">
      <c r="B190" s="14">
        <f t="shared" si="59"/>
        <v>1700</v>
      </c>
      <c r="C190" s="63">
        <f t="shared" si="56"/>
        <v>21201.903599999998</v>
      </c>
      <c r="D190" s="63">
        <f t="shared" si="55"/>
        <v>21201.903599999998</v>
      </c>
      <c r="E190" s="63" cm="1">
        <f t="array" ref="E190">$D$2*SUM( ($B$12:$B$20)/(EXP($B$12:$B$20/B190)-1) + 0.5*$B$12:$B$20)</f>
        <v>165367.822324129</v>
      </c>
      <c r="H190" s="14">
        <f t="shared" si="60"/>
        <v>1700</v>
      </c>
      <c r="I190" s="63">
        <f t="shared" si="57"/>
        <v>5.0673765774378579</v>
      </c>
      <c r="J190" s="63">
        <f t="shared" si="58"/>
        <v>5.0673765774378579</v>
      </c>
      <c r="K190" s="63" cm="1">
        <f t="array" ref="K190">$D$2*SUM( ($B$12:$B$20)/(EXP($B$12:$B$20/H190)-1) + 0.5*$B$12:$B$20) / 4184</f>
        <v>39.523858108061425</v>
      </c>
    </row>
    <row r="191" spans="2:14" x14ac:dyDescent="0.3">
      <c r="B191" s="14">
        <f t="shared" si="59"/>
        <v>1800</v>
      </c>
      <c r="C191" s="63">
        <f t="shared" si="56"/>
        <v>22449.074399999998</v>
      </c>
      <c r="D191" s="63">
        <f t="shared" si="55"/>
        <v>22449.074399999998</v>
      </c>
      <c r="E191" s="63" cm="1">
        <f t="array" ref="E191">$D$2*SUM( ($B$12:$B$20)/(EXP($B$12:$B$20/B191)-1) + 0.5*$B$12:$B$20)</f>
        <v>171045.54065451201</v>
      </c>
      <c r="H191" s="14">
        <f t="shared" si="60"/>
        <v>1800</v>
      </c>
      <c r="I191" s="63">
        <f t="shared" si="57"/>
        <v>5.3654575525812618</v>
      </c>
      <c r="J191" s="63">
        <f t="shared" si="58"/>
        <v>5.3654575525812618</v>
      </c>
      <c r="K191" s="63" cm="1">
        <f t="array" ref="K191">$D$2*SUM( ($B$12:$B$20)/(EXP($B$12:$B$20/H191)-1) + 0.5*$B$12:$B$20) / 4184</f>
        <v>40.880865357196939</v>
      </c>
    </row>
    <row r="192" spans="2:14" x14ac:dyDescent="0.3">
      <c r="B192" s="14">
        <f t="shared" si="59"/>
        <v>1900</v>
      </c>
      <c r="C192" s="63">
        <f t="shared" si="56"/>
        <v>23696.245199999998</v>
      </c>
      <c r="D192" s="63">
        <f t="shared" si="55"/>
        <v>23696.245199999998</v>
      </c>
      <c r="E192" s="63" cm="1">
        <f t="array" ref="E192">$D$2*SUM( ($B$12:$B$20)/(EXP($B$12:$B$20/B192)-1) + 0.5*$B$12:$B$20)</f>
        <v>176874.37697589083</v>
      </c>
      <c r="H192" s="14">
        <f t="shared" si="60"/>
        <v>1900</v>
      </c>
      <c r="I192" s="63">
        <f t="shared" si="57"/>
        <v>5.6635385277246648</v>
      </c>
      <c r="J192" s="63">
        <f t="shared" si="58"/>
        <v>5.6635385277246648</v>
      </c>
      <c r="K192" s="63" cm="1">
        <f t="array" ref="K192">$D$2*SUM( ($B$12:$B$20)/(EXP($B$12:$B$20/H192)-1) + 0.5*$B$12:$B$20) / 4184</f>
        <v>42.273990673014062</v>
      </c>
    </row>
    <row r="193" spans="1:15" x14ac:dyDescent="0.3">
      <c r="B193" s="14">
        <f t="shared" si="59"/>
        <v>2000</v>
      </c>
      <c r="C193" s="63">
        <f t="shared" si="56"/>
        <v>24943.415999999997</v>
      </c>
      <c r="D193" s="63">
        <f t="shared" si="55"/>
        <v>24943.415999999997</v>
      </c>
      <c r="E193" s="63" cm="1">
        <f t="array" ref="E193">$D$2*SUM( ($B$12:$B$20)/(EXP($B$12:$B$20/B193)-1) + 0.5*$B$12:$B$20)</f>
        <v>182837.59396477503</v>
      </c>
      <c r="H193" s="14">
        <f t="shared" si="60"/>
        <v>2000</v>
      </c>
      <c r="I193" s="63">
        <f t="shared" si="57"/>
        <v>5.9616195028680679</v>
      </c>
      <c r="J193" s="63">
        <f t="shared" si="58"/>
        <v>5.9616195028680679</v>
      </c>
      <c r="K193" s="63" cm="1">
        <f t="array" ref="K193">$D$2*SUM( ($B$12:$B$20)/(EXP($B$12:$B$20/H193)-1) + 0.5*$B$12:$B$20) / 4184</f>
        <v>43.699233739190973</v>
      </c>
    </row>
    <row r="194" spans="1:15" ht="15" thickBot="1" x14ac:dyDescent="0.35">
      <c r="B194" s="16">
        <f t="shared" si="59"/>
        <v>2100</v>
      </c>
      <c r="C194" s="64">
        <f t="shared" si="56"/>
        <v>26190.586799999997</v>
      </c>
      <c r="D194" s="64">
        <f t="shared" si="55"/>
        <v>26190.586799999997</v>
      </c>
      <c r="E194" s="64" cm="1">
        <f t="array" ref="E194">$D$2*SUM( ($B$12:$B$20)/(EXP($B$12:$B$20/B194)-1) + 0.5*$B$12:$B$20)</f>
        <v>188920.59799599141</v>
      </c>
      <c r="F194" s="3"/>
      <c r="H194" s="16">
        <f t="shared" si="60"/>
        <v>2100</v>
      </c>
      <c r="I194" s="64">
        <f t="shared" si="57"/>
        <v>6.2597004780114718</v>
      </c>
      <c r="J194" s="64">
        <f t="shared" si="58"/>
        <v>6.2597004780114718</v>
      </c>
      <c r="K194" s="64" cm="1">
        <f t="array" ref="K194">$D$2*SUM( ($B$12:$B$20)/(EXP($B$12:$B$20/H194)-1) + 0.5*$B$12:$B$20) / 4184</f>
        <v>45.153106595600242</v>
      </c>
      <c r="L194" s="3"/>
    </row>
    <row r="196" spans="1:15" ht="15" thickBot="1" x14ac:dyDescent="0.35"/>
    <row r="197" spans="1:15" ht="15" thickBot="1" x14ac:dyDescent="0.35">
      <c r="F197" s="18"/>
      <c r="G197" s="21"/>
      <c r="H197" s="21"/>
      <c r="I197" s="19"/>
      <c r="K197" s="54" t="s">
        <v>83</v>
      </c>
    </row>
    <row r="198" spans="1:15" ht="16.8" thickBot="1" x14ac:dyDescent="0.35">
      <c r="B198" s="93" t="s">
        <v>79</v>
      </c>
      <c r="C198" s="94">
        <f xml:space="preserve"> ($C$2*$C$2) /(8*$B$2*$B$2*$A$2*$H$198)</f>
        <v>1.222890457844473</v>
      </c>
      <c r="F198" s="14"/>
      <c r="H198" s="2">
        <f>SQRT(E6*E6+F6*F6+G6*G6)</f>
        <v>3.2935734495583509E-46</v>
      </c>
      <c r="I198" s="15" t="s">
        <v>78</v>
      </c>
      <c r="K198" s="31">
        <v>1</v>
      </c>
    </row>
    <row r="199" spans="1:15" ht="15" thickBot="1" x14ac:dyDescent="0.35">
      <c r="F199" s="16"/>
      <c r="G199" s="23"/>
      <c r="H199" s="23"/>
      <c r="I199" s="17"/>
    </row>
    <row r="200" spans="1:15" ht="15" thickBot="1" x14ac:dyDescent="0.35">
      <c r="A200" s="2" t="s">
        <v>76</v>
      </c>
      <c r="B200" s="139" t="s">
        <v>77</v>
      </c>
      <c r="C200" s="139"/>
      <c r="D200" s="139"/>
      <c r="E200" s="139"/>
      <c r="F200" s="139"/>
      <c r="H200" s="139" t="s">
        <v>95</v>
      </c>
      <c r="I200" s="139"/>
      <c r="J200" s="139"/>
      <c r="K200" s="139"/>
      <c r="L200" s="139"/>
    </row>
    <row r="201" spans="1:15" ht="18" x14ac:dyDescent="0.3">
      <c r="A201" s="2" t="s">
        <v>77</v>
      </c>
      <c r="B201" s="58" t="s">
        <v>23</v>
      </c>
      <c r="C201" s="37" t="s">
        <v>94</v>
      </c>
      <c r="D201" s="37" t="s">
        <v>73</v>
      </c>
      <c r="E201" s="37" t="s">
        <v>10</v>
      </c>
      <c r="F201" s="37" t="s">
        <v>11</v>
      </c>
      <c r="G201" s="37" t="s">
        <v>74</v>
      </c>
      <c r="H201" s="58" t="s">
        <v>23</v>
      </c>
      <c r="I201" s="37" t="s">
        <v>73</v>
      </c>
      <c r="J201" s="37" t="s">
        <v>10</v>
      </c>
      <c r="K201" s="37" t="s">
        <v>11</v>
      </c>
      <c r="L201" s="37" t="s">
        <v>74</v>
      </c>
      <c r="O201" s="1"/>
    </row>
    <row r="202" spans="1:15" ht="15" thickBot="1" x14ac:dyDescent="0.35">
      <c r="B202" s="56">
        <f>300</f>
        <v>300</v>
      </c>
      <c r="C202" s="63">
        <f>($A$2*B202)/$J$2</f>
        <v>4.0876387860843815E-26</v>
      </c>
      <c r="D202" s="92">
        <f xml:space="preserve"> $D$2 *( 5/2  +   LN(  ((2*$B$2*$E$2*$A$2*B202)/($C$2*$C$2) )^1.5  * ($D$2*B202 )/($F$2*$J$2)  ) )</f>
        <v>143.47337165456085</v>
      </c>
      <c r="E202" s="63">
        <f t="shared" ref="E202:E220" si="61">$D$2 *LN( (EXP(1)*B202) / ($B$6 * $C$198))</f>
        <v>44.931015090473871</v>
      </c>
      <c r="F202" s="63" cm="1">
        <f t="array" ref="F202">$D$2*SUM( (($B$12:$B$20)/B202)/(EXP($B$12:$B$20/B176)-1) - LN( 1 - EXP( (-1 * $B$12:$B$20)/B202 ) ) )</f>
        <v>0.37015314374667779</v>
      </c>
      <c r="G202" s="64">
        <f>$D$2*LN(K198)</f>
        <v>0</v>
      </c>
      <c r="H202" s="84">
        <f>300</f>
        <v>300</v>
      </c>
      <c r="I202" s="86">
        <f xml:space="preserve"> $D$2 *( 5/2  +   LN(  ((2*$B$2*$E$2*$A$2*B202)/($C$2*$C$2) )^1.5  * ($D$2*B202 )/($F$2*$J$2)  ) ) / 4.184</f>
        <v>34.290958808451443</v>
      </c>
      <c r="J202" s="86">
        <f>$D$2 *LN( (EXP(1)*H202) / ($B$6 * $C$198)) / 4.184</f>
        <v>10.738770337111346</v>
      </c>
      <c r="K202" s="86" cm="1">
        <f t="array" ref="K202">$D$2*SUM( (($B$12:$B$20)/B202)/(EXP($B$12:$B$20/B176)-1) - LN( 1 - EXP( (-1 * $B$12:$B$20)/B202 ) ) ) / 4.184</f>
        <v>8.8468724604846505E-2</v>
      </c>
      <c r="L202" s="89">
        <f>$D$2*LN(K198)</f>
        <v>0</v>
      </c>
      <c r="O202" s="1"/>
    </row>
    <row r="203" spans="1:15" x14ac:dyDescent="0.3">
      <c r="B203" s="56">
        <f>B202+100</f>
        <v>400</v>
      </c>
      <c r="C203" s="63">
        <f t="shared" ref="C203:C220" si="62">($A$2*B203)/$J$2</f>
        <v>5.4501850481125095E-26</v>
      </c>
      <c r="D203" s="92">
        <f t="shared" ref="D203:D220" si="63" xml:space="preserve"> $D$2 *( 5/2  +   LN(  ((2*$B$2*$E$2*$A$2*B203)/($C$2*$C$2) )^1.5  * ($D$2*B203 )/($F$2*$J$2)  ) )</f>
        <v>149.45318299531655</v>
      </c>
      <c r="E203" s="63">
        <f t="shared" si="61"/>
        <v>47.322939626776169</v>
      </c>
      <c r="F203" s="63" cm="1">
        <f t="array" ref="F203">$D$2*SUM( (($B$12:$B$20)/B203)/(EXP($B$12:$B$20/B177)-1) - LN( 1 - EXP( (-1 * $B$12:$B$20)/B203 ) ) )</f>
        <v>1.560004028961764</v>
      </c>
      <c r="H203" s="56">
        <f>H202+100</f>
        <v>400</v>
      </c>
      <c r="I203" s="92">
        <f xml:space="preserve"> $D$2 *( 5/2  +   LN(  ((2*$B$2*$E$2*$A$2*B203)/($C$2*$C$2) )^1.5  * ($D$2*B203 )/($F$2*$J$2)  ) )/ 4.184</f>
        <v>35.720168019913132</v>
      </c>
      <c r="J203" s="63">
        <f t="shared" ref="J203:J220" si="64">$D$2 *LN( (EXP(1)*H203) / ($B$6 * $C$198)) / 4.184</f>
        <v>11.310454021696025</v>
      </c>
      <c r="K203" s="63" cm="1">
        <f t="array" ref="K203">$D$2*SUM( (($B$12:$B$20)/H203)/(EXP($B$12:$B$20/B176)-1) - LN( 1 - EXP( (-1 * $B$12:$B$20)/H203 ) ) ) / 4.184</f>
        <v>0.11927450027486661</v>
      </c>
      <c r="O203" s="83"/>
    </row>
    <row r="204" spans="1:15" ht="18" x14ac:dyDescent="0.3">
      <c r="B204" s="56">
        <f t="shared" ref="B204:B220" si="65">B203+100</f>
        <v>500</v>
      </c>
      <c r="C204" s="63">
        <f t="shared" si="62"/>
        <v>6.8127313101406362E-26</v>
      </c>
      <c r="D204" s="92">
        <f t="shared" si="63"/>
        <v>154.09148501877303</v>
      </c>
      <c r="E204" s="63">
        <f t="shared" si="61"/>
        <v>49.17826043615873</v>
      </c>
      <c r="F204" s="63" cm="1">
        <f t="array" ref="F204">$D$2*SUM( (($B$12:$B$20)/B204)/(EXP($B$12:$B$20/B178)-1) - LN( 1 - EXP( (-1 * $B$12:$B$20)/B204 ) ) )</f>
        <v>3.6387659068906228</v>
      </c>
      <c r="H204" s="56">
        <f t="shared" ref="H204:H220" si="66">H203+100</f>
        <v>500</v>
      </c>
      <c r="I204" s="92">
        <f t="shared" ref="I204:I220" si="67" xml:space="preserve"> $D$2 *( 5/2  +   LN(  ((2*$B$2*$E$2*$A$2*B204)/($C$2*$C$2) )^1.5  * ($D$2*B204 )/($F$2*$J$2)  ) )/ 4.184</f>
        <v>36.828748809458176</v>
      </c>
      <c r="J204" s="63">
        <f t="shared" si="64"/>
        <v>11.753886337514036</v>
      </c>
      <c r="K204" s="63" cm="1">
        <f t="array" ref="K204">$D$2*SUM( (($B$12:$B$20)/H204)/(EXP($B$12:$B$20/B177)-1) - LN( 1 - EXP( (-1 * $B$12:$B$20)/H204 ) ) ) / 4.184</f>
        <v>0.4193782908200705</v>
      </c>
      <c r="M204" s="145"/>
      <c r="N204" s="145"/>
      <c r="O204" s="83"/>
    </row>
    <row r="205" spans="1:15" ht="18.600000000000001" thickBot="1" x14ac:dyDescent="0.35">
      <c r="B205" s="56">
        <f t="shared" si="65"/>
        <v>600</v>
      </c>
      <c r="C205" s="63">
        <f t="shared" si="62"/>
        <v>8.175277572168763E-26</v>
      </c>
      <c r="D205" s="92">
        <f t="shared" si="63"/>
        <v>157.8812537161723</v>
      </c>
      <c r="E205" s="63">
        <f t="shared" si="61"/>
        <v>50.694167915118477</v>
      </c>
      <c r="F205" s="63" cm="1">
        <f t="array" ref="F205">$D$2*SUM( (($B$12:$B$20)/B205)/(EXP($B$12:$B$20/B179)-1) - LN( 1 - EXP( (-1 * $B$12:$B$20)/B205 ) ) )</f>
        <v>6.3825836837645937</v>
      </c>
      <c r="H205" s="56">
        <f t="shared" si="66"/>
        <v>600</v>
      </c>
      <c r="I205" s="92">
        <f t="shared" si="67"/>
        <v>37.734525266771577</v>
      </c>
      <c r="J205" s="63">
        <f t="shared" si="64"/>
        <v>12.116196920439407</v>
      </c>
      <c r="K205" s="63" cm="1">
        <f t="array" ref="K205">$D$2*SUM( (($B$12:$B$20)/H205)/(EXP($B$12:$B$20/B178)-1) - LN( 1 - EXP( (-1 * $B$12:$B$20)/H205 ) ) ) / 4.184</f>
        <v>0.92253757316845475</v>
      </c>
      <c r="M205" s="145" t="s">
        <v>88</v>
      </c>
      <c r="N205" s="145"/>
      <c r="O205" s="83"/>
    </row>
    <row r="206" spans="1:15" x14ac:dyDescent="0.3">
      <c r="B206" s="56">
        <f t="shared" si="65"/>
        <v>700</v>
      </c>
      <c r="C206" s="63">
        <f t="shared" si="62"/>
        <v>9.5378238341968898E-26</v>
      </c>
      <c r="D206" s="92">
        <f t="shared" si="63"/>
        <v>161.08545749418406</v>
      </c>
      <c r="E206" s="63">
        <f t="shared" si="61"/>
        <v>51.97584942632318</v>
      </c>
      <c r="F206" s="63" cm="1">
        <f t="array" ref="F206">$D$2*SUM( (($B$12:$B$20)/B206)/(EXP($B$12:$B$20/B180)-1) - LN( 1 - EXP( (-1 * $B$12:$B$20)/B206 ) ) )</f>
        <v>9.5653320981532737</v>
      </c>
      <c r="H206" s="56">
        <f t="shared" si="66"/>
        <v>700</v>
      </c>
      <c r="I206" s="92">
        <f t="shared" si="67"/>
        <v>38.500348349470372</v>
      </c>
      <c r="J206" s="63">
        <f t="shared" si="64"/>
        <v>12.422526153518923</v>
      </c>
      <c r="K206" s="63" cm="1">
        <f t="array" ref="K206">$D$2*SUM( (($B$12:$B$20)/H206)/(EXP($B$12:$B$20/B179)-1) - LN( 1 - EXP( (-1 * $B$12:$B$20)/H206 ) ) ) / 4.184</f>
        <v>1.5788265813522973</v>
      </c>
      <c r="M206" s="72"/>
      <c r="N206" s="68" t="s">
        <v>3</v>
      </c>
      <c r="O206" s="83"/>
    </row>
    <row r="207" spans="1:15" x14ac:dyDescent="0.3">
      <c r="B207" s="56">
        <f t="shared" si="65"/>
        <v>800</v>
      </c>
      <c r="C207" s="63">
        <f t="shared" si="62"/>
        <v>1.0900370096225019E-25</v>
      </c>
      <c r="D207" s="92">
        <f t="shared" si="63"/>
        <v>163.86106505692811</v>
      </c>
      <c r="E207" s="63">
        <f t="shared" si="61"/>
        <v>53.086092451420782</v>
      </c>
      <c r="F207" s="63" cm="1">
        <f t="array" ref="F207">$D$2*SUM( (($B$12:$B$20)/B207)/(EXP($B$12:$B$20/B181)-1) - LN( 1 - EXP( (-1 * $B$12:$B$20)/B207 ) ) )</f>
        <v>13.022216074356608</v>
      </c>
      <c r="H207" s="56">
        <f t="shared" si="66"/>
        <v>800</v>
      </c>
      <c r="I207" s="92">
        <f t="shared" si="67"/>
        <v>39.163734478233295</v>
      </c>
      <c r="J207" s="63">
        <f t="shared" si="64"/>
        <v>12.687880605024088</v>
      </c>
      <c r="K207" s="63" cm="1">
        <f t="array" ref="K207">$D$2*SUM( (($B$12:$B$20)/H207)/(EXP($B$12:$B$20/B180)-1) - LN( 1 - EXP( (-1 * $B$12:$B$20)/H207 ) ) ) / 4.184</f>
        <v>2.3372858432768746</v>
      </c>
      <c r="M207" s="73"/>
      <c r="N207" s="78" t="s">
        <v>5</v>
      </c>
      <c r="O207" s="83"/>
    </row>
    <row r="208" spans="1:15" x14ac:dyDescent="0.3">
      <c r="B208" s="56">
        <f t="shared" si="65"/>
        <v>900</v>
      </c>
      <c r="C208" s="63">
        <f t="shared" si="62"/>
        <v>1.2262916358253145E-25</v>
      </c>
      <c r="D208" s="92">
        <f t="shared" si="63"/>
        <v>166.30932443702812</v>
      </c>
      <c r="E208" s="63">
        <f t="shared" si="61"/>
        <v>54.065396203460779</v>
      </c>
      <c r="F208" s="63" cm="1">
        <f t="array" ref="F208">$D$2*SUM( (($B$12:$B$20)/B208)/(EXP($B$12:$B$20/B182)-1) - LN( 1 - EXP( (-1 * $B$12:$B$20)/B208 ) ) )</f>
        <v>16.639382401278986</v>
      </c>
      <c r="H208" s="56">
        <f t="shared" si="66"/>
        <v>900</v>
      </c>
      <c r="I208" s="92">
        <f t="shared" si="67"/>
        <v>39.748882513630051</v>
      </c>
      <c r="J208" s="63">
        <f t="shared" si="64"/>
        <v>12.921939819182786</v>
      </c>
      <c r="K208" s="63" cm="1">
        <f t="array" ref="K208">$D$2*SUM( (($B$12:$B$20)/H208)/(EXP($B$12:$B$20/B181)-1) - LN( 1 - EXP( (-1 * $B$12:$B$20)/H208 ) ) ) / 4.184</f>
        <v>3.1601580349309324</v>
      </c>
      <c r="M208" s="73" t="s">
        <v>6</v>
      </c>
      <c r="N208" s="80">
        <v>47.234999999999999</v>
      </c>
      <c r="O208" s="83"/>
    </row>
    <row r="209" spans="1:14" x14ac:dyDescent="0.3">
      <c r="B209" s="56">
        <f t="shared" si="65"/>
        <v>1000</v>
      </c>
      <c r="C209" s="63">
        <f t="shared" si="62"/>
        <v>1.3625462620281272E-25</v>
      </c>
      <c r="D209" s="92">
        <f t="shared" si="63"/>
        <v>168.49936708038456</v>
      </c>
      <c r="E209" s="63">
        <f t="shared" si="61"/>
        <v>54.941413260803344</v>
      </c>
      <c r="F209" s="63" cm="1">
        <f t="array" ref="F209">$D$2*SUM( (($B$12:$B$20)/B209)/(EXP($B$12:$B$20/B183)-1) - LN( 1 - EXP( (-1 * $B$12:$B$20)/B209 ) ) )</f>
        <v>20.337110722164862</v>
      </c>
      <c r="H209" s="56">
        <f t="shared" si="66"/>
        <v>1000</v>
      </c>
      <c r="I209" s="92">
        <f t="shared" si="67"/>
        <v>40.272315267778332</v>
      </c>
      <c r="J209" s="63">
        <f t="shared" si="64"/>
        <v>13.131312920842099</v>
      </c>
      <c r="K209" s="63" cm="1">
        <f t="array" ref="K209">$D$2*SUM( (($B$12:$B$20)/H209)/(EXP($B$12:$B$20/B182)-1) - LN( 1 - EXP( (-1 * $B$12:$B$20)/H209 ) ) ) / 4.184</f>
        <v>4.0209997257644039</v>
      </c>
      <c r="M209" s="73" t="s">
        <v>7</v>
      </c>
      <c r="N209" s="80" t="s">
        <v>8</v>
      </c>
    </row>
    <row r="210" spans="1:14" x14ac:dyDescent="0.3">
      <c r="B210" s="56">
        <f t="shared" si="65"/>
        <v>1100</v>
      </c>
      <c r="C210" s="63">
        <f t="shared" si="62"/>
        <v>1.4988008882309398E-25</v>
      </c>
      <c r="D210" s="92">
        <f t="shared" si="63"/>
        <v>170.48050163362956</v>
      </c>
      <c r="E210" s="63">
        <f t="shared" si="61"/>
        <v>55.733867082101362</v>
      </c>
      <c r="F210" s="63" cm="1">
        <f t="array" ref="F210">$D$2*SUM( (($B$12:$B$20)/B210)/(EXP($B$12:$B$20/B184)-1) - LN( 1 - EXP( (-1 * $B$12:$B$20)/B210 ) ) )</f>
        <v>24.058653463633391</v>
      </c>
      <c r="H210" s="56">
        <f t="shared" si="66"/>
        <v>1100</v>
      </c>
      <c r="I210" s="92">
        <f t="shared" si="67"/>
        <v>40.745817790064422</v>
      </c>
      <c r="J210" s="63">
        <f t="shared" si="64"/>
        <v>13.32071392975654</v>
      </c>
      <c r="K210" s="63" cm="1">
        <f t="array" ref="K210">$D$2*SUM( (($B$12:$B$20)/H210)/(EXP($B$12:$B$20/B183)-1) - LN( 1 - EXP( (-1 * $B$12:$B$20)/H210 ) ) ) / 4.184</f>
        <v>4.9011146897135784</v>
      </c>
      <c r="M210" s="73" t="s">
        <v>9</v>
      </c>
      <c r="N210" s="80">
        <v>34.261000000000003</v>
      </c>
    </row>
    <row r="211" spans="1:14" x14ac:dyDescent="0.3">
      <c r="A211" s="3"/>
      <c r="B211" s="56">
        <f t="shared" si="65"/>
        <v>1200</v>
      </c>
      <c r="C211" s="63">
        <f t="shared" si="62"/>
        <v>1.6350555144337526E-25</v>
      </c>
      <c r="D211" s="92">
        <f t="shared" si="63"/>
        <v>172.28913577778383</v>
      </c>
      <c r="E211" s="63">
        <f t="shared" si="61"/>
        <v>56.457320739763091</v>
      </c>
      <c r="F211" s="63" cm="1">
        <f t="array" ref="F211">$D$2*SUM( (($B$12:$B$20)/B211)/(EXP($B$12:$B$20/B185)-1) - LN( 1 - EXP( (-1 * $B$12:$B$20)/B211 ) ) )</f>
        <v>27.763496290890867</v>
      </c>
      <c r="H211" s="56">
        <f t="shared" si="66"/>
        <v>1200</v>
      </c>
      <c r="I211" s="92">
        <f t="shared" si="67"/>
        <v>41.178091725091733</v>
      </c>
      <c r="J211" s="63">
        <f t="shared" si="64"/>
        <v>13.493623503767468</v>
      </c>
      <c r="K211" s="63" cm="1">
        <f t="array" ref="K211">$D$2*SUM( (($B$12:$B$20)/H211)/(EXP($B$12:$B$20/B184)-1) - LN( 1 - EXP( (-1 * $B$12:$B$20)/H211 ) ) ) / 4.184</f>
        <v>5.7871056915209502</v>
      </c>
      <c r="M211" s="73" t="s">
        <v>10</v>
      </c>
      <c r="N211" s="80">
        <v>12.888</v>
      </c>
    </row>
    <row r="212" spans="1:14" ht="15" thickBot="1" x14ac:dyDescent="0.35">
      <c r="B212" s="56">
        <f t="shared" si="65"/>
        <v>1300</v>
      </c>
      <c r="C212" s="63">
        <f t="shared" si="62"/>
        <v>1.7713101406365654E-25</v>
      </c>
      <c r="D212" s="92">
        <f t="shared" si="63"/>
        <v>173.95291790717337</v>
      </c>
      <c r="E212" s="63">
        <f t="shared" si="61"/>
        <v>57.122833591518891</v>
      </c>
      <c r="F212" s="63" cm="1">
        <f t="array" ref="F212">$D$2*SUM( (($B$12:$B$20)/B212)/(EXP($B$12:$B$20/B186)-1) - LN( 1 - EXP( (-1 * $B$12:$B$20)/B212 ) ) )</f>
        <v>31.423019771331916</v>
      </c>
      <c r="H212" s="56">
        <f t="shared" si="66"/>
        <v>1300</v>
      </c>
      <c r="I212" s="92">
        <f t="shared" si="67"/>
        <v>41.575745197699177</v>
      </c>
      <c r="J212" s="63">
        <f t="shared" si="64"/>
        <v>13.652684892810441</v>
      </c>
      <c r="K212" s="63" cm="1">
        <f t="array" ref="K212">$D$2*SUM( (($B$12:$B$20)/H212)/(EXP($B$12:$B$20/B185)-1) - LN( 1 - EXP( (-1 * $B$12:$B$20)/H212 ) ) ) / 4.184</f>
        <v>6.6693618516032904</v>
      </c>
      <c r="M212" s="74" t="s">
        <v>11</v>
      </c>
      <c r="N212" s="82">
        <v>8.5000000000000006E-2</v>
      </c>
    </row>
    <row r="213" spans="1:14" x14ac:dyDescent="0.3">
      <c r="B213" s="56">
        <f t="shared" si="65"/>
        <v>1400</v>
      </c>
      <c r="C213" s="63">
        <f t="shared" si="62"/>
        <v>1.907564766839378E-25</v>
      </c>
      <c r="D213" s="92">
        <f t="shared" si="63"/>
        <v>175.49333955579559</v>
      </c>
      <c r="E213" s="63">
        <f t="shared" si="61"/>
        <v>57.739002250967793</v>
      </c>
      <c r="F213" s="63" cm="1">
        <f t="array" ref="F213">$D$2*SUM( (($B$12:$B$20)/B213)/(EXP($B$12:$B$20/B187)-1) - LN( 1 - EXP( (-1 * $B$12:$B$20)/B213 ) ) )</f>
        <v>35.017453651054119</v>
      </c>
      <c r="H213" s="56">
        <f t="shared" si="66"/>
        <v>1400</v>
      </c>
      <c r="I213" s="92">
        <f t="shared" si="67"/>
        <v>41.943914807790527</v>
      </c>
      <c r="J213" s="63">
        <f t="shared" si="64"/>
        <v>13.799952736846986</v>
      </c>
      <c r="K213" s="63" cm="1">
        <f t="array" ref="K213">$D$2*SUM( (($B$12:$B$20)/H213)/(EXP($B$12:$B$20/B186)-1) - LN( 1 - EXP( (-1 * $B$12:$B$20)/H213 ) ) ) / 4.184</f>
        <v>7.5410672148829549</v>
      </c>
    </row>
    <row r="214" spans="1:14" x14ac:dyDescent="0.3">
      <c r="B214" s="56">
        <f t="shared" si="65"/>
        <v>1500</v>
      </c>
      <c r="C214" s="63">
        <f t="shared" si="62"/>
        <v>2.0438193930421908E-25</v>
      </c>
      <c r="D214" s="92">
        <f t="shared" si="63"/>
        <v>176.92743780124027</v>
      </c>
      <c r="E214" s="63">
        <f t="shared" si="61"/>
        <v>58.312641549145646</v>
      </c>
      <c r="F214" s="63" cm="1">
        <f t="array" ref="F214">$D$2*SUM( (($B$12:$B$20)/B214)/(EXP($B$12:$B$20/B188)-1) - LN( 1 - EXP( (-1 * $B$12:$B$20)/B214 ) ) )</f>
        <v>38.533617582917216</v>
      </c>
      <c r="H214" s="56">
        <f t="shared" si="66"/>
        <v>1500</v>
      </c>
      <c r="I214" s="92">
        <f t="shared" si="67"/>
        <v>42.286672514636777</v>
      </c>
      <c r="J214" s="63">
        <f t="shared" si="64"/>
        <v>13.937055819585479</v>
      </c>
      <c r="K214" s="63" cm="1">
        <f t="array" ref="K214">$D$2*SUM( (($B$12:$B$20)/H214)/(EXP($B$12:$B$20/B187)-1) - LN( 1 - EXP( (-1 * $B$12:$B$20)/H214 ) ) ) / 4.184</f>
        <v>8.3974955166534162</v>
      </c>
    </row>
    <row r="215" spans="1:14" x14ac:dyDescent="0.3">
      <c r="B215" s="56">
        <f t="shared" si="65"/>
        <v>1600</v>
      </c>
      <c r="C215" s="63">
        <f t="shared" si="62"/>
        <v>2.1800740192450038E-25</v>
      </c>
      <c r="D215" s="92">
        <f t="shared" si="63"/>
        <v>178.26894711853964</v>
      </c>
      <c r="E215" s="63">
        <f t="shared" si="61"/>
        <v>58.849245276065389</v>
      </c>
      <c r="F215" s="63" cm="1">
        <f t="array" ref="F215">$D$2*SUM( (($B$12:$B$20)/B215)/(EXP($B$12:$B$20/B189)-1) - LN( 1 - EXP( (-1 * $B$12:$B$20)/B215 ) ) )</f>
        <v>41.96320867082553</v>
      </c>
      <c r="H215" s="56">
        <f t="shared" si="66"/>
        <v>1600</v>
      </c>
      <c r="I215" s="92">
        <f t="shared" si="67"/>
        <v>42.60730093655345</v>
      </c>
      <c r="J215" s="63">
        <f t="shared" si="64"/>
        <v>14.065307188352147</v>
      </c>
      <c r="K215" s="63" cm="1">
        <f t="array" ref="K215">$D$2*SUM( (($B$12:$B$20)/H215)/(EXP($B$12:$B$20/B188)-1) - LN( 1 - EXP( (-1 * $B$12:$B$20)/H215 ) ) ) / 4.184</f>
        <v>9.2354824101632431</v>
      </c>
      <c r="M215" s="2" t="s">
        <v>99</v>
      </c>
      <c r="N215" s="107">
        <f>SUM(I202:L202)</f>
        <v>45.118197870167634</v>
      </c>
    </row>
    <row r="216" spans="1:14" x14ac:dyDescent="0.3">
      <c r="B216" s="56">
        <f t="shared" si="65"/>
        <v>1700</v>
      </c>
      <c r="C216" s="63">
        <f t="shared" si="62"/>
        <v>2.3163286454478159E-25</v>
      </c>
      <c r="D216" s="92">
        <f t="shared" si="63"/>
        <v>179.52910142004797</v>
      </c>
      <c r="E216" s="63">
        <f t="shared" si="61"/>
        <v>59.353306996668728</v>
      </c>
      <c r="F216" s="63" cm="1">
        <f t="array" ref="F216">$D$2*SUM( (($B$12:$B$20)/B216)/(EXP($B$12:$B$20/B190)-1) - LN( 1 - EXP( (-1 * $B$12:$B$20)/B216 ) ) )</f>
        <v>45.301500136459033</v>
      </c>
      <c r="H216" s="56">
        <f t="shared" si="66"/>
        <v>1700</v>
      </c>
      <c r="I216" s="92">
        <f t="shared" si="67"/>
        <v>42.908485043032492</v>
      </c>
      <c r="J216" s="63">
        <f t="shared" si="64"/>
        <v>14.185780830943768</v>
      </c>
      <c r="K216" s="63" cm="1">
        <f t="array" ref="K216">$D$2*SUM( (($B$12:$B$20)/H216)/(EXP($B$12:$B$20/B189)-1) - LN( 1 - EXP( (-1 * $B$12:$B$20)/H216 ) ) ) / 4.184</f>
        <v>10.05302305228904</v>
      </c>
    </row>
    <row r="217" spans="1:14" x14ac:dyDescent="0.3">
      <c r="B217" s="56">
        <f t="shared" si="65"/>
        <v>1800</v>
      </c>
      <c r="C217" s="63">
        <f t="shared" si="62"/>
        <v>2.4525832716506289E-25</v>
      </c>
      <c r="D217" s="92">
        <f t="shared" si="63"/>
        <v>180.71720649863965</v>
      </c>
      <c r="E217" s="63">
        <f t="shared" si="61"/>
        <v>59.828549028105392</v>
      </c>
      <c r="F217" s="63" cm="1">
        <f t="array" ref="F217">$D$2*SUM( (($B$12:$B$20)/B217)/(EXP($B$12:$B$20/B191)-1) - LN( 1 - EXP( (-1 * $B$12:$B$20)/B217 ) ) )</f>
        <v>48.546357551577742</v>
      </c>
      <c r="H217" s="56">
        <f t="shared" si="66"/>
        <v>1800</v>
      </c>
      <c r="I217" s="92">
        <f t="shared" si="67"/>
        <v>43.192448971950199</v>
      </c>
      <c r="J217" s="63">
        <f t="shared" si="64"/>
        <v>14.299366402510849</v>
      </c>
      <c r="K217" s="63" cm="1">
        <f t="array" ref="K217">$D$2*SUM( (($B$12:$B$20)/H217)/(EXP($B$12:$B$20/B190)-1) - LN( 1 - EXP( (-1 * $B$12:$B$20)/H217 ) ) ) / 4.184</f>
        <v>10.848965007230843</v>
      </c>
    </row>
    <row r="218" spans="1:14" x14ac:dyDescent="0.3">
      <c r="B218" s="56">
        <f t="shared" si="65"/>
        <v>1900</v>
      </c>
      <c r="C218" s="63">
        <f t="shared" si="62"/>
        <v>2.5888378978534419E-25</v>
      </c>
      <c r="D218" s="92">
        <f t="shared" si="63"/>
        <v>181.84105749206336</v>
      </c>
      <c r="E218" s="63">
        <f t="shared" si="61"/>
        <v>60.278089425474903</v>
      </c>
      <c r="F218" s="63" cm="1">
        <f t="array" ref="F218">$D$2*SUM( (($B$12:$B$20)/B218)/(EXP($B$12:$B$20/B192)-1) - LN( 1 - EXP( (-1 * $B$12:$B$20)/B218 ) ) )</f>
        <v>51.697500606134867</v>
      </c>
      <c r="H218" s="56">
        <f t="shared" si="66"/>
        <v>1900</v>
      </c>
      <c r="I218" s="92">
        <f t="shared" si="67"/>
        <v>43.461055805942486</v>
      </c>
      <c r="J218" s="63">
        <f t="shared" si="64"/>
        <v>14.406809136107768</v>
      </c>
      <c r="K218" s="63" cm="1">
        <f t="array" ref="K218">$D$2*SUM( (($B$12:$B$20)/H218)/(EXP($B$12:$B$20/B191)-1) - LN( 1 - EXP( (-1 * $B$12:$B$20)/H218 ) ) ) / 4.184</f>
        <v>11.622775338416712</v>
      </c>
    </row>
    <row r="219" spans="1:14" x14ac:dyDescent="0.3">
      <c r="B219" s="56">
        <f t="shared" si="65"/>
        <v>2000</v>
      </c>
      <c r="C219" s="63">
        <f t="shared" si="62"/>
        <v>2.7250925240562545E-25</v>
      </c>
      <c r="D219" s="92">
        <f t="shared" si="63"/>
        <v>182.907249141996</v>
      </c>
      <c r="E219" s="63">
        <f t="shared" si="61"/>
        <v>60.704566085447951</v>
      </c>
      <c r="F219" s="63" cm="1">
        <f t="array" ref="F219">$D$2*SUM( (($B$12:$B$20)/B219)/(EXP($B$12:$B$20/B193)-1) - LN( 1 - EXP( (-1 * $B$12:$B$20)/B219 ) ) )</f>
        <v>54.755953179360219</v>
      </c>
      <c r="H219" s="56">
        <f t="shared" si="66"/>
        <v>2000</v>
      </c>
      <c r="I219" s="92">
        <f t="shared" si="67"/>
        <v>43.715881726098466</v>
      </c>
      <c r="J219" s="63">
        <f t="shared" si="64"/>
        <v>14.50873950417016</v>
      </c>
      <c r="K219" s="63" cm="1">
        <f t="array" ref="K219">$D$2*SUM( (($B$12:$B$20)/H219)/(EXP($B$12:$B$20/B192)-1) - LN( 1 - EXP( (-1 * $B$12:$B$20)/H219 ) ) ) / 4.184</f>
        <v>12.374365364464172</v>
      </c>
    </row>
    <row r="220" spans="1:14" ht="15" thickBot="1" x14ac:dyDescent="0.35">
      <c r="B220" s="31">
        <f t="shared" si="65"/>
        <v>2100</v>
      </c>
      <c r="C220" s="64">
        <f t="shared" si="62"/>
        <v>2.8613471502590675E-25</v>
      </c>
      <c r="D220" s="95">
        <f t="shared" si="63"/>
        <v>183.9214102766513</v>
      </c>
      <c r="E220" s="64">
        <f t="shared" si="61"/>
        <v>61.110230539310102</v>
      </c>
      <c r="F220" s="64" cm="1">
        <f t="array" ref="F220">$D$2*SUM( (($B$12:$B$20)/B220)/(EXP($B$12:$B$20/B194)-1) - LN( 1 - EXP( (-1 * $B$12:$B$20)/B220 ) ) )</f>
        <v>57.723636433158404</v>
      </c>
      <c r="G220" s="3"/>
      <c r="H220" s="31">
        <f t="shared" si="66"/>
        <v>2100</v>
      </c>
      <c r="I220" s="92">
        <f t="shared" si="67"/>
        <v>43.958272054648972</v>
      </c>
      <c r="J220" s="64">
        <f t="shared" si="64"/>
        <v>14.605695635590369</v>
      </c>
      <c r="K220" s="64" cm="1">
        <f t="array" ref="K220">$D$2*SUM( (($B$12:$B$20)/H220)/(EXP($B$12:$B$20/B193)-1) - LN( 1 - EXP( (-1 * $B$12:$B$20)/H220 ) ) ) / 4.184</f>
        <v>13.103959810436152</v>
      </c>
      <c r="L220" s="3"/>
    </row>
    <row r="224" spans="1:14" ht="15" thickBot="1" x14ac:dyDescent="0.35">
      <c r="A224" s="2" t="s">
        <v>80</v>
      </c>
      <c r="B224" s="139" t="s">
        <v>96</v>
      </c>
      <c r="C224" s="139"/>
      <c r="D224" s="139"/>
      <c r="E224" s="139"/>
      <c r="F224" s="139"/>
      <c r="H224" s="139" t="s">
        <v>97</v>
      </c>
      <c r="I224" s="139"/>
      <c r="J224" s="139"/>
      <c r="K224" s="139"/>
      <c r="L224" s="139"/>
    </row>
    <row r="225" spans="1:15" ht="18" x14ac:dyDescent="0.3">
      <c r="A225" s="2" t="s">
        <v>77</v>
      </c>
      <c r="B225" s="58" t="s">
        <v>23</v>
      </c>
      <c r="C225" s="37" t="s">
        <v>73</v>
      </c>
      <c r="D225" s="37" t="s">
        <v>10</v>
      </c>
      <c r="E225" s="37" t="s">
        <v>11</v>
      </c>
      <c r="F225" s="37" t="s">
        <v>74</v>
      </c>
      <c r="H225" s="58" t="s">
        <v>23</v>
      </c>
      <c r="I225" s="37" t="s">
        <v>73</v>
      </c>
      <c r="J225" s="37" t="s">
        <v>10</v>
      </c>
      <c r="K225" s="37" t="s">
        <v>11</v>
      </c>
      <c r="L225" s="37" t="s">
        <v>74</v>
      </c>
    </row>
    <row r="226" spans="1:15" ht="15" thickBot="1" x14ac:dyDescent="0.35">
      <c r="B226" s="56">
        <f>300</f>
        <v>300</v>
      </c>
      <c r="C226" s="63">
        <f>3/2*$D$2</f>
        <v>12.471708</v>
      </c>
      <c r="D226" s="63">
        <f>3/2*$D$2</f>
        <v>12.471708</v>
      </c>
      <c r="E226" s="63" cm="1">
        <f t="array" ref="E226">$D$2*SUM( ( ($B$12:$B$20) * ($B$12:$B$20)* EXP($B$12:$B$20/B226) ) / ( B226*B226* ( EXP(( $B$12:$B$20)/B226 )  -1)^2 ) )</f>
        <v>2.155074312774433</v>
      </c>
      <c r="F226" s="64">
        <v>0</v>
      </c>
      <c r="H226" s="56">
        <f>300</f>
        <v>300</v>
      </c>
      <c r="I226" s="86">
        <f>3/2*$D$2 / 4.184</f>
        <v>2.9808097514340344</v>
      </c>
      <c r="J226" s="86">
        <f>3/2*$D$2 / 4.184</f>
        <v>2.9808097514340344</v>
      </c>
      <c r="K226" s="86" cm="1">
        <f t="array" ref="K226">$D$2*SUM( ( ($B$12:$B$20) * ($B$12:$B$20)* EXP($B$12:$B$20/B226) ) / ( B226*B226* ( EXP(( $B$12:$B$20)/B226 )  -1)^2 ) ) / 4.184</f>
        <v>0.51507512255603083</v>
      </c>
      <c r="L226" s="89">
        <v>0</v>
      </c>
    </row>
    <row r="227" spans="1:15" x14ac:dyDescent="0.3">
      <c r="B227" s="56">
        <f>B226+100</f>
        <v>400</v>
      </c>
      <c r="C227" s="63">
        <f t="shared" ref="C227:D244" si="68">3/2*$D$2</f>
        <v>12.471708</v>
      </c>
      <c r="D227" s="63">
        <f t="shared" si="68"/>
        <v>12.471708</v>
      </c>
      <c r="E227" s="63" cm="1">
        <f t="array" ref="E227">$D$2*SUM( ( ($B$12:$B$20) * ($B$12:$B$20)* EXP($B$12:$B$20/B227) ) / ( B227*B227* ( EXP(( $B$12:$B$20)/B227 )  -1)^2 ) )</f>
        <v>6.649112547912619</v>
      </c>
      <c r="H227" s="56">
        <f>H226+100</f>
        <v>400</v>
      </c>
      <c r="I227" s="63">
        <f t="shared" ref="I227:J244" si="69">3/2*$D$2 / 4.184</f>
        <v>2.9808097514340344</v>
      </c>
      <c r="J227" s="63">
        <f t="shared" si="69"/>
        <v>2.9808097514340344</v>
      </c>
      <c r="K227" s="63" cm="1">
        <f t="array" ref="K227">$D$2*SUM( ( ($B$12:$B$20) * ($B$12:$B$20)* EXP($B$12:$B$20/H227) ) / (H227*H227* ( EXP(( $B$12:$B$20)/H227 )  -1)^2 ) ) / 4.184</f>
        <v>1.5891760391760561</v>
      </c>
    </row>
    <row r="228" spans="1:15" ht="18.600000000000001" thickBot="1" x14ac:dyDescent="0.35">
      <c r="B228" s="56">
        <f t="shared" ref="B228:B244" si="70">B227+100</f>
        <v>500</v>
      </c>
      <c r="C228" s="63">
        <f t="shared" si="68"/>
        <v>12.471708</v>
      </c>
      <c r="D228" s="63">
        <f t="shared" si="68"/>
        <v>12.471708</v>
      </c>
      <c r="E228" s="63" cm="1">
        <f t="array" ref="E228">$D$2*SUM( ( ($B$12:$B$20) * ($B$12:$B$20)* EXP($B$12:$B$20/B228) ) / ( B228*B228* ( EXP(( $B$12:$B$20)/B228 )  -1)^2 ) )</f>
        <v>12.266943077216947</v>
      </c>
      <c r="H228" s="56">
        <f t="shared" ref="H228:H244" si="71">H227+100</f>
        <v>500</v>
      </c>
      <c r="I228" s="63">
        <f t="shared" si="69"/>
        <v>2.9808097514340344</v>
      </c>
      <c r="J228" s="63">
        <f t="shared" si="69"/>
        <v>2.9808097514340344</v>
      </c>
      <c r="K228" s="63" cm="1">
        <f t="array" ref="K228">$D$2*SUM( ( ($B$12:$B$20) * ($B$12:$B$20)* EXP($B$12:$B$20/H228) ) / (H228*H228* ( EXP(( $B$12:$B$20)/H228 )  -1)^2 ) ) / 4.184</f>
        <v>2.9318697603290982</v>
      </c>
      <c r="M228" s="145" t="s">
        <v>88</v>
      </c>
      <c r="N228" s="145"/>
    </row>
    <row r="229" spans="1:15" x14ac:dyDescent="0.3">
      <c r="B229" s="56">
        <f t="shared" si="70"/>
        <v>600</v>
      </c>
      <c r="C229" s="63">
        <f t="shared" si="68"/>
        <v>12.471708</v>
      </c>
      <c r="D229" s="63">
        <f t="shared" si="68"/>
        <v>12.471708</v>
      </c>
      <c r="E229" s="63" cm="1">
        <f t="array" ref="E229">$D$2*SUM( ( ($B$12:$B$20) * ($B$12:$B$20)* EXP($B$12:$B$20/B229) ) / ( B229*B229* ( EXP(( $B$12:$B$20)/B229 )  -1)^2 ) )</f>
        <v>17.97559717841181</v>
      </c>
      <c r="H229" s="56">
        <f t="shared" si="71"/>
        <v>600</v>
      </c>
      <c r="I229" s="63">
        <f t="shared" si="69"/>
        <v>2.9808097514340344</v>
      </c>
      <c r="J229" s="63">
        <f t="shared" si="69"/>
        <v>2.9808097514340344</v>
      </c>
      <c r="K229" s="63" cm="1">
        <f t="array" ref="K229">$D$2*SUM( ( ($B$12:$B$20) * ($B$12:$B$20)* EXP($B$12:$B$20/H229) ) / (H229*H229* ( EXP(( $B$12:$B$20)/H229 )  -1)^2 ) ) / 4.184</f>
        <v>4.29627083614049</v>
      </c>
      <c r="M229" s="72"/>
      <c r="N229" s="68" t="s">
        <v>82</v>
      </c>
      <c r="O229" s="1"/>
    </row>
    <row r="230" spans="1:15" x14ac:dyDescent="0.3">
      <c r="B230" s="56">
        <f t="shared" si="70"/>
        <v>700</v>
      </c>
      <c r="C230" s="63">
        <f t="shared" si="68"/>
        <v>12.471708</v>
      </c>
      <c r="D230" s="63">
        <f t="shared" si="68"/>
        <v>12.471708</v>
      </c>
      <c r="E230" s="63" cm="1">
        <f t="array" ref="E230">$D$2*SUM( ( ($B$12:$B$20) * ($B$12:$B$20)* EXP($B$12:$B$20/B230) ) / ( B230*B230* ( EXP(( $B$12:$B$20)/B230 )  -1)^2 ) )</f>
        <v>23.396792972577316</v>
      </c>
      <c r="H230" s="56">
        <f t="shared" si="71"/>
        <v>700</v>
      </c>
      <c r="I230" s="63">
        <f t="shared" si="69"/>
        <v>2.9808097514340344</v>
      </c>
      <c r="J230" s="63">
        <f t="shared" si="69"/>
        <v>2.9808097514340344</v>
      </c>
      <c r="K230" s="63" cm="1">
        <f t="array" ref="K230">$D$2*SUM( ( ($B$12:$B$20) * ($B$12:$B$20)* EXP($B$12:$B$20/H230) ) / (H230*H230* ( EXP(( $B$12:$B$20)/H230 )  -1)^2 ) ) / 4.184</f>
        <v>5.5919677276714426</v>
      </c>
      <c r="M230" s="73"/>
      <c r="N230" s="78" t="s">
        <v>5</v>
      </c>
      <c r="O230" s="1"/>
    </row>
    <row r="231" spans="1:15" x14ac:dyDescent="0.3">
      <c r="B231" s="56">
        <f t="shared" si="70"/>
        <v>800</v>
      </c>
      <c r="C231" s="63">
        <f t="shared" si="68"/>
        <v>12.471708</v>
      </c>
      <c r="D231" s="63">
        <f t="shared" si="68"/>
        <v>12.471708</v>
      </c>
      <c r="E231" s="63" cm="1">
        <f t="array" ref="E231">$D$2*SUM( ( ($B$12:$B$20) * ($B$12:$B$20)* EXP($B$12:$B$20/B231) ) / ( B231*B231* ( EXP(( $B$12:$B$20)/B231 )  -1)^2 ) )</f>
        <v>28.421493574067181</v>
      </c>
      <c r="H231" s="56">
        <f t="shared" si="71"/>
        <v>800</v>
      </c>
      <c r="I231" s="63">
        <f t="shared" si="69"/>
        <v>2.9808097514340344</v>
      </c>
      <c r="J231" s="63">
        <f t="shared" si="69"/>
        <v>2.9808097514340344</v>
      </c>
      <c r="K231" s="63" cm="1">
        <f t="array" ref="K231">$D$2*SUM( ( ($B$12:$B$20) * ($B$12:$B$20)* EXP($B$12:$B$20/H231) ) / (H231*H231* ( EXP(( $B$12:$B$20)/H231 )  -1)^2 ) ) / 4.184</f>
        <v>6.7928999938019077</v>
      </c>
      <c r="M231" s="73" t="s">
        <v>6</v>
      </c>
      <c r="N231" s="80">
        <v>6.4619999999999997</v>
      </c>
      <c r="O231" s="83"/>
    </row>
    <row r="232" spans="1:15" x14ac:dyDescent="0.3">
      <c r="B232" s="56">
        <f t="shared" si="70"/>
        <v>900</v>
      </c>
      <c r="C232" s="63">
        <f t="shared" si="68"/>
        <v>12.471708</v>
      </c>
      <c r="D232" s="63">
        <f t="shared" si="68"/>
        <v>12.471708</v>
      </c>
      <c r="E232" s="63" cm="1">
        <f t="array" ref="E232">$D$2*SUM( ( ($B$12:$B$20) * ($B$12:$B$20)* EXP($B$12:$B$20/B232) ) / ( B232*B232* ( EXP(( $B$12:$B$20)/B232 )  -1)^2 ) )</f>
        <v>33.016851112390171</v>
      </c>
      <c r="H232" s="56">
        <f t="shared" si="71"/>
        <v>900</v>
      </c>
      <c r="I232" s="63">
        <f t="shared" si="69"/>
        <v>2.9808097514340344</v>
      </c>
      <c r="J232" s="63">
        <f t="shared" si="69"/>
        <v>2.9808097514340344</v>
      </c>
      <c r="K232" s="63" cm="1">
        <f t="array" ref="K232">$D$2*SUM( ( ($B$12:$B$20) * ($B$12:$B$20)* EXP($B$12:$B$20/H232) ) / (H232*H232* ( EXP(( $B$12:$B$20)/H232 )  -1)^2 ) ) / 4.184</f>
        <v>7.8912168050645723</v>
      </c>
      <c r="M232" s="73" t="s">
        <v>7</v>
      </c>
      <c r="N232" s="80" t="s">
        <v>8</v>
      </c>
      <c r="O232" s="83"/>
    </row>
    <row r="233" spans="1:15" x14ac:dyDescent="0.3">
      <c r="B233" s="56">
        <f t="shared" si="70"/>
        <v>1000</v>
      </c>
      <c r="C233" s="63">
        <f t="shared" si="68"/>
        <v>12.471708</v>
      </c>
      <c r="D233" s="63">
        <f t="shared" si="68"/>
        <v>12.471708</v>
      </c>
      <c r="E233" s="63" cm="1">
        <f t="array" ref="E233">$D$2*SUM( ( ($B$12:$B$20) * ($B$12:$B$20)* EXP($B$12:$B$20/B233) ) / ( B233*B233* ( EXP(( $B$12:$B$20)/B233 )  -1)^2 ) )</f>
        <v>37.175670256191985</v>
      </c>
      <c r="H233" s="56">
        <f t="shared" si="71"/>
        <v>1000</v>
      </c>
      <c r="I233" s="63">
        <f t="shared" si="69"/>
        <v>2.9808097514340344</v>
      </c>
      <c r="J233" s="63">
        <f t="shared" si="69"/>
        <v>2.9808097514340344</v>
      </c>
      <c r="K233" s="63" cm="1">
        <f t="array" ref="K233">$D$2*SUM( ( ($B$12:$B$20) * ($B$12:$B$20)* EXP($B$12:$B$20/H233) ) / (H233*H233* ( EXP(( $B$12:$B$20)/H233 )  -1)^2 ) ) / 4.184</f>
        <v>8.885198435992347</v>
      </c>
      <c r="M233" s="73" t="s">
        <v>9</v>
      </c>
      <c r="N233" s="80">
        <v>2.9809999999999999</v>
      </c>
      <c r="O233" s="83"/>
    </row>
    <row r="234" spans="1:15" x14ac:dyDescent="0.3">
      <c r="B234" s="56">
        <f t="shared" si="70"/>
        <v>1100</v>
      </c>
      <c r="C234" s="63">
        <f t="shared" si="68"/>
        <v>12.471708</v>
      </c>
      <c r="D234" s="63">
        <f t="shared" si="68"/>
        <v>12.471708</v>
      </c>
      <c r="E234" s="63" cm="1">
        <f t="array" ref="E234">$D$2*SUM( ( ($B$12:$B$20) * ($B$12:$B$20)* EXP($B$12:$B$20/B234) ) / ( B234*B234* ( EXP(( $B$12:$B$20)/B234 )  -1)^2 ) )</f>
        <v>40.907195329620258</v>
      </c>
      <c r="H234" s="56">
        <f t="shared" si="71"/>
        <v>1100</v>
      </c>
      <c r="I234" s="63">
        <f t="shared" si="69"/>
        <v>2.9808097514340344</v>
      </c>
      <c r="J234" s="63">
        <f t="shared" si="69"/>
        <v>2.9808097514340344</v>
      </c>
      <c r="K234" s="63" cm="1">
        <f t="array" ref="K234">$D$2*SUM( ( ($B$12:$B$20) * ($B$12:$B$20)* EXP($B$12:$B$20/H234) ) / (H234*H234* ( EXP(( $B$12:$B$20)/H234 )  -1)^2 ) ) / 4.184</f>
        <v>9.7770543330832353</v>
      </c>
      <c r="M234" s="73" t="s">
        <v>10</v>
      </c>
      <c r="N234" s="80">
        <v>2.9809999999999999</v>
      </c>
      <c r="O234" s="83"/>
    </row>
    <row r="235" spans="1:15" ht="15" thickBot="1" x14ac:dyDescent="0.35">
      <c r="B235" s="56">
        <f t="shared" si="70"/>
        <v>1200</v>
      </c>
      <c r="C235" s="63">
        <f t="shared" si="68"/>
        <v>12.471708</v>
      </c>
      <c r="D235" s="63">
        <f t="shared" si="68"/>
        <v>12.471708</v>
      </c>
      <c r="E235" s="63" cm="1">
        <f t="array" ref="E235">$D$2*SUM( ( ($B$12:$B$20) * ($B$12:$B$20)* EXP($B$12:$B$20/B235) ) / ( B235*B235* ( EXP(( $B$12:$B$20)/B235 )  -1)^2 ) )</f>
        <v>44.233554008077235</v>
      </c>
      <c r="H235" s="56">
        <f t="shared" si="71"/>
        <v>1200</v>
      </c>
      <c r="I235" s="63">
        <f t="shared" si="69"/>
        <v>2.9808097514340344</v>
      </c>
      <c r="J235" s="63">
        <f t="shared" si="69"/>
        <v>2.9808097514340344</v>
      </c>
      <c r="K235" s="63" cm="1">
        <f t="array" ref="K235">$D$2*SUM( ( ($B$12:$B$20) * ($B$12:$B$20)* EXP($B$12:$B$20/H235) ) / (H235*H235* ( EXP(( $B$12:$B$20)/H235 )  -1)^2 ) ) / 4.184</f>
        <v>10.572073137685763</v>
      </c>
      <c r="M235" s="74" t="s">
        <v>11</v>
      </c>
      <c r="N235" s="82">
        <v>0.5</v>
      </c>
      <c r="O235" s="83"/>
    </row>
    <row r="236" spans="1:15" x14ac:dyDescent="0.3">
      <c r="B236" s="56">
        <f t="shared" si="70"/>
        <v>1300</v>
      </c>
      <c r="C236" s="63">
        <f t="shared" si="68"/>
        <v>12.471708</v>
      </c>
      <c r="D236" s="63">
        <f t="shared" si="68"/>
        <v>12.471708</v>
      </c>
      <c r="E236" s="63" cm="1">
        <f t="array" ref="E236">$D$2*SUM( ( ($B$12:$B$20) * ($B$12:$B$20)* EXP($B$12:$B$20/B236) ) / ( B236*B236* ( EXP(( $B$12:$B$20)/B236 )  -1)^2 ) )</f>
        <v>47.185574268735088</v>
      </c>
      <c r="H236" s="56">
        <f t="shared" si="71"/>
        <v>1300</v>
      </c>
      <c r="I236" s="63">
        <f t="shared" si="69"/>
        <v>2.9808097514340344</v>
      </c>
      <c r="J236" s="63">
        <f t="shared" si="69"/>
        <v>2.9808097514340344</v>
      </c>
      <c r="K236" s="63" cm="1">
        <f t="array" ref="K236">$D$2*SUM( ( ($B$12:$B$20) * ($B$12:$B$20)* EXP($B$12:$B$20/H236) ) / (H236*H236* ( EXP(( $B$12:$B$20)/H236 )  -1)^2 ) ) / 4.184</f>
        <v>11.277622913177602</v>
      </c>
      <c r="N236" s="83"/>
      <c r="O236" s="83"/>
    </row>
    <row r="237" spans="1:15" x14ac:dyDescent="0.3">
      <c r="B237" s="56">
        <f t="shared" si="70"/>
        <v>1400</v>
      </c>
      <c r="C237" s="63">
        <f t="shared" si="68"/>
        <v>12.471708</v>
      </c>
      <c r="D237" s="63">
        <f t="shared" si="68"/>
        <v>12.471708</v>
      </c>
      <c r="E237" s="63" cm="1">
        <f t="array" ref="E237">$D$2*SUM( ( ($B$12:$B$20) * ($B$12:$B$20)* EXP($B$12:$B$20/B237) ) / ( B237*B237* ( EXP(( $B$12:$B$20)/B237 )  -1)^2 ) )</f>
        <v>49.798555995901076</v>
      </c>
      <c r="H237" s="56">
        <f t="shared" si="71"/>
        <v>1400</v>
      </c>
      <c r="I237" s="63">
        <f t="shared" si="69"/>
        <v>2.9808097514340344</v>
      </c>
      <c r="J237" s="63">
        <f t="shared" si="69"/>
        <v>2.9808097514340344</v>
      </c>
      <c r="K237" s="63" cm="1">
        <f t="array" ref="K237">$D$2*SUM( ( ($B$12:$B$20) * ($B$12:$B$20)* EXP($B$12:$B$20/H237) ) / (H237*H237* ( EXP(( $B$12:$B$20)/H237 )  -1)^2 ) ) / 4.184</f>
        <v>11.902140534393181</v>
      </c>
    </row>
    <row r="238" spans="1:15" x14ac:dyDescent="0.3">
      <c r="B238" s="56">
        <f t="shared" si="70"/>
        <v>1500</v>
      </c>
      <c r="C238" s="63">
        <f t="shared" si="68"/>
        <v>12.471708</v>
      </c>
      <c r="D238" s="63">
        <f t="shared" si="68"/>
        <v>12.471708</v>
      </c>
      <c r="E238" s="63" cm="1">
        <f t="array" ref="E238">$D$2*SUM( ( ($B$12:$B$20) * ($B$12:$B$20)* EXP($B$12:$B$20/B238) ) / ( B238*B238* ( EXP(( $B$12:$B$20)/B238 )  -1)^2 ) )</f>
        <v>52.10888709469971</v>
      </c>
      <c r="H238" s="56">
        <f t="shared" si="71"/>
        <v>1500</v>
      </c>
      <c r="I238" s="63">
        <f t="shared" si="69"/>
        <v>2.9808097514340344</v>
      </c>
      <c r="J238" s="63">
        <f t="shared" si="69"/>
        <v>2.9808097514340344</v>
      </c>
      <c r="K238" s="63" cm="1">
        <f t="array" ref="K238">$D$2*SUM( ( ($B$12:$B$20) * ($B$12:$B$20)* EXP($B$12:$B$20/H238) ) / (H238*H238* ( EXP(( $B$12:$B$20)/H238 )  -1)^2 ) ) / 4.184</f>
        <v>12.454322919383296</v>
      </c>
    </row>
    <row r="239" spans="1:15" x14ac:dyDescent="0.3">
      <c r="B239" s="56">
        <f t="shared" si="70"/>
        <v>1600</v>
      </c>
      <c r="C239" s="63">
        <f t="shared" si="68"/>
        <v>12.471708</v>
      </c>
      <c r="D239" s="63">
        <f t="shared" si="68"/>
        <v>12.471708</v>
      </c>
      <c r="E239" s="63" cm="1">
        <f t="array" ref="E239">$D$2*SUM( ( ($B$12:$B$20) * ($B$12:$B$20)* EXP($B$12:$B$20/B239) ) / ( B239*B239* ( EXP(( $B$12:$B$20)/B239 )  -1)^2 ) )</f>
        <v>54.151756797291121</v>
      </c>
      <c r="H239" s="56">
        <f t="shared" si="71"/>
        <v>1600</v>
      </c>
      <c r="I239" s="63">
        <f t="shared" si="69"/>
        <v>2.9808097514340344</v>
      </c>
      <c r="J239" s="63">
        <f t="shared" si="69"/>
        <v>2.9808097514340344</v>
      </c>
      <c r="K239" s="63" cm="1">
        <f t="array" ref="K239">$D$2*SUM( ( ($B$12:$B$20) * ($B$12:$B$20)* EXP($B$12:$B$20/H239) ) / (H239*H239* ( EXP(( $B$12:$B$20)/H239 )  -1)^2 ) ) / 4.184</f>
        <v>12.942580496484492</v>
      </c>
      <c r="M239" s="2" t="s">
        <v>99</v>
      </c>
      <c r="N239" s="98">
        <f>SUM(I226:L226)</f>
        <v>6.4766946254240993</v>
      </c>
    </row>
    <row r="240" spans="1:15" x14ac:dyDescent="0.3">
      <c r="B240" s="56">
        <f t="shared" si="70"/>
        <v>1700</v>
      </c>
      <c r="C240" s="63">
        <f t="shared" si="68"/>
        <v>12.471708</v>
      </c>
      <c r="D240" s="63">
        <f t="shared" si="68"/>
        <v>12.471708</v>
      </c>
      <c r="E240" s="63" cm="1">
        <f t="array" ref="E240">$D$2*SUM( ( ($B$12:$B$20) * ($B$12:$B$20)* EXP($B$12:$B$20/B240) ) / ( B240*B240* ( EXP(( $B$12:$B$20)/B240 )  -1)^2 ) )</f>
        <v>55.959827553294531</v>
      </c>
      <c r="H240" s="56">
        <f t="shared" si="71"/>
        <v>1700</v>
      </c>
      <c r="I240" s="63">
        <f t="shared" si="69"/>
        <v>2.9808097514340344</v>
      </c>
      <c r="J240" s="63">
        <f t="shared" si="69"/>
        <v>2.9808097514340344</v>
      </c>
      <c r="K240" s="63" cm="1">
        <f t="array" ref="K240">$D$2*SUM( ( ($B$12:$B$20) * ($B$12:$B$20)* EXP($B$12:$B$20/H240) ) / (H240*H240* ( EXP(( $B$12:$B$20)/H240 )  -1)^2 ) ) / 4.184</f>
        <v>13.374719778512077</v>
      </c>
    </row>
    <row r="241" spans="1:12" x14ac:dyDescent="0.3">
      <c r="B241" s="56">
        <f t="shared" si="70"/>
        <v>1800</v>
      </c>
      <c r="C241" s="63">
        <f t="shared" si="68"/>
        <v>12.471708</v>
      </c>
      <c r="D241" s="63">
        <f t="shared" si="68"/>
        <v>12.471708</v>
      </c>
      <c r="E241" s="63" cm="1">
        <f t="array" ref="E241">$D$2*SUM( ( ($B$12:$B$20) * ($B$12:$B$20)* EXP($B$12:$B$20/B241) ) / ( B241*B241* ( EXP(( $B$12:$B$20)/B241 )  -1)^2 ) )</f>
        <v>57.562606950583245</v>
      </c>
      <c r="H241" s="56">
        <f t="shared" si="71"/>
        <v>1800</v>
      </c>
      <c r="I241" s="63">
        <f t="shared" si="69"/>
        <v>2.9808097514340344</v>
      </c>
      <c r="J241" s="63">
        <f t="shared" si="69"/>
        <v>2.9808097514340344</v>
      </c>
      <c r="K241" s="63" cm="1">
        <f t="array" ref="K241">$D$2*SUM( ( ($B$12:$B$20) * ($B$12:$B$20)* EXP($B$12:$B$20/H241) ) / (H241*H241* ( EXP(( $B$12:$B$20)/H241 )  -1)^2 ) ) / 4.184</f>
        <v>13.757793248227353</v>
      </c>
    </row>
    <row r="242" spans="1:12" x14ac:dyDescent="0.3">
      <c r="B242" s="56">
        <f t="shared" si="70"/>
        <v>1900</v>
      </c>
      <c r="C242" s="63">
        <f t="shared" si="68"/>
        <v>12.471708</v>
      </c>
      <c r="D242" s="63">
        <f t="shared" si="68"/>
        <v>12.471708</v>
      </c>
      <c r="E242" s="63" cm="1">
        <f t="array" ref="E242">$D$2*SUM( ( ($B$12:$B$20) * ($B$12:$B$20)* EXP($B$12:$B$20/B242) ) / ( B242*B242* ( EXP(( $B$12:$B$20)/B242 )  -1)^2 ) )</f>
        <v>58.986276068410397</v>
      </c>
      <c r="H242" s="56">
        <f t="shared" si="71"/>
        <v>1900</v>
      </c>
      <c r="I242" s="63">
        <f t="shared" si="69"/>
        <v>2.9808097514340344</v>
      </c>
      <c r="J242" s="63">
        <f t="shared" si="69"/>
        <v>2.9808097514340344</v>
      </c>
      <c r="K242" s="63" cm="1">
        <f t="array" ref="K242">$D$2*SUM( ( ($B$12:$B$20) * ($B$12:$B$20)* EXP($B$12:$B$20/H242) ) / (H242*H242* ( EXP(( $B$12:$B$20)/H242 )  -1)^2 ) ) / 4.184</f>
        <v>14.098058333750094</v>
      </c>
    </row>
    <row r="243" spans="1:12" x14ac:dyDescent="0.3">
      <c r="B243" s="56">
        <f t="shared" si="70"/>
        <v>2000</v>
      </c>
      <c r="C243" s="63">
        <f t="shared" si="68"/>
        <v>12.471708</v>
      </c>
      <c r="D243" s="63">
        <f t="shared" si="68"/>
        <v>12.471708</v>
      </c>
      <c r="E243" s="63" cm="1">
        <f t="array" ref="E243">$D$2*SUM( ( ($B$12:$B$20) * ($B$12:$B$20)* EXP($B$12:$B$20/B243) ) / ( B243*B243* ( EXP(( $B$12:$B$20)/B243 )  -1)^2 ) )</f>
        <v>60.253788340549107</v>
      </c>
      <c r="H243" s="56">
        <f t="shared" si="71"/>
        <v>2000</v>
      </c>
      <c r="I243" s="63">
        <f t="shared" si="69"/>
        <v>2.9808097514340344</v>
      </c>
      <c r="J243" s="63">
        <f t="shared" si="69"/>
        <v>2.9808097514340344</v>
      </c>
      <c r="K243" s="63" cm="1">
        <f t="array" ref="K243">$D$2*SUM( ( ($B$12:$B$20) * ($B$12:$B$20)* EXP($B$12:$B$20/H243) ) / (H243*H243* ( EXP(( $B$12:$B$20)/H243 )  -1)^2 ) ) / 4.184</f>
        <v>14.401001037416133</v>
      </c>
    </row>
    <row r="244" spans="1:12" ht="15" thickBot="1" x14ac:dyDescent="0.35">
      <c r="B244" s="31">
        <f t="shared" si="70"/>
        <v>2100</v>
      </c>
      <c r="C244" s="64">
        <f t="shared" si="68"/>
        <v>12.471708</v>
      </c>
      <c r="D244" s="64">
        <f t="shared" si="68"/>
        <v>12.471708</v>
      </c>
      <c r="E244" s="63" cm="1">
        <f t="array" ref="E244">$D$2*SUM( ( ($B$12:$B$20) * ($B$12:$B$20)* EXP($B$12:$B$20/B244) ) / ( B244*B244* ( EXP(( $B$12:$B$20)/B244 )  -1)^2 ) )</f>
        <v>61.385111774140846</v>
      </c>
      <c r="F244" s="3"/>
      <c r="H244" s="31">
        <f t="shared" si="71"/>
        <v>2100</v>
      </c>
      <c r="I244" s="64">
        <f t="shared" si="69"/>
        <v>2.9808097514340344</v>
      </c>
      <c r="J244" s="64">
        <f t="shared" si="69"/>
        <v>2.9808097514340344</v>
      </c>
      <c r="K244" s="64" cm="1">
        <f t="array" ref="K244">$D$2*SUM( ( ($B$12:$B$20) * ($B$12:$B$20)* EXP($B$12:$B$20/H244) ) / (H244*H244* ( EXP(( $B$12:$B$20)/H244 )  -1)^2 ) ) / 4.184</f>
        <v>14.671393827471521</v>
      </c>
      <c r="L244" s="3"/>
    </row>
    <row r="247" spans="1:12" ht="15" thickBot="1" x14ac:dyDescent="0.35">
      <c r="A247" s="2" t="s">
        <v>84</v>
      </c>
    </row>
    <row r="248" spans="1:12" ht="18" x14ac:dyDescent="0.3">
      <c r="A248" s="2" t="s">
        <v>85</v>
      </c>
      <c r="B248" s="58" t="s">
        <v>23</v>
      </c>
      <c r="C248" s="37" t="s">
        <v>73</v>
      </c>
      <c r="D248" s="37" t="s">
        <v>10</v>
      </c>
      <c r="E248" s="37" t="s">
        <v>11</v>
      </c>
      <c r="F248" s="37" t="s">
        <v>74</v>
      </c>
    </row>
    <row r="249" spans="1:12" ht="15" thickBot="1" x14ac:dyDescent="0.35">
      <c r="B249" s="56">
        <f>300</f>
        <v>300</v>
      </c>
      <c r="C249" s="63">
        <f xml:space="preserve"> -1 * $D$2 * LN( (($A$2 *B249) / $F$83 ) /$F$2 * EXP(1) * $G$2 )</f>
        <v>324.3338702372572</v>
      </c>
      <c r="D249" s="63">
        <f>$D$2 * B249*LN( (B249) / ($B$6 * $C$198))</f>
        <v>10984.96292714216</v>
      </c>
      <c r="E249" s="63" cm="1">
        <f t="array" ref="E249">$D$2*SUM( ( 0.5 * ($B$12:$B$20)  - B249 * LN( 1 - EXP( - ($B$12:$B$20) / B249 ) ) ) )</f>
        <v>117636.82993628929</v>
      </c>
      <c r="F249" s="64">
        <f>$F$2*$B$134 + 0.5*$D$2*SUM(B12:B29)</f>
        <v>-105942558.72077109</v>
      </c>
    </row>
    <row r="250" spans="1:12" x14ac:dyDescent="0.3">
      <c r="B250" s="56">
        <f>B249+100</f>
        <v>400</v>
      </c>
      <c r="C250" s="63">
        <f t="shared" ref="C250:C267" si="72" xml:space="preserve"> -1 * $D$2 * LN( (($A$2 *B250) / $F$83 ) /$F$2 * EXP(1) * $G$2 )</f>
        <v>321.94194570095488</v>
      </c>
      <c r="D250" s="63">
        <f t="shared" ref="D250:D267" si="73">$D$2 * B250*LN( (B250) / ($B$6 * $C$198))</f>
        <v>15603.387050710469</v>
      </c>
      <c r="E250" s="63" cm="1">
        <f t="array" ref="E250">$D$2*SUM( ( 0.5 * ($B$12:$B$20)  - B250 * LN( 1 - EXP( - ($B$12:$B$20) / B250 ) ) ) )</f>
        <v>117725.40179682529</v>
      </c>
    </row>
    <row r="251" spans="1:12" x14ac:dyDescent="0.3">
      <c r="B251" s="56">
        <f t="shared" ref="B251:B267" si="74">B250+100</f>
        <v>500</v>
      </c>
      <c r="C251" s="63">
        <f t="shared" si="72"/>
        <v>320.08662489157234</v>
      </c>
      <c r="D251" s="63">
        <f t="shared" si="73"/>
        <v>20431.894218079364</v>
      </c>
      <c r="E251" s="63" cm="1">
        <f t="array" ref="E251">$D$2*SUM( ( 0.5 * ($B$12:$B$20)  - B251 * LN( 1 - EXP( - ($B$12:$B$20) / B251 ) ) ) )</f>
        <v>117978.73956963618</v>
      </c>
    </row>
    <row r="252" spans="1:12" x14ac:dyDescent="0.3">
      <c r="B252" s="56">
        <f t="shared" si="74"/>
        <v>600</v>
      </c>
      <c r="C252" s="63">
        <f t="shared" si="72"/>
        <v>318.57071741261257</v>
      </c>
      <c r="D252" s="63">
        <f t="shared" si="73"/>
        <v>25427.817549071089</v>
      </c>
      <c r="E252" s="63" cm="1">
        <f t="array" ref="E252">$D$2*SUM( ( 0.5 * ($B$12:$B$20)  - B252 * LN( 1 - EXP( - ($B$12:$B$20) / B252 ) ) ) )</f>
        <v>118475.29493987294</v>
      </c>
    </row>
    <row r="253" spans="1:12" x14ac:dyDescent="0.3">
      <c r="B253" s="56">
        <f t="shared" si="74"/>
        <v>700</v>
      </c>
      <c r="C253" s="63">
        <f t="shared" si="72"/>
        <v>317.28903590140789</v>
      </c>
      <c r="D253" s="63">
        <f t="shared" si="73"/>
        <v>30562.964198426223</v>
      </c>
      <c r="E253" s="63" cm="1">
        <f t="array" ref="E253">$D$2*SUM( ( 0.5 * ($B$12:$B$20)  - B253 * LN( 1 - EXP( - ($B$12:$B$20) / B253 ) ) ) )</f>
        <v>119269.81202107879</v>
      </c>
    </row>
    <row r="254" spans="1:12" x14ac:dyDescent="0.3">
      <c r="B254" s="56">
        <f t="shared" si="74"/>
        <v>800</v>
      </c>
      <c r="C254" s="63">
        <f t="shared" si="72"/>
        <v>316.17879287631024</v>
      </c>
      <c r="D254" s="63">
        <f t="shared" si="73"/>
        <v>35817.296361136629</v>
      </c>
      <c r="E254" s="63" cm="1">
        <f t="array" ref="E254">$D$2*SUM( ( 0.5 * ($B$12:$B$20)  - B254 * LN( 1 - EXP( - ($B$12:$B$20) / B254 ) ) ) )</f>
        <v>120397.44272698785</v>
      </c>
    </row>
    <row r="255" spans="1:12" x14ac:dyDescent="0.3">
      <c r="B255" s="56">
        <f t="shared" si="74"/>
        <v>900</v>
      </c>
      <c r="C255" s="63">
        <f t="shared" si="72"/>
        <v>315.19948912427031</v>
      </c>
      <c r="D255" s="63">
        <f t="shared" si="73"/>
        <v>41175.831783114707</v>
      </c>
      <c r="E255" s="63" cm="1">
        <f t="array" ref="E255">$D$2*SUM( ( 0.5 * ($B$12:$B$20)  - B255 * LN( 1 - EXP( - ($B$12:$B$20) / B255 ) ) ) )</f>
        <v>121879.56096383849</v>
      </c>
    </row>
    <row r="256" spans="1:12" x14ac:dyDescent="0.3">
      <c r="B256" s="56">
        <f t="shared" si="74"/>
        <v>1000</v>
      </c>
      <c r="C256" s="63">
        <f t="shared" si="72"/>
        <v>314.32347206692771</v>
      </c>
      <c r="D256" s="63">
        <f t="shared" si="73"/>
        <v>46626.941260803338</v>
      </c>
      <c r="E256" s="63" cm="1">
        <f t="array" ref="E256">$D$2*SUM( ( 0.5 * ($B$12:$B$20)  - B256 * LN( 1 - EXP( - ($B$12:$B$20) / B256 ) ) ) )</f>
        <v>123727.97965528566</v>
      </c>
    </row>
    <row r="257" spans="1:12" x14ac:dyDescent="0.3">
      <c r="B257" s="56">
        <f t="shared" si="74"/>
        <v>1100</v>
      </c>
      <c r="C257" s="63">
        <f t="shared" si="72"/>
        <v>313.5310182456297</v>
      </c>
      <c r="D257" s="63">
        <f t="shared" si="73"/>
        <v>52161.334590311504</v>
      </c>
      <c r="E257" s="63" cm="1">
        <f t="array" ref="E257">$D$2*SUM( ( 0.5 * ($B$12:$B$20)  - B257 * LN( 1 - EXP( - ($B$12:$B$20) / B257 ) ) ) )</f>
        <v>125947.75918105859</v>
      </c>
    </row>
    <row r="258" spans="1:12" x14ac:dyDescent="0.3">
      <c r="B258" s="56">
        <f t="shared" si="74"/>
        <v>1200</v>
      </c>
      <c r="C258" s="63">
        <f t="shared" si="72"/>
        <v>312.80756458796799</v>
      </c>
      <c r="D258" s="63">
        <f t="shared" si="73"/>
        <v>57771.418487715709</v>
      </c>
      <c r="E258" s="63" cm="1">
        <f t="array" ref="E258">$D$2*SUM( ( 0.5 * ($B$12:$B$20)  - B258 * LN( 1 - EXP( - ($B$12:$B$20) / B258 ) ) ) )</f>
        <v>128539.14062705025</v>
      </c>
    </row>
    <row r="259" spans="1:12" x14ac:dyDescent="0.3">
      <c r="B259" s="56">
        <f t="shared" si="74"/>
        <v>1300</v>
      </c>
      <c r="C259" s="63">
        <f t="shared" si="72"/>
        <v>312.14205173621212</v>
      </c>
      <c r="D259" s="63">
        <f t="shared" si="73"/>
        <v>63450.870068974553</v>
      </c>
      <c r="E259" s="63" cm="1">
        <f t="array" ref="E259">$D$2*SUM( ( 0.5 * ($B$12:$B$20)  - B259 * LN( 1 - EXP( - ($B$12:$B$20) / B259 ) ) ) )</f>
        <v>131498.93806122182</v>
      </c>
    </row>
    <row r="260" spans="1:12" x14ac:dyDescent="0.3">
      <c r="B260" s="56">
        <f t="shared" si="74"/>
        <v>1400</v>
      </c>
      <c r="C260" s="63">
        <f t="shared" si="72"/>
        <v>311.52588307676325</v>
      </c>
      <c r="D260" s="63">
        <f t="shared" si="73"/>
        <v>69194.342351354906</v>
      </c>
      <c r="E260" s="63" cm="1">
        <f t="array" ref="E260">$D$2*SUM( ( 0.5 * ($B$12:$B$20)  - B260 * LN( 1 - EXP( - ($B$12:$B$20) / B260 ) ) ) )</f>
        <v>134821.56767638872</v>
      </c>
    </row>
    <row r="261" spans="1:12" x14ac:dyDescent="0.3">
      <c r="B261" s="56">
        <f t="shared" si="74"/>
        <v>1500</v>
      </c>
      <c r="C261" s="63">
        <f t="shared" si="72"/>
        <v>310.95224377858545</v>
      </c>
      <c r="D261" s="63">
        <f t="shared" si="73"/>
        <v>74997.254323718473</v>
      </c>
      <c r="E261" s="63" cm="1">
        <f t="array" ref="E261">$D$2*SUM( ( 0.5 * ($B$12:$B$20)  - B261 * LN( 1 - EXP( - ($B$12:$B$20) / B261 ) ) ) )</f>
        <v>138499.81442742978</v>
      </c>
    </row>
    <row r="262" spans="1:12" x14ac:dyDescent="0.3">
      <c r="B262" s="56">
        <f t="shared" si="74"/>
        <v>1600</v>
      </c>
      <c r="C262" s="63">
        <f t="shared" si="72"/>
        <v>310.41564005166572</v>
      </c>
      <c r="D262" s="63">
        <f t="shared" si="73"/>
        <v>80855.637241704622</v>
      </c>
      <c r="E262" s="63" cm="1">
        <f t="array" ref="E262">$D$2*SUM( ( 0.5 * ($B$12:$B$20)  - B262 * LN( 1 - EXP( - ($B$12:$B$20) / B262 ) ) ) )</f>
        <v>142525.40149965076</v>
      </c>
    </row>
    <row r="263" spans="1:12" x14ac:dyDescent="0.3">
      <c r="B263" s="56">
        <f t="shared" si="74"/>
        <v>1700</v>
      </c>
      <c r="C263" s="63">
        <f t="shared" si="72"/>
        <v>309.91157833106234</v>
      </c>
      <c r="D263" s="63">
        <f t="shared" si="73"/>
        <v>86766.019494336826</v>
      </c>
      <c r="E263" s="63" cm="1">
        <f t="array" ref="E263">$D$2*SUM( ( 0.5 * ($B$12:$B$20)  - B263 * LN( 1 - EXP( - ($B$12:$B$20) / B263 ) ) ) )</f>
        <v>146889.4099926514</v>
      </c>
    </row>
    <row r="264" spans="1:12" x14ac:dyDescent="0.3">
      <c r="B264" s="56">
        <f t="shared" si="74"/>
        <v>1800</v>
      </c>
      <c r="C264" s="63">
        <f t="shared" si="72"/>
        <v>309.43633629962568</v>
      </c>
      <c r="D264" s="63">
        <f t="shared" si="73"/>
        <v>92725.338650589707</v>
      </c>
      <c r="E264" s="63" cm="1">
        <f t="array" ref="E264">$D$2*SUM( ( 0.5 * ($B$12:$B$20)  - B264 * LN( 1 - EXP( - ($B$12:$B$20) / B264 ) ) ) )</f>
        <v>151582.58502312796</v>
      </c>
    </row>
    <row r="265" spans="1:12" x14ac:dyDescent="0.3">
      <c r="B265" s="56">
        <f t="shared" si="74"/>
        <v>1900</v>
      </c>
      <c r="C265" s="63">
        <f t="shared" si="72"/>
        <v>308.98679590225618</v>
      </c>
      <c r="D265" s="63">
        <f t="shared" si="73"/>
        <v>98730.873108402317</v>
      </c>
      <c r="E265" s="63" cm="1">
        <f t="array" ref="E265">$D$2*SUM( ( 0.5 * ($B$12:$B$20)  - B265 * LN( 1 - EXP( - ($B$12:$B$20) / B265 ) ) ) )</f>
        <v>156595.5562605655</v>
      </c>
    </row>
    <row r="266" spans="1:12" x14ac:dyDescent="0.3">
      <c r="B266" s="56">
        <f t="shared" si="74"/>
        <v>2000</v>
      </c>
      <c r="C266" s="63">
        <f t="shared" si="72"/>
        <v>308.56031924228307</v>
      </c>
      <c r="D266" s="63">
        <f t="shared" si="73"/>
        <v>104780.1881708959</v>
      </c>
      <c r="E266" s="63" cm="1">
        <f t="array" ref="E266">$D$2*SUM( ( 0.5 * ($B$12:$B$20)  - B266 * LN( 1 - EXP( - ($B$12:$B$20) / B266 ) ) ) )</f>
        <v>161918.99447874542</v>
      </c>
    </row>
    <row r="267" spans="1:12" ht="15" thickBot="1" x14ac:dyDescent="0.35">
      <c r="B267" s="31">
        <f t="shared" si="74"/>
        <v>2100</v>
      </c>
      <c r="C267" s="64">
        <f t="shared" si="72"/>
        <v>308.15465478842094</v>
      </c>
      <c r="D267" s="64">
        <f t="shared" si="73"/>
        <v>110871.09293255121</v>
      </c>
      <c r="E267" s="64" cm="1">
        <f t="array" ref="E267">$D$2*SUM( ( 0.5 * ($B$12:$B$20)  - B267 * LN( 1 - EXP( - ($B$12:$B$20) / B267 ) ) ) )</f>
        <v>167543.7205984412</v>
      </c>
      <c r="F267" s="3"/>
    </row>
    <row r="272" spans="1:12" ht="15" thickBot="1" x14ac:dyDescent="0.35">
      <c r="A272" s="2" t="s">
        <v>98</v>
      </c>
      <c r="B272" s="139" t="s">
        <v>96</v>
      </c>
      <c r="C272" s="139"/>
      <c r="D272" s="139"/>
      <c r="E272" s="139"/>
      <c r="F272" s="139"/>
      <c r="H272" s="139" t="s">
        <v>97</v>
      </c>
      <c r="I272" s="139"/>
      <c r="J272" s="139"/>
      <c r="K272" s="139"/>
      <c r="L272" s="139"/>
    </row>
    <row r="273" spans="1:12" ht="18" x14ac:dyDescent="0.3">
      <c r="A273" s="2" t="s">
        <v>77</v>
      </c>
      <c r="B273" s="58" t="s">
        <v>23</v>
      </c>
      <c r="C273" s="37" t="s">
        <v>73</v>
      </c>
      <c r="D273" s="37" t="s">
        <v>10</v>
      </c>
      <c r="E273" s="37" t="s">
        <v>11</v>
      </c>
      <c r="F273" s="37" t="s">
        <v>74</v>
      </c>
      <c r="H273" s="58" t="s">
        <v>23</v>
      </c>
      <c r="I273" s="96" t="s">
        <v>73</v>
      </c>
      <c r="J273" s="96" t="s">
        <v>10</v>
      </c>
      <c r="K273" s="96" t="s">
        <v>11</v>
      </c>
      <c r="L273" s="37" t="s">
        <v>74</v>
      </c>
    </row>
    <row r="274" spans="1:12" ht="15" thickBot="1" x14ac:dyDescent="0.35">
      <c r="B274" s="56">
        <f>300</f>
        <v>300</v>
      </c>
      <c r="C274" s="63">
        <f>3/2*$D$2 + $D$2</f>
        <v>20.786180000000002</v>
      </c>
      <c r="D274" s="63">
        <f>3/2*$D$2  + $D$2</f>
        <v>20.786180000000002</v>
      </c>
      <c r="E274" s="63" cm="1">
        <f t="array" ref="E274">$D$2*SUM( ( ($B$12:$B$20) * ($B$12:$B$20)* EXP($B$12:$B$20/B274) ) / ( B274*B274* ( EXP(( $B$12:$B$20)/B274 )  -1)^2 ) ) +   $D$2</f>
        <v>10.469546312774433</v>
      </c>
      <c r="F274" s="64" t="s">
        <v>81</v>
      </c>
      <c r="H274" s="56">
        <f>300</f>
        <v>300</v>
      </c>
      <c r="I274" s="86">
        <f>(3/2*$D$2  + $D$2)/ 4.184</f>
        <v>4.9680162523900577</v>
      </c>
      <c r="J274" s="86">
        <f>(3/2*$D$2 + $D$2) / 4.184</f>
        <v>4.9680162523900577</v>
      </c>
      <c r="K274" s="86" cm="1">
        <f t="array" ref="K274" xml:space="preserve"> ($D$2*SUM( ( ($B$12:$B$20) * ($B$12:$B$20)* EXP($B$12:$B$20/B274) ) / ( B274*B274* ( EXP(( $B$12:$B$20)/B274 )  -1)^2 ) ) +   $D$2 ) / 4.184</f>
        <v>2.5022816235120535</v>
      </c>
      <c r="L274" s="88" t="s">
        <v>81</v>
      </c>
    </row>
    <row r="275" spans="1:12" x14ac:dyDescent="0.3">
      <c r="B275" s="56">
        <f>B274+100</f>
        <v>400</v>
      </c>
      <c r="C275" s="63">
        <f t="shared" ref="C275:C292" si="75">3/2*$D$2 + $D$2</f>
        <v>20.786180000000002</v>
      </c>
      <c r="D275" s="63">
        <f t="shared" ref="D275:D292" si="76">3/2*$D$2  + $D$2</f>
        <v>20.786180000000002</v>
      </c>
      <c r="E275" s="63" cm="1">
        <f t="array" ref="E275">$D$2*SUM( ( ($B$12:$B$20) * ($B$12:$B$20)* EXP($B$12:$B$20/B275) ) / ( B275*B275* ( EXP(( $B$12:$B$20)/B275 )  -1)^2 ) ) +   $D$2</f>
        <v>14.963584547912619</v>
      </c>
      <c r="H275" s="56">
        <f>H274+100</f>
        <v>400</v>
      </c>
      <c r="I275" s="63">
        <f t="shared" ref="I275:I292" si="77">(3/2*$D$2  + $D$2)/ 4.184</f>
        <v>4.9680162523900577</v>
      </c>
      <c r="J275" s="63">
        <f t="shared" ref="J275:J292" si="78">(3/2*$D$2 + $D$2) / 4.184</f>
        <v>4.9680162523900577</v>
      </c>
      <c r="K275" s="63" cm="1">
        <f t="array" ref="K275" xml:space="preserve"> ($D$2*SUM( ( ($B$12:$B$20) * ($B$12:$B$20)* EXP($B$12:$B$20/B275) ) / ( B275*B275* ( EXP(( $B$12:$B$20)/B275)  -1)^2 ) ) +   $D$2 ) / 4.184</f>
        <v>3.5763825401320792</v>
      </c>
    </row>
    <row r="276" spans="1:12" x14ac:dyDescent="0.3">
      <c r="B276" s="56">
        <f t="shared" ref="B276:B292" si="79">B275+100</f>
        <v>500</v>
      </c>
      <c r="C276" s="63">
        <f t="shared" si="75"/>
        <v>20.786180000000002</v>
      </c>
      <c r="D276" s="63">
        <f t="shared" si="76"/>
        <v>20.786180000000002</v>
      </c>
      <c r="E276" s="63" cm="1">
        <f t="array" ref="E276">$D$2*SUM( ( ($B$12:$B$20) * ($B$12:$B$20)* EXP($B$12:$B$20/B276) ) / ( B276*B276* ( EXP(( $B$12:$B$20)/B276 )  -1)^2 ) ) +   $D$2</f>
        <v>20.581415077216946</v>
      </c>
      <c r="H276" s="56">
        <f t="shared" ref="H276:H292" si="80">H275+100</f>
        <v>500</v>
      </c>
      <c r="I276" s="63">
        <f t="shared" si="77"/>
        <v>4.9680162523900577</v>
      </c>
      <c r="J276" s="63">
        <f t="shared" si="78"/>
        <v>4.9680162523900577</v>
      </c>
      <c r="K276" s="63" cm="1">
        <f t="array" ref="K276" xml:space="preserve"> ($D$2*SUM( ( ($B$12:$B$20) * ($B$12:$B$20)* EXP($B$12:$B$20/B276) ) / ( B276*B276* ( EXP(( $B$12:$B$20)/B276)  -1)^2 ) ) +   $D$2 ) / 4.184</f>
        <v>4.9190762612851202</v>
      </c>
    </row>
    <row r="277" spans="1:12" x14ac:dyDescent="0.3">
      <c r="B277" s="56">
        <f t="shared" si="79"/>
        <v>600</v>
      </c>
      <c r="C277" s="63">
        <f t="shared" si="75"/>
        <v>20.786180000000002</v>
      </c>
      <c r="D277" s="63">
        <f t="shared" si="76"/>
        <v>20.786180000000002</v>
      </c>
      <c r="E277" s="63" cm="1">
        <f t="array" ref="E277">$D$2*SUM( ( ($B$12:$B$20) * ($B$12:$B$20)* EXP($B$12:$B$20/B277) ) / ( B277*B277* ( EXP(( $B$12:$B$20)/B277 )  -1)^2 ) ) +   $D$2</f>
        <v>26.290069178411812</v>
      </c>
      <c r="H277" s="56">
        <f t="shared" si="80"/>
        <v>600</v>
      </c>
      <c r="I277" s="63">
        <f t="shared" si="77"/>
        <v>4.9680162523900577</v>
      </c>
      <c r="J277" s="63">
        <f t="shared" si="78"/>
        <v>4.9680162523900577</v>
      </c>
      <c r="K277" s="63" cm="1">
        <f t="array" ref="K277" xml:space="preserve"> ($D$2*SUM( ( ($B$12:$B$20) * ($B$12:$B$20)* EXP($B$12:$B$20/B277) ) / ( B277*B277* ( EXP(( $B$12:$B$20)/B277)  -1)^2 ) ) +   $D$2 ) / 4.184</f>
        <v>6.2834773370965129</v>
      </c>
    </row>
    <row r="278" spans="1:12" x14ac:dyDescent="0.3">
      <c r="B278" s="56">
        <f t="shared" si="79"/>
        <v>700</v>
      </c>
      <c r="C278" s="63">
        <f t="shared" si="75"/>
        <v>20.786180000000002</v>
      </c>
      <c r="D278" s="63">
        <f t="shared" si="76"/>
        <v>20.786180000000002</v>
      </c>
      <c r="E278" s="63" cm="1">
        <f t="array" ref="E278">$D$2*SUM( ( ($B$12:$B$20) * ($B$12:$B$20)* EXP($B$12:$B$20/B278) ) / ( B278*B278* ( EXP(( $B$12:$B$20)/B278 )  -1)^2 ) ) +   $D$2</f>
        <v>31.711264972577318</v>
      </c>
      <c r="H278" s="56">
        <f t="shared" si="80"/>
        <v>700</v>
      </c>
      <c r="I278" s="63">
        <f t="shared" si="77"/>
        <v>4.9680162523900577</v>
      </c>
      <c r="J278" s="63">
        <f t="shared" si="78"/>
        <v>4.9680162523900577</v>
      </c>
      <c r="K278" s="63" cm="1">
        <f t="array" ref="K278" xml:space="preserve"> ($D$2*SUM( ( ($B$12:$B$20) * ($B$12:$B$20)* EXP($B$12:$B$20/B278) ) / ( B278*B278* ( EXP(( $B$12:$B$20)/B278)  -1)^2 ) ) +   $D$2 ) / 4.184</f>
        <v>7.5791742286274655</v>
      </c>
    </row>
    <row r="279" spans="1:12" x14ac:dyDescent="0.3">
      <c r="B279" s="56">
        <f t="shared" si="79"/>
        <v>800</v>
      </c>
      <c r="C279" s="63">
        <f t="shared" si="75"/>
        <v>20.786180000000002</v>
      </c>
      <c r="D279" s="63">
        <f t="shared" si="76"/>
        <v>20.786180000000002</v>
      </c>
      <c r="E279" s="63" cm="1">
        <f t="array" ref="E279">$D$2*SUM( ( ($B$12:$B$20) * ($B$12:$B$20)* EXP($B$12:$B$20/B279) ) / ( B279*B279* ( EXP(( $B$12:$B$20)/B279 )  -1)^2 ) ) +   $D$2</f>
        <v>36.73596557406718</v>
      </c>
      <c r="H279" s="56">
        <f t="shared" si="80"/>
        <v>800</v>
      </c>
      <c r="I279" s="63">
        <f t="shared" si="77"/>
        <v>4.9680162523900577</v>
      </c>
      <c r="J279" s="63">
        <f t="shared" si="78"/>
        <v>4.9680162523900577</v>
      </c>
      <c r="K279" s="63" cm="1">
        <f t="array" ref="K279" xml:space="preserve"> ($D$2*SUM( ( ($B$12:$B$20) * ($B$12:$B$20)* EXP($B$12:$B$20/B279) ) / ( B279*B279* ( EXP(( $B$12:$B$20)/B279)  -1)^2 ) ) +   $D$2 ) / 4.184</f>
        <v>8.7801064947579306</v>
      </c>
    </row>
    <row r="280" spans="1:12" x14ac:dyDescent="0.3">
      <c r="B280" s="56">
        <f t="shared" si="79"/>
        <v>900</v>
      </c>
      <c r="C280" s="63">
        <f t="shared" si="75"/>
        <v>20.786180000000002</v>
      </c>
      <c r="D280" s="63">
        <f t="shared" si="76"/>
        <v>20.786180000000002</v>
      </c>
      <c r="E280" s="63" cm="1">
        <f t="array" ref="E280">$D$2*SUM( ( ($B$12:$B$20) * ($B$12:$B$20)* EXP($B$12:$B$20/B280) ) / ( B280*B280* ( EXP(( $B$12:$B$20)/B280 )  -1)^2 ) ) +   $D$2</f>
        <v>41.331323112390173</v>
      </c>
      <c r="H280" s="56">
        <f t="shared" si="80"/>
        <v>900</v>
      </c>
      <c r="I280" s="63">
        <f t="shared" si="77"/>
        <v>4.9680162523900577</v>
      </c>
      <c r="J280" s="63">
        <f t="shared" si="78"/>
        <v>4.9680162523900577</v>
      </c>
      <c r="K280" s="63" cm="1">
        <f t="array" ref="K280" xml:space="preserve"> ($D$2*SUM( ( ($B$12:$B$20) * ($B$12:$B$20)* EXP($B$12:$B$20/B280) ) / ( B280*B280* ( EXP(( $B$12:$B$20)/B280)  -1)^2 ) ) +   $D$2 ) / 4.184</f>
        <v>9.8784233060205953</v>
      </c>
    </row>
    <row r="281" spans="1:12" x14ac:dyDescent="0.3">
      <c r="B281" s="56">
        <f t="shared" si="79"/>
        <v>1000</v>
      </c>
      <c r="C281" s="63">
        <f t="shared" si="75"/>
        <v>20.786180000000002</v>
      </c>
      <c r="D281" s="63">
        <f t="shared" si="76"/>
        <v>20.786180000000002</v>
      </c>
      <c r="E281" s="63" cm="1">
        <f t="array" ref="E281">$D$2*SUM( ( ($B$12:$B$20) * ($B$12:$B$20)* EXP($B$12:$B$20/B281) ) / ( B281*B281* ( EXP(( $B$12:$B$20)/B281 )  -1)^2 ) ) +   $D$2</f>
        <v>45.490142256191987</v>
      </c>
      <c r="H281" s="56">
        <f t="shared" si="80"/>
        <v>1000</v>
      </c>
      <c r="I281" s="63">
        <f t="shared" si="77"/>
        <v>4.9680162523900577</v>
      </c>
      <c r="J281" s="63">
        <f t="shared" si="78"/>
        <v>4.9680162523900577</v>
      </c>
      <c r="K281" s="63" cm="1">
        <f t="array" ref="K281" xml:space="preserve"> ($D$2*SUM( ( ($B$12:$B$20) * ($B$12:$B$20)* EXP($B$12:$B$20/B281) ) / ( B281*B281* ( EXP(( $B$12:$B$20)/B281)  -1)^2 ) ) +   $D$2 ) / 4.184</f>
        <v>10.872404936948371</v>
      </c>
    </row>
    <row r="282" spans="1:12" x14ac:dyDescent="0.3">
      <c r="B282" s="56">
        <f t="shared" si="79"/>
        <v>1100</v>
      </c>
      <c r="C282" s="63">
        <f t="shared" si="75"/>
        <v>20.786180000000002</v>
      </c>
      <c r="D282" s="63">
        <f t="shared" si="76"/>
        <v>20.786180000000002</v>
      </c>
      <c r="E282" s="63" cm="1">
        <f t="array" ref="E282">$D$2*SUM( ( ($B$12:$B$20) * ($B$12:$B$20)* EXP($B$12:$B$20/B282) ) / ( B282*B282* ( EXP(( $B$12:$B$20)/B282 )  -1)^2 ) ) +   $D$2</f>
        <v>49.22166732962026</v>
      </c>
      <c r="H282" s="56">
        <f t="shared" si="80"/>
        <v>1100</v>
      </c>
      <c r="I282" s="63">
        <f t="shared" si="77"/>
        <v>4.9680162523900577</v>
      </c>
      <c r="J282" s="63">
        <f t="shared" si="78"/>
        <v>4.9680162523900577</v>
      </c>
      <c r="K282" s="63" cm="1">
        <f t="array" ref="K282" xml:space="preserve"> ($D$2*SUM( ( ($B$12:$B$20) * ($B$12:$B$20)* EXP($B$12:$B$20/B282) ) / ( B282*B282* ( EXP(( $B$12:$B$20)/B282)  -1)^2 ) ) +   $D$2 ) / 4.184</f>
        <v>11.764260834039259</v>
      </c>
    </row>
    <row r="283" spans="1:12" x14ac:dyDescent="0.3">
      <c r="B283" s="56">
        <f t="shared" si="79"/>
        <v>1200</v>
      </c>
      <c r="C283" s="63">
        <f t="shared" si="75"/>
        <v>20.786180000000002</v>
      </c>
      <c r="D283" s="63">
        <f t="shared" si="76"/>
        <v>20.786180000000002</v>
      </c>
      <c r="E283" s="63" cm="1">
        <f t="array" ref="E283">$D$2*SUM( ( ($B$12:$B$20) * ($B$12:$B$20)* EXP($B$12:$B$20/B283) ) / ( B283*B283* ( EXP(( $B$12:$B$20)/B283 )  -1)^2 ) ) +   $D$2</f>
        <v>52.548026008077237</v>
      </c>
      <c r="H283" s="56">
        <f t="shared" si="80"/>
        <v>1200</v>
      </c>
      <c r="I283" s="63">
        <f t="shared" si="77"/>
        <v>4.9680162523900577</v>
      </c>
      <c r="J283" s="63">
        <f t="shared" si="78"/>
        <v>4.9680162523900577</v>
      </c>
      <c r="K283" s="63" cm="1">
        <f t="array" ref="K283" xml:space="preserve"> ($D$2*SUM( ( ($B$12:$B$20) * ($B$12:$B$20)* EXP($B$12:$B$20/B283) ) / ( B283*B283* ( EXP(( $B$12:$B$20)/B283)  -1)^2 ) ) +   $D$2 ) / 4.184</f>
        <v>12.559279638641787</v>
      </c>
    </row>
    <row r="284" spans="1:12" x14ac:dyDescent="0.3">
      <c r="B284" s="56">
        <f t="shared" si="79"/>
        <v>1300</v>
      </c>
      <c r="C284" s="63">
        <f t="shared" si="75"/>
        <v>20.786180000000002</v>
      </c>
      <c r="D284" s="63">
        <f t="shared" si="76"/>
        <v>20.786180000000002</v>
      </c>
      <c r="E284" s="63" cm="1">
        <f t="array" ref="E284">$D$2*SUM( ( ($B$12:$B$20) * ($B$12:$B$20)* EXP($B$12:$B$20/B284) ) / ( B284*B284* ( EXP(( $B$12:$B$20)/B284 )  -1)^2 ) ) +   $D$2</f>
        <v>55.50004626873509</v>
      </c>
      <c r="H284" s="56">
        <f t="shared" si="80"/>
        <v>1300</v>
      </c>
      <c r="I284" s="63">
        <f t="shared" si="77"/>
        <v>4.9680162523900577</v>
      </c>
      <c r="J284" s="63">
        <f t="shared" si="78"/>
        <v>4.9680162523900577</v>
      </c>
      <c r="K284" s="63" cm="1">
        <f t="array" ref="K284" xml:space="preserve"> ($D$2*SUM( ( ($B$12:$B$20) * ($B$12:$B$20)* EXP($B$12:$B$20/B284) ) / ( B284*B284* ( EXP(( $B$12:$B$20)/B284)  -1)^2 ) ) +   $D$2 ) / 4.184</f>
        <v>13.264829414133626</v>
      </c>
    </row>
    <row r="285" spans="1:12" x14ac:dyDescent="0.3">
      <c r="B285" s="56">
        <f t="shared" si="79"/>
        <v>1400</v>
      </c>
      <c r="C285" s="63">
        <f t="shared" si="75"/>
        <v>20.786180000000002</v>
      </c>
      <c r="D285" s="63">
        <f t="shared" si="76"/>
        <v>20.786180000000002</v>
      </c>
      <c r="E285" s="63" cm="1">
        <f t="array" ref="E285">$D$2*SUM( ( ($B$12:$B$20) * ($B$12:$B$20)* EXP($B$12:$B$20/B285) ) / ( B285*B285* ( EXP(( $B$12:$B$20)/B285 )  -1)^2 ) ) +   $D$2</f>
        <v>58.113027995901078</v>
      </c>
      <c r="H285" s="56">
        <f t="shared" si="80"/>
        <v>1400</v>
      </c>
      <c r="I285" s="63">
        <f t="shared" si="77"/>
        <v>4.9680162523900577</v>
      </c>
      <c r="J285" s="63">
        <f t="shared" si="78"/>
        <v>4.9680162523900577</v>
      </c>
      <c r="K285" s="63" cm="1">
        <f t="array" ref="K285" xml:space="preserve"> ($D$2*SUM( ( ($B$12:$B$20) * ($B$12:$B$20)* EXP($B$12:$B$20/B285) ) / ( B285*B285* ( EXP(( $B$12:$B$20)/B285)  -1)^2 ) ) +   $D$2 ) / 4.184</f>
        <v>13.889347035349205</v>
      </c>
    </row>
    <row r="286" spans="1:12" x14ac:dyDescent="0.3">
      <c r="B286" s="56">
        <f t="shared" si="79"/>
        <v>1500</v>
      </c>
      <c r="C286" s="63">
        <f t="shared" si="75"/>
        <v>20.786180000000002</v>
      </c>
      <c r="D286" s="63">
        <f t="shared" si="76"/>
        <v>20.786180000000002</v>
      </c>
      <c r="E286" s="63" cm="1">
        <f t="array" ref="E286">$D$2*SUM( ( ($B$12:$B$20) * ($B$12:$B$20)* EXP($B$12:$B$20/B286) ) / ( B286*B286* ( EXP(( $B$12:$B$20)/B286 )  -1)^2 ) ) +   $D$2</f>
        <v>60.423359094699713</v>
      </c>
      <c r="H286" s="56">
        <f t="shared" si="80"/>
        <v>1500</v>
      </c>
      <c r="I286" s="63">
        <f t="shared" si="77"/>
        <v>4.9680162523900577</v>
      </c>
      <c r="J286" s="63">
        <f t="shared" si="78"/>
        <v>4.9680162523900577</v>
      </c>
      <c r="K286" s="63" cm="1">
        <f t="array" ref="K286" xml:space="preserve"> ($D$2*SUM( ( ($B$12:$B$20) * ($B$12:$B$20)* EXP($B$12:$B$20/B286) ) / ( B286*B286* ( EXP(( $B$12:$B$20)/B286)  -1)^2 ) ) +   $D$2 ) / 4.184</f>
        <v>14.441529420339318</v>
      </c>
    </row>
    <row r="287" spans="1:12" x14ac:dyDescent="0.3">
      <c r="B287" s="56">
        <f t="shared" si="79"/>
        <v>1600</v>
      </c>
      <c r="C287" s="63">
        <f t="shared" si="75"/>
        <v>20.786180000000002</v>
      </c>
      <c r="D287" s="63">
        <f t="shared" si="76"/>
        <v>20.786180000000002</v>
      </c>
      <c r="E287" s="63" cm="1">
        <f t="array" ref="E287">$D$2*SUM( ( ($B$12:$B$20) * ($B$12:$B$20)* EXP($B$12:$B$20/B287) ) / ( B287*B287* ( EXP(( $B$12:$B$20)/B287 )  -1)^2 ) ) +   $D$2</f>
        <v>62.466228797291123</v>
      </c>
      <c r="H287" s="56">
        <f t="shared" si="80"/>
        <v>1600</v>
      </c>
      <c r="I287" s="63">
        <f t="shared" si="77"/>
        <v>4.9680162523900577</v>
      </c>
      <c r="J287" s="63">
        <f t="shared" si="78"/>
        <v>4.9680162523900577</v>
      </c>
      <c r="K287" s="63" cm="1">
        <f t="array" ref="K287" xml:space="preserve"> ($D$2*SUM( ( ($B$12:$B$20) * ($B$12:$B$20)* EXP($B$12:$B$20/B287) ) / ( B287*B287* ( EXP(( $B$12:$B$20)/B287)  -1)^2 ) ) +   $D$2 ) / 4.184</f>
        <v>14.929786997440516</v>
      </c>
    </row>
    <row r="288" spans="1:12" x14ac:dyDescent="0.3">
      <c r="B288" s="56">
        <f t="shared" si="79"/>
        <v>1700</v>
      </c>
      <c r="C288" s="63">
        <f t="shared" si="75"/>
        <v>20.786180000000002</v>
      </c>
      <c r="D288" s="63">
        <f t="shared" si="76"/>
        <v>20.786180000000002</v>
      </c>
      <c r="E288" s="63" cm="1">
        <f t="array" ref="E288">$D$2*SUM( ( ($B$12:$B$20) * ($B$12:$B$20)* EXP($B$12:$B$20/B288) ) / ( B288*B288* ( EXP(( $B$12:$B$20)/B288 )  -1)^2 ) ) +   $D$2</f>
        <v>64.274299553294526</v>
      </c>
      <c r="H288" s="56">
        <f t="shared" si="80"/>
        <v>1700</v>
      </c>
      <c r="I288" s="63">
        <f t="shared" si="77"/>
        <v>4.9680162523900577</v>
      </c>
      <c r="J288" s="63">
        <f t="shared" si="78"/>
        <v>4.9680162523900577</v>
      </c>
      <c r="K288" s="63" cm="1">
        <f t="array" ref="K288" xml:space="preserve"> ($D$2*SUM( ( ($B$12:$B$20) * ($B$12:$B$20)* EXP($B$12:$B$20/B288) ) / ( B288*B288* ( EXP(( $B$12:$B$20)/B288)  -1)^2 ) ) +   $D$2 ) / 4.184</f>
        <v>15.361926279468099</v>
      </c>
    </row>
    <row r="289" spans="2:12" x14ac:dyDescent="0.3">
      <c r="B289" s="56">
        <f t="shared" si="79"/>
        <v>1800</v>
      </c>
      <c r="C289" s="63">
        <f t="shared" si="75"/>
        <v>20.786180000000002</v>
      </c>
      <c r="D289" s="63">
        <f t="shared" si="76"/>
        <v>20.786180000000002</v>
      </c>
      <c r="E289" s="63" cm="1">
        <f t="array" ref="E289">$D$2*SUM( ( ($B$12:$B$20) * ($B$12:$B$20)* EXP($B$12:$B$20/B289) ) / ( B289*B289* ( EXP(( $B$12:$B$20)/B289 )  -1)^2 ) ) +   $D$2</f>
        <v>65.87707895058324</v>
      </c>
      <c r="H289" s="56">
        <f t="shared" si="80"/>
        <v>1800</v>
      </c>
      <c r="I289" s="63">
        <f t="shared" si="77"/>
        <v>4.9680162523900577</v>
      </c>
      <c r="J289" s="63">
        <f t="shared" si="78"/>
        <v>4.9680162523900577</v>
      </c>
      <c r="K289" s="63" cm="1">
        <f t="array" ref="K289" xml:space="preserve"> ($D$2*SUM( ( ($B$12:$B$20) * ($B$12:$B$20)* EXP($B$12:$B$20/B289) ) / ( B289*B289* ( EXP(( $B$12:$B$20)/B289)  -1)^2 ) ) +   $D$2 ) / 4.184</f>
        <v>15.744999749183375</v>
      </c>
    </row>
    <row r="290" spans="2:12" x14ac:dyDescent="0.3">
      <c r="B290" s="56">
        <f t="shared" si="79"/>
        <v>1900</v>
      </c>
      <c r="C290" s="63">
        <f t="shared" si="75"/>
        <v>20.786180000000002</v>
      </c>
      <c r="D290" s="63">
        <f t="shared" si="76"/>
        <v>20.786180000000002</v>
      </c>
      <c r="E290" s="63" cm="1">
        <f t="array" ref="E290">$D$2*SUM( ( ($B$12:$B$20) * ($B$12:$B$20)* EXP($B$12:$B$20/B290) ) / ( B290*B290* ( EXP(( $B$12:$B$20)/B290 )  -1)^2 ) ) +   $D$2</f>
        <v>67.3007480684104</v>
      </c>
      <c r="H290" s="56">
        <f t="shared" si="80"/>
        <v>1900</v>
      </c>
      <c r="I290" s="63">
        <f t="shared" si="77"/>
        <v>4.9680162523900577</v>
      </c>
      <c r="J290" s="63">
        <f t="shared" si="78"/>
        <v>4.9680162523900577</v>
      </c>
      <c r="K290" s="63" cm="1">
        <f t="array" ref="K290" xml:space="preserve"> ($D$2*SUM( ( ($B$12:$B$20) * ($B$12:$B$20)* EXP($B$12:$B$20/B290) ) / ( B290*B290* ( EXP(( $B$12:$B$20)/B290)  -1)^2 ) ) +   $D$2 ) / 4.184</f>
        <v>16.085264834706116</v>
      </c>
    </row>
    <row r="291" spans="2:12" x14ac:dyDescent="0.3">
      <c r="B291" s="56">
        <f t="shared" si="79"/>
        <v>2000</v>
      </c>
      <c r="C291" s="63">
        <f t="shared" si="75"/>
        <v>20.786180000000002</v>
      </c>
      <c r="D291" s="63">
        <f t="shared" si="76"/>
        <v>20.786180000000002</v>
      </c>
      <c r="E291" s="63" cm="1">
        <f t="array" ref="E291">$D$2*SUM( ( ($B$12:$B$20) * ($B$12:$B$20)* EXP($B$12:$B$20/B291) ) / ( B291*B291* ( EXP(( $B$12:$B$20)/B291 )  -1)^2 ) ) +   $D$2</f>
        <v>68.568260340549102</v>
      </c>
      <c r="H291" s="56">
        <f t="shared" si="80"/>
        <v>2000</v>
      </c>
      <c r="I291" s="63">
        <f t="shared" si="77"/>
        <v>4.9680162523900577</v>
      </c>
      <c r="J291" s="63">
        <f t="shared" si="78"/>
        <v>4.9680162523900577</v>
      </c>
      <c r="K291" s="63" cm="1">
        <f t="array" ref="K291" xml:space="preserve"> ($D$2*SUM( ( ($B$12:$B$20) * ($B$12:$B$20)* EXP($B$12:$B$20/B291) ) / ( B291*B291* ( EXP(( $B$12:$B$20)/B291)  -1)^2 ) ) +   $D$2 ) / 4.184</f>
        <v>16.388207538372157</v>
      </c>
    </row>
    <row r="292" spans="2:12" ht="15" thickBot="1" x14ac:dyDescent="0.35">
      <c r="B292" s="31">
        <f t="shared" si="79"/>
        <v>2100</v>
      </c>
      <c r="C292" s="64">
        <f t="shared" si="75"/>
        <v>20.786180000000002</v>
      </c>
      <c r="D292" s="64">
        <f t="shared" si="76"/>
        <v>20.786180000000002</v>
      </c>
      <c r="E292" s="64" cm="1">
        <f t="array" ref="E292">$D$2*SUM( ( ($B$12:$B$20) * ($B$12:$B$20)* EXP($B$12:$B$20/B292) ) / ( B292*B292* ( EXP(( $B$12:$B$20)/B292 )  -1)^2 ) ) +   $D$2</f>
        <v>69.699583774140848</v>
      </c>
      <c r="F292" s="3"/>
      <c r="H292" s="31">
        <f t="shared" si="80"/>
        <v>2100</v>
      </c>
      <c r="I292" s="64">
        <f t="shared" si="77"/>
        <v>4.9680162523900577</v>
      </c>
      <c r="J292" s="64">
        <f t="shared" si="78"/>
        <v>4.9680162523900577</v>
      </c>
      <c r="K292" s="64" cm="1">
        <f t="array" ref="K292" xml:space="preserve"> ($D$2*SUM( ( ($B$12:$B$20) * ($B$12:$B$20)* EXP($B$12:$B$20/B292) ) / ( B292*B292* ( EXP(( $B$12:$B$20)/B292)  -1)^2 ) ) +   $D$2 ) / 4.184</f>
        <v>16.658600328427543</v>
      </c>
      <c r="L292" s="3"/>
    </row>
  </sheetData>
  <mergeCells count="14">
    <mergeCell ref="B200:F200"/>
    <mergeCell ref="H200:L200"/>
    <mergeCell ref="D52:W52"/>
    <mergeCell ref="B174:F174"/>
    <mergeCell ref="H174:K174"/>
    <mergeCell ref="M177:N177"/>
    <mergeCell ref="M178:N178"/>
    <mergeCell ref="M204:N204"/>
    <mergeCell ref="B224:F224"/>
    <mergeCell ref="H224:L224"/>
    <mergeCell ref="M205:N205"/>
    <mergeCell ref="B272:F272"/>
    <mergeCell ref="H272:L272"/>
    <mergeCell ref="M228:N22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3AAA0-65A9-4331-BC20-324E452B34FF}">
  <dimension ref="A1:W292"/>
  <sheetViews>
    <sheetView topLeftCell="B1" zoomScale="88" workbookViewId="0">
      <selection activeCell="B53" sqref="B53"/>
    </sheetView>
  </sheetViews>
  <sheetFormatPr defaultRowHeight="14.4" x14ac:dyDescent="0.3"/>
  <cols>
    <col min="1" max="1" width="29.88671875" style="2" bestFit="1" customWidth="1"/>
    <col min="2" max="2" width="16.5546875" style="2" bestFit="1" customWidth="1"/>
    <col min="3" max="3" width="14.6640625" style="2" bestFit="1" customWidth="1"/>
    <col min="4" max="4" width="29.88671875" style="2" bestFit="1" customWidth="1"/>
    <col min="5" max="5" width="14.6640625" style="2" bestFit="1" customWidth="1"/>
    <col min="6" max="6" width="19.44140625" style="2" bestFit="1" customWidth="1"/>
    <col min="7" max="7" width="16" style="2" bestFit="1" customWidth="1"/>
    <col min="8" max="8" width="19.21875" style="2" bestFit="1" customWidth="1"/>
    <col min="9" max="9" width="16.77734375" style="2" bestFit="1" customWidth="1"/>
    <col min="10" max="10" width="20.33203125" style="2" bestFit="1" customWidth="1"/>
    <col min="11" max="11" width="21.109375" style="2" bestFit="1" customWidth="1"/>
    <col min="12" max="12" width="15.21875" style="2" bestFit="1" customWidth="1"/>
    <col min="13" max="14" width="20.33203125" style="2" bestFit="1" customWidth="1"/>
    <col min="15" max="15" width="14.77734375" style="2" bestFit="1" customWidth="1"/>
    <col min="16" max="16" width="8.88671875" style="2"/>
    <col min="17" max="17" width="12.33203125" style="2" customWidth="1"/>
    <col min="18" max="18" width="12.77734375" style="2" bestFit="1" customWidth="1"/>
    <col min="19" max="19" width="16" style="2" bestFit="1" customWidth="1"/>
    <col min="20" max="16384" width="8.88671875" style="2"/>
  </cols>
  <sheetData>
    <row r="1" spans="1:21" x14ac:dyDescent="0.3">
      <c r="A1" s="65" t="s">
        <v>31</v>
      </c>
      <c r="B1" s="66" t="s">
        <v>0</v>
      </c>
      <c r="C1" s="67" t="s">
        <v>1</v>
      </c>
      <c r="D1" s="67" t="s">
        <v>2</v>
      </c>
      <c r="E1" s="67" t="s">
        <v>20</v>
      </c>
      <c r="F1" s="67" t="s">
        <v>32</v>
      </c>
      <c r="G1" s="67" t="s">
        <v>22</v>
      </c>
      <c r="H1" s="67" t="s">
        <v>33</v>
      </c>
      <c r="I1" s="67" t="s">
        <v>40</v>
      </c>
      <c r="J1" s="68" t="s">
        <v>44</v>
      </c>
    </row>
    <row r="2" spans="1:21" ht="15" thickBot="1" x14ac:dyDescent="0.35">
      <c r="A2" s="69">
        <v>1.3805999999999999E-23</v>
      </c>
      <c r="B2" s="70">
        <v>3.1415899999999999</v>
      </c>
      <c r="C2" s="70">
        <v>6.626068E-34</v>
      </c>
      <c r="D2" s="70">
        <v>8.3144720000000003</v>
      </c>
      <c r="E2" s="71">
        <f>45.9929*1.66E-27</f>
        <v>7.6348213999999992E-26</v>
      </c>
      <c r="F2" s="70">
        <v>6.0221407599999999E+23</v>
      </c>
      <c r="G2" s="70">
        <f>((2*$E$2*$B$2*$A$2*$H$2)/($C$2*$C$2))^1.5</f>
        <v>3.0161569301318779E+32</v>
      </c>
      <c r="H2" s="71">
        <f>298.15</f>
        <v>298.14999999999998</v>
      </c>
      <c r="I2" s="91">
        <v>29979300000</v>
      </c>
      <c r="J2" s="90">
        <v>101325</v>
      </c>
    </row>
    <row r="3" spans="1:21" ht="15" thickBot="1" x14ac:dyDescent="0.35"/>
    <row r="4" spans="1:21" ht="15" thickBot="1" x14ac:dyDescent="0.35">
      <c r="E4" s="12" t="s">
        <v>25</v>
      </c>
      <c r="F4" s="22" t="s">
        <v>26</v>
      </c>
      <c r="G4" s="13" t="s">
        <v>27</v>
      </c>
      <c r="I4" s="12" t="s">
        <v>34</v>
      </c>
      <c r="J4" s="22" t="s">
        <v>35</v>
      </c>
      <c r="K4" s="22" t="s">
        <v>36</v>
      </c>
      <c r="L4" s="50" t="s">
        <v>37</v>
      </c>
    </row>
    <row r="5" spans="1:21" ht="16.8" thickBot="1" x14ac:dyDescent="0.35">
      <c r="B5" s="30" t="s">
        <v>29</v>
      </c>
      <c r="D5" s="37" t="s">
        <v>57</v>
      </c>
      <c r="E5" s="18">
        <v>7.6520599999999996</v>
      </c>
      <c r="F5" s="21">
        <v>139.85213999999999</v>
      </c>
      <c r="G5" s="19">
        <v>147.50421</v>
      </c>
      <c r="I5" s="51">
        <v>8.7799999999999996E-3</v>
      </c>
      <c r="J5" s="52">
        <f>I5*627.509474</f>
        <v>5.5095331817199993</v>
      </c>
      <c r="K5" s="52">
        <f>I5*4.35974E-18</f>
        <v>3.8278517199999996E-20</v>
      </c>
      <c r="L5" s="53">
        <f>(2*K5)/(C2)</f>
        <v>115539161988678.64</v>
      </c>
    </row>
    <row r="6" spans="1:21" ht="16.8" thickBot="1" x14ac:dyDescent="0.35">
      <c r="A6" s="7" t="s">
        <v>28</v>
      </c>
      <c r="B6" s="31">
        <v>2</v>
      </c>
      <c r="D6" s="31" t="s">
        <v>58</v>
      </c>
      <c r="E6" s="16">
        <f>E5*1.66E-47</f>
        <v>1.27024196E-46</v>
      </c>
      <c r="F6" s="23">
        <f t="shared" ref="F6:G6" si="0">F5*1.66E-47</f>
        <v>2.3215455239999998E-45</v>
      </c>
      <c r="G6" s="17">
        <f t="shared" si="0"/>
        <v>2.4485698859999998E-45</v>
      </c>
      <c r="U6" s="5"/>
    </row>
    <row r="7" spans="1:21" ht="15" thickBot="1" x14ac:dyDescent="0.35">
      <c r="U7" s="5"/>
    </row>
    <row r="8" spans="1:21" ht="15" thickBot="1" x14ac:dyDescent="0.35">
      <c r="A8" s="2" t="s">
        <v>100</v>
      </c>
      <c r="D8" s="7" t="s">
        <v>24</v>
      </c>
      <c r="E8" s="113">
        <v>23585028</v>
      </c>
      <c r="F8" s="21">
        <v>12.904640000000001</v>
      </c>
      <c r="G8" s="19">
        <v>12.23518</v>
      </c>
      <c r="U8" s="5"/>
    </row>
    <row r="9" spans="1:21" ht="15" thickBot="1" x14ac:dyDescent="0.35">
      <c r="E9" s="16">
        <f>E8*1000000000</f>
        <v>2.3585028E+16</v>
      </c>
      <c r="F9" s="9">
        <f>F8*1000000000</f>
        <v>12904640000</v>
      </c>
      <c r="G9" s="10">
        <f>G8*1000000000</f>
        <v>12235180000</v>
      </c>
    </row>
    <row r="10" spans="1:21" ht="15" customHeight="1" thickBot="1" x14ac:dyDescent="0.35"/>
    <row r="11" spans="1:21" ht="15" customHeight="1" thickBot="1" x14ac:dyDescent="0.35">
      <c r="D11" s="32" t="s">
        <v>56</v>
      </c>
      <c r="E11" s="33">
        <v>11.31901</v>
      </c>
      <c r="F11" s="33">
        <v>0.61931999999999998</v>
      </c>
      <c r="G11" s="34">
        <v>0.58720000000000006</v>
      </c>
    </row>
    <row r="12" spans="1:21" ht="27" customHeight="1" x14ac:dyDescent="0.3">
      <c r="A12" s="35" t="s">
        <v>30</v>
      </c>
      <c r="B12" s="19">
        <v>1077.1600000000001</v>
      </c>
    </row>
    <row r="13" spans="1:21" ht="15" thickBot="1" x14ac:dyDescent="0.35">
      <c r="A13" s="14"/>
      <c r="B13" s="15">
        <v>2008.39</v>
      </c>
      <c r="S13" s="5"/>
      <c r="T13" s="5"/>
    </row>
    <row r="14" spans="1:21" ht="16.2" thickBot="1" x14ac:dyDescent="0.35">
      <c r="A14" s="16"/>
      <c r="B14" s="17">
        <v>2459.44</v>
      </c>
      <c r="D14" s="24" t="s">
        <v>50</v>
      </c>
      <c r="E14" s="72"/>
      <c r="F14" s="67" t="s">
        <v>21</v>
      </c>
      <c r="G14" s="67" t="s">
        <v>82</v>
      </c>
      <c r="H14" s="68" t="s">
        <v>3</v>
      </c>
      <c r="J14"/>
    </row>
    <row r="15" spans="1:21" x14ac:dyDescent="0.3">
      <c r="E15" s="73"/>
      <c r="F15" s="77" t="s">
        <v>4</v>
      </c>
      <c r="G15" s="77" t="s">
        <v>5</v>
      </c>
      <c r="H15" s="78" t="s">
        <v>5</v>
      </c>
    </row>
    <row r="16" spans="1:21" x14ac:dyDescent="0.3">
      <c r="E16" s="73" t="s">
        <v>6</v>
      </c>
      <c r="F16" s="79">
        <v>7.3520000000000003</v>
      </c>
      <c r="G16" s="79">
        <v>6.843</v>
      </c>
      <c r="H16" s="80">
        <v>57.375</v>
      </c>
    </row>
    <row r="17" spans="1:10" x14ac:dyDescent="0.3">
      <c r="E17" s="73" t="s">
        <v>7</v>
      </c>
      <c r="F17" s="79" t="s">
        <v>8</v>
      </c>
      <c r="G17" s="79" t="s">
        <v>8</v>
      </c>
      <c r="H17" s="80">
        <v>1.377</v>
      </c>
    </row>
    <row r="18" spans="1:10" x14ac:dyDescent="0.3">
      <c r="E18" s="73" t="s">
        <v>9</v>
      </c>
      <c r="F18" s="79">
        <v>0.88900000000000001</v>
      </c>
      <c r="G18" s="79">
        <v>2.9809999999999999</v>
      </c>
      <c r="H18" s="80">
        <v>37.402999999999999</v>
      </c>
    </row>
    <row r="19" spans="1:10" x14ac:dyDescent="0.3">
      <c r="E19" s="73" t="s">
        <v>10</v>
      </c>
      <c r="F19" s="79">
        <v>0.88900000000000001</v>
      </c>
      <c r="G19" s="79">
        <v>2.9809999999999999</v>
      </c>
      <c r="H19" s="80">
        <v>18.318000000000001</v>
      </c>
    </row>
    <row r="20" spans="1:10" ht="15" thickBot="1" x14ac:dyDescent="0.35">
      <c r="E20" s="74" t="s">
        <v>11</v>
      </c>
      <c r="F20" s="81">
        <v>5.5750000000000002</v>
      </c>
      <c r="G20" s="81">
        <v>0.88200000000000001</v>
      </c>
      <c r="H20" s="82">
        <v>0.27600000000000002</v>
      </c>
    </row>
    <row r="21" spans="1:10" ht="15" thickBot="1" x14ac:dyDescent="0.35">
      <c r="F21" s="83"/>
      <c r="G21" s="83"/>
      <c r="H21" s="83"/>
    </row>
    <row r="22" spans="1:10" x14ac:dyDescent="0.3">
      <c r="E22" s="72"/>
      <c r="F22" s="68" t="s">
        <v>13</v>
      </c>
    </row>
    <row r="23" spans="1:10" x14ac:dyDescent="0.3">
      <c r="E23" s="73" t="s">
        <v>14</v>
      </c>
      <c r="F23" s="75">
        <v>5193260</v>
      </c>
      <c r="J23"/>
    </row>
    <row r="24" spans="1:10" x14ac:dyDescent="0.3">
      <c r="E24" s="73" t="s">
        <v>15</v>
      </c>
      <c r="F24" s="76">
        <v>56750500000</v>
      </c>
    </row>
    <row r="25" spans="1:10" x14ac:dyDescent="0.3">
      <c r="E25" s="73" t="s">
        <v>16</v>
      </c>
      <c r="F25" s="75">
        <v>9.4190299999999998E-5</v>
      </c>
    </row>
    <row r="26" spans="1:10" x14ac:dyDescent="0.3">
      <c r="E26" s="73" t="s">
        <v>18</v>
      </c>
      <c r="F26" s="75">
        <v>1.02921</v>
      </c>
      <c r="G26" s="2" t="s">
        <v>51</v>
      </c>
    </row>
    <row r="27" spans="1:10" x14ac:dyDescent="0.3">
      <c r="E27" s="73" t="s">
        <v>7</v>
      </c>
      <c r="F27" s="76">
        <v>2</v>
      </c>
      <c r="G27" s="4"/>
    </row>
    <row r="28" spans="1:10" x14ac:dyDescent="0.3">
      <c r="E28" s="73" t="s">
        <v>9</v>
      </c>
      <c r="F28" s="76">
        <v>12260000</v>
      </c>
      <c r="G28" s="4"/>
    </row>
    <row r="29" spans="1:10" ht="15" thickBot="1" x14ac:dyDescent="0.35">
      <c r="E29" s="74" t="s">
        <v>10</v>
      </c>
      <c r="F29" s="100">
        <v>2248.7600000000002</v>
      </c>
      <c r="G29" s="4"/>
    </row>
    <row r="30" spans="1:10" ht="15" thickBot="1" x14ac:dyDescent="0.35"/>
    <row r="31" spans="1:10" ht="16.2" x14ac:dyDescent="0.3">
      <c r="A31" s="18" t="s">
        <v>38</v>
      </c>
      <c r="B31" s="19" t="s">
        <v>39</v>
      </c>
      <c r="C31" s="54" t="s">
        <v>23</v>
      </c>
    </row>
    <row r="32" spans="1:10" x14ac:dyDescent="0.3">
      <c r="A32" s="14">
        <v>748.66679999999997</v>
      </c>
      <c r="B32" s="8">
        <f>A32*$I$2</f>
        <v>22444506597240</v>
      </c>
      <c r="C32" s="56">
        <f>300</f>
        <v>300</v>
      </c>
    </row>
    <row r="33" spans="1:3" x14ac:dyDescent="0.3">
      <c r="A33" s="14">
        <v>1395.8996999999999</v>
      </c>
      <c r="B33" s="8">
        <f t="shared" ref="B33:B34" si="1">A33*$I$2</f>
        <v>41848095876210</v>
      </c>
      <c r="C33" s="56">
        <f>C32+100</f>
        <v>400</v>
      </c>
    </row>
    <row r="34" spans="1:3" ht="15" thickBot="1" x14ac:dyDescent="0.35">
      <c r="A34" s="16">
        <v>1709.3972000000001</v>
      </c>
      <c r="B34" s="10">
        <f t="shared" si="1"/>
        <v>51246531477960</v>
      </c>
      <c r="C34" s="56">
        <f t="shared" ref="C34:C50" si="2">C33+100</f>
        <v>500</v>
      </c>
    </row>
    <row r="35" spans="1:3" x14ac:dyDescent="0.3">
      <c r="B35" s="3"/>
      <c r="C35" s="56">
        <f t="shared" si="2"/>
        <v>600</v>
      </c>
    </row>
    <row r="36" spans="1:3" x14ac:dyDescent="0.3">
      <c r="B36" s="3"/>
      <c r="C36" s="56">
        <f t="shared" si="2"/>
        <v>700</v>
      </c>
    </row>
    <row r="37" spans="1:3" x14ac:dyDescent="0.3">
      <c r="B37" s="3"/>
      <c r="C37" s="56">
        <f t="shared" si="2"/>
        <v>800</v>
      </c>
    </row>
    <row r="38" spans="1:3" x14ac:dyDescent="0.3">
      <c r="B38" s="3"/>
      <c r="C38" s="56">
        <f t="shared" si="2"/>
        <v>900</v>
      </c>
    </row>
    <row r="39" spans="1:3" x14ac:dyDescent="0.3">
      <c r="B39" s="3"/>
      <c r="C39" s="56">
        <f t="shared" si="2"/>
        <v>1000</v>
      </c>
    </row>
    <row r="40" spans="1:3" x14ac:dyDescent="0.3">
      <c r="B40" s="3"/>
      <c r="C40" s="56">
        <f t="shared" si="2"/>
        <v>1100</v>
      </c>
    </row>
    <row r="41" spans="1:3" x14ac:dyDescent="0.3">
      <c r="B41" s="3"/>
      <c r="C41" s="56">
        <f t="shared" si="2"/>
        <v>1200</v>
      </c>
    </row>
    <row r="42" spans="1:3" x14ac:dyDescent="0.3">
      <c r="B42" s="3"/>
      <c r="C42" s="56">
        <f t="shared" si="2"/>
        <v>1300</v>
      </c>
    </row>
    <row r="43" spans="1:3" x14ac:dyDescent="0.3">
      <c r="B43" s="3"/>
      <c r="C43" s="56">
        <f t="shared" si="2"/>
        <v>1400</v>
      </c>
    </row>
    <row r="44" spans="1:3" x14ac:dyDescent="0.3">
      <c r="B44" s="3"/>
      <c r="C44" s="56">
        <f t="shared" si="2"/>
        <v>1500</v>
      </c>
    </row>
    <row r="45" spans="1:3" x14ac:dyDescent="0.3">
      <c r="B45" s="3"/>
      <c r="C45" s="56">
        <f t="shared" si="2"/>
        <v>1600</v>
      </c>
    </row>
    <row r="46" spans="1:3" x14ac:dyDescent="0.3">
      <c r="B46" s="3"/>
      <c r="C46" s="56">
        <f t="shared" si="2"/>
        <v>1700</v>
      </c>
    </row>
    <row r="47" spans="1:3" x14ac:dyDescent="0.3">
      <c r="B47" s="3"/>
      <c r="C47" s="56">
        <f t="shared" si="2"/>
        <v>1800</v>
      </c>
    </row>
    <row r="48" spans="1:3" x14ac:dyDescent="0.3">
      <c r="B48" s="3"/>
      <c r="C48" s="56">
        <f t="shared" si="2"/>
        <v>1900</v>
      </c>
    </row>
    <row r="49" spans="1:23" x14ac:dyDescent="0.3">
      <c r="B49" s="3"/>
      <c r="C49" s="56">
        <f t="shared" si="2"/>
        <v>2000</v>
      </c>
    </row>
    <row r="50" spans="1:23" ht="15" thickBot="1" x14ac:dyDescent="0.35">
      <c r="C50" s="31">
        <f t="shared" si="2"/>
        <v>2100</v>
      </c>
    </row>
    <row r="51" spans="1:23" ht="15" thickBot="1" x14ac:dyDescent="0.35"/>
    <row r="52" spans="1:23" ht="19.8" thickBot="1" x14ac:dyDescent="0.35">
      <c r="D52" s="146" t="s">
        <v>41</v>
      </c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8"/>
    </row>
    <row r="53" spans="1:23" ht="15.6" x14ac:dyDescent="0.3">
      <c r="A53" s="12" t="s">
        <v>105</v>
      </c>
      <c r="B53" s="114">
        <f t="shared" ref="B53" si="3">(EXP((-$C$2*B32)/(2*$A$2*C32))/(1 - EXP((-$C$2*B32)/($A$2*C32))))</f>
        <v>0.17078095340151592</v>
      </c>
      <c r="D53" s="103" t="s">
        <v>52</v>
      </c>
      <c r="E53" s="41">
        <f>300</f>
        <v>300</v>
      </c>
      <c r="F53" s="41">
        <f t="shared" ref="F53:W53" si="4">E53+100</f>
        <v>400</v>
      </c>
      <c r="G53" s="41">
        <f t="shared" si="4"/>
        <v>500</v>
      </c>
      <c r="H53" s="41">
        <f t="shared" si="4"/>
        <v>600</v>
      </c>
      <c r="I53" s="41">
        <f t="shared" si="4"/>
        <v>700</v>
      </c>
      <c r="J53" s="41">
        <f t="shared" si="4"/>
        <v>800</v>
      </c>
      <c r="K53" s="41">
        <f t="shared" si="4"/>
        <v>900</v>
      </c>
      <c r="L53" s="41">
        <f t="shared" si="4"/>
        <v>1000</v>
      </c>
      <c r="M53" s="41">
        <f t="shared" si="4"/>
        <v>1100</v>
      </c>
      <c r="N53" s="41">
        <f t="shared" si="4"/>
        <v>1200</v>
      </c>
      <c r="O53" s="41">
        <f t="shared" si="4"/>
        <v>1300</v>
      </c>
      <c r="P53" s="41">
        <f t="shared" si="4"/>
        <v>1400</v>
      </c>
      <c r="Q53" s="41">
        <f t="shared" si="4"/>
        <v>1500</v>
      </c>
      <c r="R53" s="41">
        <f t="shared" si="4"/>
        <v>1600</v>
      </c>
      <c r="S53" s="41">
        <f t="shared" si="4"/>
        <v>1700</v>
      </c>
      <c r="T53" s="41">
        <f t="shared" si="4"/>
        <v>1800</v>
      </c>
      <c r="U53" s="41">
        <f t="shared" si="4"/>
        <v>1900</v>
      </c>
      <c r="V53" s="41">
        <f t="shared" si="4"/>
        <v>2000</v>
      </c>
      <c r="W53" s="104">
        <f t="shared" si="4"/>
        <v>2100</v>
      </c>
    </row>
    <row r="54" spans="1:23" x14ac:dyDescent="0.3">
      <c r="A54" s="14"/>
      <c r="B54" s="8">
        <f>(EXP((-$C$2*D55)/(2*$A$2*$E$53))/(1 - EXP((-$C$2*D55)/($A$2*$E$53))))</f>
        <v>3.5217947595798139E-2</v>
      </c>
      <c r="D54" s="105">
        <f t="shared" ref="D54:D56" si="5">A32*$I$2</f>
        <v>22444506597240</v>
      </c>
      <c r="E54" s="3">
        <f t="shared" ref="E54:E56" si="6">(EXP((-$C$2*D54)/(2*$A$2*$E$53))/(1 - EXP((-$C$2*D54)/($A$2*$E$53))))</f>
        <v>0.17078095340151592</v>
      </c>
      <c r="F54" s="3">
        <f t="shared" ref="F54:F56" si="7">(EXP((-$C$2*D54)/(2*$A$2*$F$53))/(1 - EXP((-$C$2*D54)/($A$2*$F$53))))</f>
        <v>0.27903178876445084</v>
      </c>
      <c r="G54" s="3">
        <f t="shared" ref="G54:G56" si="8">(EXP((-$C$2*D54)/(2*$A$2*$G$53))/(1 - EXP((-$C$2*D54)/($A$2*$G$53))))</f>
        <v>0.38522101477545245</v>
      </c>
      <c r="H54" s="3">
        <f t="shared" ref="H54:H56" si="9">(EXP((-$C$2*D54)/(2*$A$2*$H$53))/(1 - EXP((-$C$2*D54)/($A$2*$H$53))))</f>
        <v>0.4886721941586526</v>
      </c>
      <c r="I54" s="3">
        <f t="shared" ref="I54:I56" si="10">(EXP((-$C$2*D54)/(2*$A$2*$I$53))/(1 - EXP((-$C$2*D54)/($A$2*$I$53))))</f>
        <v>0.58987904361106536</v>
      </c>
      <c r="J54" s="3">
        <f t="shared" ref="J54:J56" si="11">(EXP((-$C$2*D54)/(2*$A$2*$J$53))/(1 - EXP((-$C$2*D54)/($A$2*$J$53))))</f>
        <v>0.68939018333381252</v>
      </c>
      <c r="K54" s="3">
        <f t="shared" ref="K54:K56" si="12">(EXP((-$C$2*D54)/(2*$A$2*$E$53))/(1 - EXP((-$C$2*D54)/($A$2*$E$53))))</f>
        <v>0.17078095340151592</v>
      </c>
      <c r="L54" s="3">
        <f t="shared" ref="L54:L56" si="13">(EXP((-$C$2*D54)/(2*$A$2*$L$53))/(1 - EXP((-$C$2*D54)/($A$2*$L$53))))</f>
        <v>0.88491940647657341</v>
      </c>
      <c r="M54" s="3">
        <f t="shared" ref="M54:M56" si="14">(EXP((-$C$2*D54)/(2*$A$2*$M$53))/(1 - EXP((-$C$2*D54)/($A$2*$M$53))))</f>
        <v>0.98147182687634626</v>
      </c>
      <c r="N54" s="3">
        <f t="shared" ref="N54:N56" si="15">(EXP((-$C$2*D54)/(2*$A$2*$N$53))/(1 - EXP((-$C$2*D54)/($A$2*$N$53))))</f>
        <v>1.0774526532677606</v>
      </c>
      <c r="O54" s="3">
        <f t="shared" ref="O54:O56" si="16">(EXP((-$C$2*D54)/(2*$A$2*$O$53))/(1 - EXP((-$C$2*D54)/($A$2*$O$53))))</f>
        <v>1.1729810403128076</v>
      </c>
      <c r="P54" s="3">
        <f t="shared" ref="P54:P56" si="17">(EXP((-$C$2*D54)/(2*$A$2*$P$53))/(1 - EXP((-$C$2*D54)/($A$2*$P$53))))</f>
        <v>1.2681460253846999</v>
      </c>
      <c r="Q54" s="3">
        <f t="shared" ref="Q54:Q56" si="18">(EXP((-$C$2*D54)/(2*$A$2*$Q$53))/(1 - EXP((-$C$2*D54)/($A$2*$Q$53))))</f>
        <v>1.3630152066675385</v>
      </c>
      <c r="R54" s="3">
        <f t="shared" ref="R54:R56" si="19">(EXP((-$C$2*D54)/(2*$A$2*$R$53))/(1 - EXP((-$C$2*D54)/($A$2*$R$53))))</f>
        <v>1.4576406851176125</v>
      </c>
      <c r="S54" s="3">
        <f t="shared" ref="S54:S56" si="20">(EXP((-$C$2*D54)/(2*$A$2*$S$53))/(1 - EXP((-$C$2*D54)/($A$2*$S$53))))</f>
        <v>1.5520631839298222</v>
      </c>
      <c r="T54" s="3">
        <f t="shared" ref="T54:T56" si="21">(EXP((-$C$2*D54)/(2*$A$2*$T$53))/(1 - EXP((-$C$2*D54)/($A$2*$T$53))))</f>
        <v>1.6463149464417208</v>
      </c>
      <c r="U54" s="3">
        <f t="shared" ref="U54:U56" si="22">(EXP((-$C$2*D54)/(2*$A$2*$U$53))/(1 - EXP((-$C$2*D54)/($A$2*$U$53))))</f>
        <v>1.7404218056240024</v>
      </c>
      <c r="V54" s="3">
        <f t="shared" ref="V54:V56" si="23">(EXP((-$C$2*D54)/(2*$A$2*$V$53))/(1 - EXP((-$C$2*D54)/($A$2*$V$53))))</f>
        <v>1.8344046839329333</v>
      </c>
      <c r="W54" s="8">
        <f t="shared" ref="W54:W56" si="24">(EXP((-$C$2*D54)/(2*$A$2*$W$53))/(1 - EXP((-$C$2*D54)/($A$2*$W$53))))</f>
        <v>1.9282806957511065</v>
      </c>
    </row>
    <row r="55" spans="1:23" ht="15" thickBot="1" x14ac:dyDescent="0.35">
      <c r="A55" s="16"/>
      <c r="B55" s="10">
        <f>(EXP((-$C$2*D56)/(2*$A$2*$E$53))/(1 - EXP((-$C$2*D56)/($A$2*$E$53))))</f>
        <v>1.6590167905686078E-2</v>
      </c>
      <c r="D55" s="105">
        <f t="shared" si="5"/>
        <v>41848095876210</v>
      </c>
      <c r="E55" s="3">
        <f>(EXP((-$C$2*D55)/(2*$A$2*$E$53))/(1 - EXP((-$C$2*D55)/($A$2*$E$53))))</f>
        <v>3.5217947595798139E-2</v>
      </c>
      <c r="F55" s="3">
        <f t="shared" si="7"/>
        <v>8.1760638772424718E-2</v>
      </c>
      <c r="G55" s="3">
        <f t="shared" si="8"/>
        <v>0.13665577664874798</v>
      </c>
      <c r="H55" s="3">
        <f t="shared" si="9"/>
        <v>0.1943857224307888</v>
      </c>
      <c r="I55" s="3">
        <f t="shared" si="10"/>
        <v>0.25253634458501473</v>
      </c>
      <c r="J55" s="3">
        <f t="shared" si="11"/>
        <v>0.3101872646232805</v>
      </c>
      <c r="K55" s="3">
        <f t="shared" si="12"/>
        <v>3.5217947595798139E-2</v>
      </c>
      <c r="L55" s="3">
        <f t="shared" si="13"/>
        <v>0.42310460094262731</v>
      </c>
      <c r="M55" s="3">
        <f t="shared" si="14"/>
        <v>0.47840311806388464</v>
      </c>
      <c r="N55" s="3">
        <f t="shared" si="15"/>
        <v>0.53303908965173563</v>
      </c>
      <c r="O55" s="3">
        <f t="shared" si="16"/>
        <v>0.58710338453564059</v>
      </c>
      <c r="P55" s="3">
        <f t="shared" si="17"/>
        <v>0.64067826971260233</v>
      </c>
      <c r="Q55" s="3">
        <f t="shared" si="18"/>
        <v>0.69383487565737756</v>
      </c>
      <c r="R55" s="3">
        <f t="shared" si="19"/>
        <v>0.74663343331929977</v>
      </c>
      <c r="S55" s="3">
        <f t="shared" si="20"/>
        <v>0.79912448925749535</v>
      </c>
      <c r="T55" s="3">
        <f t="shared" si="21"/>
        <v>0.85135034658023223</v>
      </c>
      <c r="U55" s="3">
        <f t="shared" si="22"/>
        <v>0.90334643344868559</v>
      </c>
      <c r="V55" s="3">
        <f t="shared" si="23"/>
        <v>0.95514249792316541</v>
      </c>
      <c r="W55" s="8">
        <f t="shared" si="24"/>
        <v>1.0067636110844655</v>
      </c>
    </row>
    <row r="56" spans="1:23" ht="15" thickBot="1" x14ac:dyDescent="0.35">
      <c r="B56" s="3"/>
      <c r="D56" s="106">
        <f t="shared" si="5"/>
        <v>51246531477960</v>
      </c>
      <c r="E56" s="9">
        <f t="shared" si="6"/>
        <v>1.6590167905686078E-2</v>
      </c>
      <c r="F56" s="9">
        <f t="shared" si="7"/>
        <v>4.6315580286425427E-2</v>
      </c>
      <c r="G56" s="9">
        <f t="shared" si="8"/>
        <v>8.6104007780799102E-2</v>
      </c>
      <c r="H56" s="9">
        <f t="shared" si="9"/>
        <v>0.13095711161083395</v>
      </c>
      <c r="I56" s="9">
        <f t="shared" si="10"/>
        <v>0.17789407718123723</v>
      </c>
      <c r="J56" s="9">
        <f t="shared" si="11"/>
        <v>0.2253977106496001</v>
      </c>
      <c r="K56" s="9">
        <f t="shared" si="12"/>
        <v>1.6590167905686078E-2</v>
      </c>
      <c r="L56" s="9">
        <f t="shared" si="13"/>
        <v>0.31968611693319987</v>
      </c>
      <c r="M56" s="9">
        <f t="shared" si="14"/>
        <v>0.36607333009840076</v>
      </c>
      <c r="N56" s="9">
        <f t="shared" si="15"/>
        <v>0.41191493114116445</v>
      </c>
      <c r="O56" s="9">
        <f t="shared" si="16"/>
        <v>0.45724339814513149</v>
      </c>
      <c r="P56" s="9">
        <f t="shared" si="17"/>
        <v>0.50210622078263045</v>
      </c>
      <c r="Q56" s="9">
        <f t="shared" si="18"/>
        <v>0.54655399516020908</v>
      </c>
      <c r="R56" s="9">
        <f t="shared" si="19"/>
        <v>0.59063505543435391</v>
      </c>
      <c r="S56" s="9">
        <f t="shared" si="20"/>
        <v>0.63439331512876118</v>
      </c>
      <c r="T56" s="9">
        <f t="shared" si="21"/>
        <v>0.67786765921749048</v>
      </c>
      <c r="U56" s="9">
        <f t="shared" si="22"/>
        <v>0.72109205670975285</v>
      </c>
      <c r="V56" s="9">
        <f t="shared" si="23"/>
        <v>0.76409597912681282</v>
      </c>
      <c r="W56" s="10">
        <f t="shared" si="24"/>
        <v>0.80690492054038432</v>
      </c>
    </row>
    <row r="57" spans="1:23" x14ac:dyDescent="0.3">
      <c r="B57" s="3"/>
      <c r="D57" s="10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3">
      <c r="B58" s="3"/>
      <c r="D58" s="10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3">
      <c r="B59" s="3"/>
      <c r="D59" s="10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3">
      <c r="B60" s="3"/>
      <c r="D60" s="10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3">
      <c r="B61" s="3"/>
      <c r="D61" s="10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">
      <c r="B62" s="3"/>
      <c r="D62" s="10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">
      <c r="B63" s="3"/>
      <c r="D63" s="10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">
      <c r="B64" s="3"/>
      <c r="D64" s="10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">
      <c r="B65" s="3"/>
      <c r="D65" s="10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">
      <c r="B66" s="3"/>
      <c r="D66" s="10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3">
      <c r="B67" s="3"/>
      <c r="D67" s="10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3">
      <c r="B68" s="3"/>
      <c r="D68" s="10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3">
      <c r="B69" s="3"/>
      <c r="D69" s="10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">
      <c r="B70" s="3"/>
      <c r="D70" s="10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" thickBot="1" x14ac:dyDescent="0.35">
      <c r="D71" s="10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">
      <c r="A72" s="18" t="s">
        <v>42</v>
      </c>
      <c r="B72" s="19">
        <f>COUNT(B53:B70)</f>
        <v>3</v>
      </c>
      <c r="D72" s="37" t="s">
        <v>102</v>
      </c>
    </row>
    <row r="73" spans="1:23" ht="21" thickBot="1" x14ac:dyDescent="0.35">
      <c r="A73" s="20" t="s">
        <v>43</v>
      </c>
      <c r="B73" s="118">
        <f>PRODUCT(E54:E56)</f>
        <v>9.9782471807688839E-5</v>
      </c>
      <c r="D73" s="119">
        <v>9.4190299999999998E-5</v>
      </c>
    </row>
    <row r="74" spans="1:23" x14ac:dyDescent="0.3">
      <c r="D74" s="120" t="s">
        <v>90</v>
      </c>
    </row>
    <row r="75" spans="1:23" ht="15" thickBot="1" x14ac:dyDescent="0.35">
      <c r="D75" s="121">
        <f>ABS(B73-D73)/D73</f>
        <v>5.937099475942683E-2</v>
      </c>
    </row>
    <row r="81" spans="2:10" ht="15" thickBot="1" x14ac:dyDescent="0.35"/>
    <row r="82" spans="2:10" ht="19.2" x14ac:dyDescent="0.3">
      <c r="D82" s="12" t="s">
        <v>23</v>
      </c>
      <c r="E82" s="39" t="s">
        <v>46</v>
      </c>
      <c r="F82" s="54" t="s">
        <v>44</v>
      </c>
    </row>
    <row r="83" spans="2:10" ht="18.600000000000001" thickBot="1" x14ac:dyDescent="0.35">
      <c r="B83" s="11"/>
      <c r="D83" s="14">
        <f>300</f>
        <v>300</v>
      </c>
      <c r="E83" s="8">
        <f xml:space="preserve"> ( (2*$B$2*$E$2*$A$2*D83)/($C$2*$C$2) )^(1.5) * ($A$2*D83) /$F$83</f>
        <v>12443888.382218968</v>
      </c>
      <c r="F83" s="31">
        <v>101325</v>
      </c>
      <c r="H83" s="2" t="s">
        <v>55</v>
      </c>
    </row>
    <row r="84" spans="2:10" ht="15" thickBot="1" x14ac:dyDescent="0.35">
      <c r="D84" s="14">
        <f>D83+100</f>
        <v>400</v>
      </c>
      <c r="E84" s="8">
        <f t="shared" ref="E84:E101" si="25" xml:space="preserve"> ( (2*$B$2*$E$2*$A$2*D84)/($C$2*$C$2) )^(1.5) * ($A$2*D84) /$F$83</f>
        <v>25544825.981297221</v>
      </c>
    </row>
    <row r="85" spans="2:10" ht="15" thickBot="1" x14ac:dyDescent="0.35">
      <c r="D85" s="14">
        <f t="shared" ref="D85:D101" si="26">D84+100</f>
        <v>500</v>
      </c>
      <c r="E85" s="8">
        <f t="shared" si="25"/>
        <v>44624974.505924121</v>
      </c>
      <c r="J85" s="37" t="s">
        <v>45</v>
      </c>
    </row>
    <row r="86" spans="2:10" x14ac:dyDescent="0.3">
      <c r="D86" s="14">
        <f t="shared" si="26"/>
        <v>600</v>
      </c>
      <c r="E86" s="8">
        <f t="shared" si="25"/>
        <v>70393262.875164419</v>
      </c>
      <c r="H86" s="40" t="s">
        <v>48</v>
      </c>
      <c r="I86" s="18" t="s">
        <v>47</v>
      </c>
      <c r="J86" s="42">
        <f xml:space="preserve"> ( (2*$B$2*$E$2*$A$2*298.15)/($C$2*$C$2) )^(1.5) * ($A$2*D83) /$F$83</f>
        <v>12328960.052524263</v>
      </c>
    </row>
    <row r="87" spans="2:10" ht="15" thickBot="1" x14ac:dyDescent="0.35">
      <c r="D87" s="14">
        <f t="shared" si="26"/>
        <v>700</v>
      </c>
      <c r="E87" s="8">
        <f t="shared" si="25"/>
        <v>103489924.52236694</v>
      </c>
      <c r="H87" s="41" t="s">
        <v>49</v>
      </c>
      <c r="I87" s="16" t="s">
        <v>47</v>
      </c>
      <c r="J87" s="43">
        <v>12260000</v>
      </c>
    </row>
    <row r="88" spans="2:10" x14ac:dyDescent="0.3">
      <c r="D88" s="14">
        <f t="shared" si="26"/>
        <v>800</v>
      </c>
      <c r="E88" s="8">
        <f t="shared" si="25"/>
        <v>144503357.40484291</v>
      </c>
      <c r="J88" s="1" t="s">
        <v>90</v>
      </c>
    </row>
    <row r="89" spans="2:10" x14ac:dyDescent="0.3">
      <c r="D89" s="14">
        <f t="shared" si="26"/>
        <v>900</v>
      </c>
      <c r="E89" s="8">
        <f t="shared" si="25"/>
        <v>193981022.29547608</v>
      </c>
      <c r="J89" s="85">
        <f>(J86-J87)/J87</f>
        <v>5.6248003690263487E-3</v>
      </c>
    </row>
    <row r="90" spans="2:10" x14ac:dyDescent="0.3">
      <c r="D90" s="14">
        <f t="shared" si="26"/>
        <v>1000</v>
      </c>
      <c r="E90" s="8">
        <f t="shared" si="25"/>
        <v>252436976.66732672</v>
      </c>
    </row>
    <row r="91" spans="2:10" x14ac:dyDescent="0.3">
      <c r="D91" s="14">
        <f t="shared" si="26"/>
        <v>1100</v>
      </c>
      <c r="E91" s="8">
        <f t="shared" si="25"/>
        <v>320357343.02815938</v>
      </c>
    </row>
    <row r="92" spans="2:10" x14ac:dyDescent="0.3">
      <c r="D92" s="14">
        <f t="shared" si="26"/>
        <v>1200</v>
      </c>
      <c r="E92" s="8">
        <f t="shared" si="25"/>
        <v>398204428.23100919</v>
      </c>
    </row>
    <row r="93" spans="2:10" x14ac:dyDescent="0.3">
      <c r="D93" s="14">
        <f t="shared" si="26"/>
        <v>1300</v>
      </c>
      <c r="E93" s="8">
        <f t="shared" si="25"/>
        <v>486419918.83827502</v>
      </c>
    </row>
    <row r="94" spans="2:10" x14ac:dyDescent="0.3">
      <c r="D94" s="14">
        <f t="shared" si="26"/>
        <v>1400</v>
      </c>
      <c r="E94" s="8">
        <f t="shared" si="25"/>
        <v>585427419.3139987</v>
      </c>
    </row>
    <row r="95" spans="2:10" x14ac:dyDescent="0.3">
      <c r="D95" s="14">
        <f t="shared" si="26"/>
        <v>1500</v>
      </c>
      <c r="E95" s="8">
        <f t="shared" si="25"/>
        <v>695634508.17653549</v>
      </c>
    </row>
    <row r="96" spans="2:10" x14ac:dyDescent="0.3">
      <c r="D96" s="14">
        <f t="shared" si="26"/>
        <v>1600</v>
      </c>
      <c r="E96" s="8">
        <f t="shared" si="25"/>
        <v>817434431.40150416</v>
      </c>
    </row>
    <row r="97" spans="1:10" x14ac:dyDescent="0.3">
      <c r="D97" s="14">
        <f t="shared" si="26"/>
        <v>1700</v>
      </c>
      <c r="E97" s="8">
        <f t="shared" si="25"/>
        <v>951207516.87109876</v>
      </c>
    </row>
    <row r="98" spans="1:10" x14ac:dyDescent="0.3">
      <c r="D98" s="14">
        <f t="shared" si="26"/>
        <v>1800</v>
      </c>
      <c r="E98" s="8">
        <f t="shared" si="25"/>
        <v>1097322370.2930276</v>
      </c>
    </row>
    <row r="99" spans="1:10" x14ac:dyDescent="0.3">
      <c r="D99" s="14">
        <f t="shared" si="26"/>
        <v>1900</v>
      </c>
      <c r="E99" s="8">
        <f t="shared" si="25"/>
        <v>1256136897.149781</v>
      </c>
    </row>
    <row r="100" spans="1:10" x14ac:dyDescent="0.3">
      <c r="D100" s="14">
        <f t="shared" si="26"/>
        <v>2000</v>
      </c>
      <c r="E100" s="8">
        <f t="shared" si="25"/>
        <v>1427999184.1895797</v>
      </c>
    </row>
    <row r="101" spans="1:10" ht="15" thickBot="1" x14ac:dyDescent="0.35">
      <c r="D101" s="16">
        <f t="shared" si="26"/>
        <v>2100</v>
      </c>
      <c r="E101" s="10">
        <f t="shared" si="25"/>
        <v>1613248266.0978649</v>
      </c>
    </row>
    <row r="104" spans="1:10" ht="15" thickBot="1" x14ac:dyDescent="0.35"/>
    <row r="105" spans="1:10" ht="19.2" x14ac:dyDescent="0.3">
      <c r="D105" s="12" t="s">
        <v>23</v>
      </c>
      <c r="E105" s="39" t="s">
        <v>54</v>
      </c>
    </row>
    <row r="106" spans="1:10" x14ac:dyDescent="0.3">
      <c r="D106" s="14">
        <f>300</f>
        <v>300</v>
      </c>
      <c r="E106" s="8">
        <f xml:space="preserve"> ( SQRT($B$2)/$B$6) * SQRT(  (D106*D106*D106) / ($E$11 * $F$11 * $G$11 ) )</f>
        <v>2269.7176848066474</v>
      </c>
    </row>
    <row r="107" spans="1:10" x14ac:dyDescent="0.3">
      <c r="D107" s="14">
        <f>D106+100</f>
        <v>400</v>
      </c>
      <c r="E107" s="8">
        <f t="shared" ref="E107:E124" si="27" xml:space="preserve"> ( SQRT($B$2)/$B$6) * SQRT(  (D107*D107*D107) / ($E$11 * $F$11 * $G$11 ) )</f>
        <v>3494.4589768201922</v>
      </c>
    </row>
    <row r="108" spans="1:10" x14ac:dyDescent="0.3">
      <c r="D108" s="14">
        <f t="shared" ref="D108:D124" si="28">D107+100</f>
        <v>500</v>
      </c>
      <c r="E108" s="8">
        <f t="shared" si="27"/>
        <v>4883.6548854714447</v>
      </c>
      <c r="H108" s="2" t="s">
        <v>55</v>
      </c>
    </row>
    <row r="109" spans="1:10" ht="15" thickBot="1" x14ac:dyDescent="0.35">
      <c r="D109" s="14">
        <f t="shared" si="28"/>
        <v>600</v>
      </c>
      <c r="E109" s="8">
        <f t="shared" si="27"/>
        <v>6419.7310652232454</v>
      </c>
    </row>
    <row r="110" spans="1:10" ht="18.600000000000001" thickBot="1" x14ac:dyDescent="0.35">
      <c r="A110" s="36"/>
      <c r="B110" s="11"/>
      <c r="D110" s="14">
        <f t="shared" si="28"/>
        <v>700</v>
      </c>
      <c r="E110" s="8">
        <f t="shared" si="27"/>
        <v>8089.7857419605207</v>
      </c>
      <c r="J110" s="37" t="s">
        <v>45</v>
      </c>
    </row>
    <row r="111" spans="1:10" x14ac:dyDescent="0.3">
      <c r="D111" s="14">
        <f t="shared" si="28"/>
        <v>800</v>
      </c>
      <c r="E111" s="8">
        <f t="shared" si="27"/>
        <v>9883.8225563510496</v>
      </c>
      <c r="H111" s="40" t="s">
        <v>48</v>
      </c>
      <c r="I111" s="18" t="s">
        <v>89</v>
      </c>
      <c r="J111" s="42">
        <f>E106</f>
        <v>2269.7176848066474</v>
      </c>
    </row>
    <row r="112" spans="1:10" ht="15" thickBot="1" x14ac:dyDescent="0.35">
      <c r="D112" s="14">
        <f t="shared" si="28"/>
        <v>900</v>
      </c>
      <c r="E112" s="8">
        <f t="shared" si="27"/>
        <v>11793.79904676815</v>
      </c>
      <c r="H112" s="41" t="s">
        <v>49</v>
      </c>
      <c r="I112" s="16" t="s">
        <v>89</v>
      </c>
      <c r="J112" s="43">
        <v>2248.7600000000002</v>
      </c>
    </row>
    <row r="113" spans="4:10" x14ac:dyDescent="0.3">
      <c r="D113" s="14">
        <f t="shared" si="28"/>
        <v>1000</v>
      </c>
      <c r="E113" s="8">
        <f t="shared" si="27"/>
        <v>13813.061945966683</v>
      </c>
      <c r="J113" s="1" t="s">
        <v>90</v>
      </c>
    </row>
    <row r="114" spans="4:10" x14ac:dyDescent="0.3">
      <c r="D114" s="14">
        <f t="shared" si="28"/>
        <v>1100</v>
      </c>
      <c r="E114" s="8">
        <f t="shared" si="27"/>
        <v>15935.987748177495</v>
      </c>
      <c r="J114" s="85">
        <f>(J111-J112)/J112</f>
        <v>9.3196627504256533E-3</v>
      </c>
    </row>
    <row r="115" spans="4:10" x14ac:dyDescent="0.3">
      <c r="D115" s="14">
        <f t="shared" si="28"/>
        <v>1200</v>
      </c>
      <c r="E115" s="8">
        <f t="shared" si="27"/>
        <v>18157.741478453179</v>
      </c>
    </row>
    <row r="116" spans="4:10" x14ac:dyDescent="0.3">
      <c r="D116" s="14">
        <f t="shared" si="28"/>
        <v>1300</v>
      </c>
      <c r="E116" s="8">
        <f t="shared" si="27"/>
        <v>20474.107909012277</v>
      </c>
      <c r="H116" s="57"/>
    </row>
    <row r="117" spans="4:10" x14ac:dyDescent="0.3">
      <c r="D117" s="14">
        <f t="shared" si="28"/>
        <v>1400</v>
      </c>
      <c r="E117" s="8">
        <f t="shared" si="27"/>
        <v>22881.369425946119</v>
      </c>
    </row>
    <row r="118" spans="4:10" x14ac:dyDescent="0.3">
      <c r="D118" s="14">
        <f t="shared" si="28"/>
        <v>1500</v>
      </c>
      <c r="E118" s="8">
        <f t="shared" si="27"/>
        <v>25376.215164805526</v>
      </c>
    </row>
    <row r="119" spans="4:10" x14ac:dyDescent="0.3">
      <c r="D119" s="14">
        <f t="shared" si="28"/>
        <v>1600</v>
      </c>
      <c r="E119" s="8">
        <f t="shared" si="27"/>
        <v>27955.671814561538</v>
      </c>
    </row>
    <row r="120" spans="4:10" x14ac:dyDescent="0.3">
      <c r="D120" s="14">
        <f t="shared" si="28"/>
        <v>1700</v>
      </c>
      <c r="E120" s="8">
        <f t="shared" si="27"/>
        <v>30617.049864862121</v>
      </c>
    </row>
    <row r="121" spans="4:10" x14ac:dyDescent="0.3">
      <c r="D121" s="14">
        <f t="shared" si="28"/>
        <v>1800</v>
      </c>
      <c r="E121" s="8">
        <f t="shared" si="27"/>
        <v>33357.901127684789</v>
      </c>
    </row>
    <row r="122" spans="4:10" x14ac:dyDescent="0.3">
      <c r="D122" s="14">
        <f t="shared" si="28"/>
        <v>1900</v>
      </c>
      <c r="E122" s="8">
        <f t="shared" si="27"/>
        <v>36175.984662980925</v>
      </c>
    </row>
    <row r="123" spans="4:10" x14ac:dyDescent="0.3">
      <c r="D123" s="14">
        <f t="shared" si="28"/>
        <v>2000</v>
      </c>
      <c r="E123" s="8">
        <f t="shared" si="27"/>
        <v>39069.239083771557</v>
      </c>
    </row>
    <row r="124" spans="4:10" ht="15" thickBot="1" x14ac:dyDescent="0.35">
      <c r="D124" s="16">
        <f t="shared" si="28"/>
        <v>2100</v>
      </c>
      <c r="E124" s="10">
        <f t="shared" si="27"/>
        <v>42035.759782265719</v>
      </c>
    </row>
    <row r="126" spans="4:10" ht="15" thickBot="1" x14ac:dyDescent="0.35"/>
    <row r="127" spans="4:10" ht="19.2" x14ac:dyDescent="0.3">
      <c r="D127" s="12" t="s">
        <v>23</v>
      </c>
      <c r="E127" s="13" t="s">
        <v>63</v>
      </c>
    </row>
    <row r="128" spans="4:10" ht="15.6" x14ac:dyDescent="0.3">
      <c r="D128" s="14">
        <f>300</f>
        <v>300</v>
      </c>
      <c r="E128" s="48">
        <f>$B$135*EXP($B$134/($A$2*D128) )</f>
        <v>0</v>
      </c>
      <c r="G128" s="2" t="s">
        <v>65</v>
      </c>
      <c r="H128" s="6">
        <f>$B$135*EXP($B$134/($A$2*298.15) )</f>
        <v>0</v>
      </c>
    </row>
    <row r="129" spans="1:7" ht="15.6" x14ac:dyDescent="0.2">
      <c r="A129" s="44"/>
      <c r="D129" s="14">
        <f>D128+100</f>
        <v>400</v>
      </c>
      <c r="E129" s="48">
        <f t="shared" ref="E129:E146" si="29">$B$135*EXP($B$134/($A$2*D129) )</f>
        <v>0</v>
      </c>
    </row>
    <row r="130" spans="1:7" ht="15.6" x14ac:dyDescent="0.3">
      <c r="D130" s="14">
        <f t="shared" ref="D130:D146" si="30">D129+100</f>
        <v>500</v>
      </c>
      <c r="E130" s="48">
        <f t="shared" si="29"/>
        <v>0</v>
      </c>
    </row>
    <row r="131" spans="1:7" ht="16.2" thickBot="1" x14ac:dyDescent="0.35">
      <c r="A131" s="45" t="s">
        <v>59</v>
      </c>
      <c r="B131" s="46">
        <v>-205.08388711200001</v>
      </c>
      <c r="D131" s="14">
        <f t="shared" si="30"/>
        <v>600</v>
      </c>
      <c r="E131" s="48">
        <f t="shared" si="29"/>
        <v>0</v>
      </c>
    </row>
    <row r="132" spans="1:7" ht="15.6" x14ac:dyDescent="0.3">
      <c r="A132" s="45" t="s">
        <v>60</v>
      </c>
      <c r="B132" s="47">
        <f>B131/(229400000000000000)</f>
        <v>-8.9400125157802977E-16</v>
      </c>
      <c r="D132" s="14">
        <f t="shared" si="30"/>
        <v>700</v>
      </c>
      <c r="E132" s="48">
        <f t="shared" si="29"/>
        <v>0</v>
      </c>
      <c r="G132" s="37" t="s">
        <v>102</v>
      </c>
    </row>
    <row r="133" spans="1:7" ht="16.2" thickBot="1" x14ac:dyDescent="0.35">
      <c r="A133" s="45" t="s">
        <v>61</v>
      </c>
      <c r="B133" s="45">
        <f>K5</f>
        <v>3.8278517199999996E-20</v>
      </c>
      <c r="D133" s="14">
        <f t="shared" si="30"/>
        <v>800</v>
      </c>
      <c r="E133" s="48">
        <f t="shared" si="29"/>
        <v>0</v>
      </c>
      <c r="G133" s="31" t="s">
        <v>103</v>
      </c>
    </row>
    <row r="134" spans="1:7" ht="19.2" x14ac:dyDescent="0.3">
      <c r="A134" s="45" t="s">
        <v>67</v>
      </c>
      <c r="B134" s="47">
        <f>B132+B133</f>
        <v>-8.9396297306082971E-16</v>
      </c>
      <c r="D134" s="14">
        <f t="shared" si="30"/>
        <v>900</v>
      </c>
      <c r="E134" s="48">
        <f t="shared" si="29"/>
        <v>0</v>
      </c>
    </row>
    <row r="135" spans="1:7" ht="19.2" x14ac:dyDescent="0.3">
      <c r="A135" s="45" t="s">
        <v>62</v>
      </c>
      <c r="B135" s="45">
        <v>2</v>
      </c>
      <c r="D135" s="14">
        <f t="shared" si="30"/>
        <v>1000</v>
      </c>
      <c r="E135" s="48">
        <f t="shared" si="29"/>
        <v>0</v>
      </c>
    </row>
    <row r="136" spans="1:7" ht="15.6" x14ac:dyDescent="0.3">
      <c r="A136" s="2" t="s">
        <v>66</v>
      </c>
      <c r="B136" s="3">
        <f>A2*D128</f>
        <v>4.1417999999999996E-21</v>
      </c>
      <c r="D136" s="14">
        <f t="shared" si="30"/>
        <v>1100</v>
      </c>
      <c r="E136" s="48">
        <f t="shared" si="29"/>
        <v>0</v>
      </c>
    </row>
    <row r="137" spans="1:7" ht="15.6" x14ac:dyDescent="0.3">
      <c r="D137" s="14">
        <f t="shared" si="30"/>
        <v>1200</v>
      </c>
      <c r="E137" s="48">
        <f t="shared" si="29"/>
        <v>0</v>
      </c>
    </row>
    <row r="138" spans="1:7" ht="15.6" x14ac:dyDescent="0.3">
      <c r="D138" s="14">
        <f t="shared" si="30"/>
        <v>1300</v>
      </c>
      <c r="E138" s="48">
        <f t="shared" si="29"/>
        <v>0</v>
      </c>
    </row>
    <row r="139" spans="1:7" ht="15.6" x14ac:dyDescent="0.3">
      <c r="D139" s="14">
        <f t="shared" si="30"/>
        <v>1400</v>
      </c>
      <c r="E139" s="48">
        <f t="shared" si="29"/>
        <v>0</v>
      </c>
    </row>
    <row r="140" spans="1:7" ht="15.6" x14ac:dyDescent="0.3">
      <c r="D140" s="14">
        <f t="shared" si="30"/>
        <v>1500</v>
      </c>
      <c r="E140" s="48">
        <f t="shared" si="29"/>
        <v>0</v>
      </c>
    </row>
    <row r="141" spans="1:7" ht="15.6" x14ac:dyDescent="0.3">
      <c r="D141" s="14">
        <f t="shared" si="30"/>
        <v>1600</v>
      </c>
      <c r="E141" s="48">
        <f t="shared" si="29"/>
        <v>0</v>
      </c>
    </row>
    <row r="142" spans="1:7" ht="15.6" x14ac:dyDescent="0.3">
      <c r="D142" s="14">
        <f t="shared" si="30"/>
        <v>1700</v>
      </c>
      <c r="E142" s="48">
        <f t="shared" si="29"/>
        <v>0</v>
      </c>
    </row>
    <row r="143" spans="1:7" ht="15.6" x14ac:dyDescent="0.3">
      <c r="D143" s="14">
        <f t="shared" si="30"/>
        <v>1800</v>
      </c>
      <c r="E143" s="48">
        <f t="shared" si="29"/>
        <v>0</v>
      </c>
    </row>
    <row r="144" spans="1:7" ht="15.6" x14ac:dyDescent="0.3">
      <c r="D144" s="14">
        <f t="shared" si="30"/>
        <v>1900</v>
      </c>
      <c r="E144" s="48">
        <f t="shared" si="29"/>
        <v>0</v>
      </c>
    </row>
    <row r="145" spans="4:13" ht="15.6" x14ac:dyDescent="0.3">
      <c r="D145" s="14">
        <f t="shared" si="30"/>
        <v>2000</v>
      </c>
      <c r="E145" s="48">
        <f t="shared" si="29"/>
        <v>0</v>
      </c>
    </row>
    <row r="146" spans="4:13" ht="16.2" thickBot="1" x14ac:dyDescent="0.35">
      <c r="D146" s="16">
        <f t="shared" si="30"/>
        <v>2100</v>
      </c>
      <c r="E146" s="49">
        <f t="shared" si="29"/>
        <v>0</v>
      </c>
    </row>
    <row r="151" spans="4:13" ht="15" thickBot="1" x14ac:dyDescent="0.35">
      <c r="H151" s="2" t="s">
        <v>68</v>
      </c>
    </row>
    <row r="152" spans="4:13" ht="20.399999999999999" x14ac:dyDescent="0.3">
      <c r="D152" s="58" t="s">
        <v>23</v>
      </c>
      <c r="E152" s="62" t="s">
        <v>53</v>
      </c>
      <c r="F152" s="59" t="s">
        <v>69</v>
      </c>
      <c r="G152" s="59" t="s">
        <v>70</v>
      </c>
      <c r="H152" s="59" t="s">
        <v>43</v>
      </c>
      <c r="I152" s="38" t="s">
        <v>71</v>
      </c>
    </row>
    <row r="153" spans="4:13" ht="15.6" x14ac:dyDescent="0.3">
      <c r="D153" s="56">
        <f>300</f>
        <v>300</v>
      </c>
      <c r="E153" s="116">
        <f xml:space="preserve"> ( SQRT($B$2)/$B$6) * SQRT(  (D153*D153*D153) / ($E$11 * $F$11 * $G$11 ) )</f>
        <v>2269.7176848066474</v>
      </c>
      <c r="F153" s="47">
        <v>2</v>
      </c>
      <c r="G153" s="3">
        <f xml:space="preserve"> ( (2*$B$2*$E$2*$A$2*D153)/($C$2*$C$2) )^(1.5) * ($A$2*D153) /$F$83</f>
        <v>12443888.382218968</v>
      </c>
      <c r="H153" s="3">
        <f>(EXP((-$C$2*$D$54)/(2*$A$2*D153))/(1 - EXP((-$C$2*$D$54)/($A$2*D153))))</f>
        <v>0.17078095340151592</v>
      </c>
      <c r="I153" s="99">
        <f>PRODUCT(E153:H153)</f>
        <v>9647113272.8863716</v>
      </c>
      <c r="J153" s="41"/>
      <c r="K153" s="57"/>
      <c r="M153" s="3"/>
    </row>
    <row r="154" spans="4:13" ht="15.6" x14ac:dyDescent="0.3">
      <c r="D154" s="56">
        <f>D153+100</f>
        <v>400</v>
      </c>
      <c r="E154" s="116">
        <f t="shared" ref="E154:E171" si="31" xml:space="preserve"> ( SQRT($B$2)/$B$6) * SQRT(  (D154*D154*D154) / ($E$11 * $F$11 * $G$11 ) )</f>
        <v>3494.4589768201922</v>
      </c>
      <c r="F154" s="47">
        <v>2</v>
      </c>
      <c r="G154" s="3">
        <f t="shared" ref="G154:G171" si="32" xml:space="preserve"> ( (2*$B$2*$E$2*$A$2*D154)/($C$2*$C$2) )^(1.5) * ($A$2*D154) /$F$83</f>
        <v>25544825.981297221</v>
      </c>
      <c r="H154" s="3">
        <f t="shared" ref="H154:H171" si="33">(EXP((-$C$2*$D$54)/(2*$A$2*D154))/(1 - EXP((-$C$2*$D$54)/($A$2*D154))))</f>
        <v>0.27903178876445084</v>
      </c>
      <c r="I154" s="8">
        <f>PRODUCT(E154:H154)</f>
        <v>49815738595.747375</v>
      </c>
      <c r="M154" s="60"/>
    </row>
    <row r="155" spans="4:13" ht="15.6" x14ac:dyDescent="0.3">
      <c r="D155" s="56">
        <f t="shared" ref="D155:D171" si="34">D154+100</f>
        <v>500</v>
      </c>
      <c r="E155" s="116">
        <f t="shared" si="31"/>
        <v>4883.6548854714447</v>
      </c>
      <c r="F155" s="47">
        <v>2</v>
      </c>
      <c r="G155" s="3">
        <f t="shared" si="32"/>
        <v>44624974.505924121</v>
      </c>
      <c r="H155" s="3">
        <f t="shared" si="33"/>
        <v>0.38522101477545245</v>
      </c>
      <c r="I155" s="8">
        <f t="shared" ref="I155:I171" si="35">PRODUCT(E155:H155)</f>
        <v>167904723380.07962</v>
      </c>
      <c r="J155" s="2" t="s">
        <v>92</v>
      </c>
    </row>
    <row r="156" spans="4:13" ht="16.2" thickBot="1" x14ac:dyDescent="0.35">
      <c r="D156" s="56">
        <f t="shared" si="34"/>
        <v>600</v>
      </c>
      <c r="E156" s="116">
        <f t="shared" si="31"/>
        <v>6419.7310652232454</v>
      </c>
      <c r="F156" s="47">
        <v>2</v>
      </c>
      <c r="G156" s="3">
        <f t="shared" si="32"/>
        <v>70393262.875164419</v>
      </c>
      <c r="H156" s="3">
        <f t="shared" si="33"/>
        <v>0.4886721941586526</v>
      </c>
      <c r="I156" s="8">
        <f t="shared" si="35"/>
        <v>441667613767.20227</v>
      </c>
    </row>
    <row r="157" spans="4:13" ht="16.2" thickBot="1" x14ac:dyDescent="0.35">
      <c r="D157" s="56">
        <f t="shared" si="34"/>
        <v>700</v>
      </c>
      <c r="E157" s="116">
        <f t="shared" si="31"/>
        <v>8089.7857419605207</v>
      </c>
      <c r="F157" s="47">
        <v>2</v>
      </c>
      <c r="G157" s="3">
        <f t="shared" si="32"/>
        <v>103489924.52236694</v>
      </c>
      <c r="H157" s="3">
        <f t="shared" si="33"/>
        <v>0.58987904361106536</v>
      </c>
      <c r="I157" s="8">
        <f t="shared" si="35"/>
        <v>987706820573.30725</v>
      </c>
      <c r="L157" s="37" t="s">
        <v>45</v>
      </c>
    </row>
    <row r="158" spans="4:13" ht="15.6" x14ac:dyDescent="0.3">
      <c r="D158" s="56">
        <f t="shared" si="34"/>
        <v>800</v>
      </c>
      <c r="E158" s="116">
        <f t="shared" si="31"/>
        <v>9883.8225563510496</v>
      </c>
      <c r="F158" s="47">
        <v>2</v>
      </c>
      <c r="G158" s="3">
        <f t="shared" si="32"/>
        <v>144503357.40484291</v>
      </c>
      <c r="H158" s="3">
        <f t="shared" si="33"/>
        <v>0.68939018333381252</v>
      </c>
      <c r="I158" s="8">
        <f t="shared" si="35"/>
        <v>1969236914001.7625</v>
      </c>
      <c r="J158" s="40" t="s">
        <v>48</v>
      </c>
      <c r="K158" s="18" t="s">
        <v>91</v>
      </c>
      <c r="L158" s="42">
        <f>I153</f>
        <v>9647113272.8863716</v>
      </c>
    </row>
    <row r="159" spans="4:13" ht="16.2" thickBot="1" x14ac:dyDescent="0.35">
      <c r="D159" s="56">
        <f t="shared" si="34"/>
        <v>900</v>
      </c>
      <c r="E159" s="116">
        <f t="shared" si="31"/>
        <v>11793.79904676815</v>
      </c>
      <c r="F159" s="47">
        <v>2</v>
      </c>
      <c r="G159" s="3">
        <f t="shared" si="32"/>
        <v>193981022.29547608</v>
      </c>
      <c r="H159" s="3">
        <f t="shared" si="33"/>
        <v>0.78763336182593235</v>
      </c>
      <c r="I159" s="8">
        <f t="shared" si="35"/>
        <v>3603852986668.6406</v>
      </c>
      <c r="J159" s="41" t="s">
        <v>49</v>
      </c>
      <c r="K159" s="16" t="s">
        <v>91</v>
      </c>
      <c r="L159" s="43">
        <v>56750500000</v>
      </c>
    </row>
    <row r="160" spans="4:13" ht="15.6" x14ac:dyDescent="0.3">
      <c r="D160" s="56">
        <f t="shared" si="34"/>
        <v>1000</v>
      </c>
      <c r="E160" s="116">
        <f t="shared" si="31"/>
        <v>13813.061945966683</v>
      </c>
      <c r="F160" s="47">
        <v>2</v>
      </c>
      <c r="G160" s="3">
        <f t="shared" si="32"/>
        <v>252436976.66732672</v>
      </c>
      <c r="H160" s="3">
        <f t="shared" si="33"/>
        <v>0.88491940647657341</v>
      </c>
      <c r="I160" s="8">
        <f t="shared" si="35"/>
        <v>6171299797638.4287</v>
      </c>
      <c r="L160" s="1" t="s">
        <v>90</v>
      </c>
    </row>
    <row r="161" spans="1:12" ht="15.6" x14ac:dyDescent="0.3">
      <c r="D161" s="56">
        <f t="shared" si="34"/>
        <v>1100</v>
      </c>
      <c r="E161" s="116">
        <f t="shared" si="31"/>
        <v>15935.987748177495</v>
      </c>
      <c r="F161" s="47">
        <v>2</v>
      </c>
      <c r="G161" s="3">
        <f t="shared" si="32"/>
        <v>320357343.02815938</v>
      </c>
      <c r="H161" s="3">
        <f t="shared" si="33"/>
        <v>0.98147182687634626</v>
      </c>
      <c r="I161" s="8">
        <f t="shared" si="35"/>
        <v>10021240931945.779</v>
      </c>
      <c r="L161" s="112">
        <f>ABS(L158-L159)/L159</f>
        <v>0.83000831229881022</v>
      </c>
    </row>
    <row r="162" spans="1:12" ht="15.6" x14ac:dyDescent="0.3">
      <c r="D162" s="56">
        <f t="shared" si="34"/>
        <v>1200</v>
      </c>
      <c r="E162" s="116">
        <f t="shared" si="31"/>
        <v>18157.741478453179</v>
      </c>
      <c r="F162" s="47">
        <v>2</v>
      </c>
      <c r="G162" s="3">
        <f t="shared" si="32"/>
        <v>398204428.23100919</v>
      </c>
      <c r="H162" s="3">
        <f t="shared" si="33"/>
        <v>1.0774526532677606</v>
      </c>
      <c r="I162" s="8">
        <f t="shared" si="35"/>
        <v>15581027871175.852</v>
      </c>
      <c r="J162" s="2" t="s">
        <v>64</v>
      </c>
    </row>
    <row r="163" spans="1:12" ht="15.6" x14ac:dyDescent="0.3">
      <c r="D163" s="56">
        <f t="shared" si="34"/>
        <v>1300</v>
      </c>
      <c r="E163" s="116">
        <f t="shared" si="31"/>
        <v>20474.107909012277</v>
      </c>
      <c r="F163" s="47">
        <v>2</v>
      </c>
      <c r="G163" s="3">
        <f t="shared" si="32"/>
        <v>486419918.83827502</v>
      </c>
      <c r="H163" s="3">
        <f t="shared" si="33"/>
        <v>1.1729810403128076</v>
      </c>
      <c r="I163" s="8">
        <f t="shared" si="35"/>
        <v>23363468987155.004</v>
      </c>
      <c r="J163" s="57">
        <f>L158/L159</f>
        <v>0.1699916877011898</v>
      </c>
    </row>
    <row r="164" spans="1:12" ht="15.6" x14ac:dyDescent="0.3">
      <c r="D164" s="56">
        <f t="shared" si="34"/>
        <v>1400</v>
      </c>
      <c r="E164" s="116">
        <f t="shared" si="31"/>
        <v>22881.369425946119</v>
      </c>
      <c r="F164" s="47">
        <v>2</v>
      </c>
      <c r="G164" s="3">
        <f t="shared" si="32"/>
        <v>585427419.3139987</v>
      </c>
      <c r="H164" s="3">
        <f t="shared" si="33"/>
        <v>1.2681460253846999</v>
      </c>
      <c r="I164" s="8">
        <f t="shared" si="35"/>
        <v>33974598482770.191</v>
      </c>
    </row>
    <row r="165" spans="1:12" ht="15.6" x14ac:dyDescent="0.3">
      <c r="D165" s="56">
        <f t="shared" si="34"/>
        <v>1500</v>
      </c>
      <c r="E165" s="116">
        <f t="shared" si="31"/>
        <v>25376.215164805526</v>
      </c>
      <c r="F165" s="47">
        <v>2</v>
      </c>
      <c r="G165" s="3">
        <f t="shared" si="32"/>
        <v>695634508.17653549</v>
      </c>
      <c r="H165" s="3">
        <f t="shared" si="33"/>
        <v>1.3630152066675385</v>
      </c>
      <c r="I165" s="8">
        <f t="shared" si="35"/>
        <v>48121445298388.648</v>
      </c>
    </row>
    <row r="166" spans="1:12" ht="15.6" x14ac:dyDescent="0.3">
      <c r="D166" s="56">
        <f t="shared" si="34"/>
        <v>1600</v>
      </c>
      <c r="E166" s="116">
        <f t="shared" si="31"/>
        <v>27955.671814561538</v>
      </c>
      <c r="F166" s="47">
        <v>2</v>
      </c>
      <c r="G166" s="3">
        <f t="shared" si="32"/>
        <v>817434431.40150416</v>
      </c>
      <c r="H166" s="3">
        <f t="shared" si="33"/>
        <v>1.4576406851176125</v>
      </c>
      <c r="I166" s="8">
        <f t="shared" si="35"/>
        <v>66619801996095.961</v>
      </c>
    </row>
    <row r="167" spans="1:12" ht="15.6" x14ac:dyDescent="0.3">
      <c r="D167" s="56">
        <f t="shared" si="34"/>
        <v>1700</v>
      </c>
      <c r="E167" s="116">
        <f t="shared" si="31"/>
        <v>30617.049864862121</v>
      </c>
      <c r="F167" s="47">
        <v>2</v>
      </c>
      <c r="G167" s="3">
        <f t="shared" si="32"/>
        <v>951207516.87109876</v>
      </c>
      <c r="H167" s="3">
        <f t="shared" si="33"/>
        <v>1.5520631839298222</v>
      </c>
      <c r="I167" s="8">
        <f t="shared" si="35"/>
        <v>90401993629516.406</v>
      </c>
    </row>
    <row r="168" spans="1:12" ht="15.6" x14ac:dyDescent="0.3">
      <c r="D168" s="56">
        <f t="shared" si="34"/>
        <v>1800</v>
      </c>
      <c r="E168" s="116">
        <f t="shared" si="31"/>
        <v>33357.901127684789</v>
      </c>
      <c r="F168" s="47">
        <v>2</v>
      </c>
      <c r="G168" s="3">
        <f t="shared" si="32"/>
        <v>1097322370.2930276</v>
      </c>
      <c r="H168" s="3">
        <f t="shared" si="33"/>
        <v>1.6463149464417208</v>
      </c>
      <c r="I168" s="8">
        <f t="shared" si="35"/>
        <v>120524646604136.41</v>
      </c>
    </row>
    <row r="169" spans="1:12" ht="15.6" x14ac:dyDescent="0.3">
      <c r="D169" s="56">
        <f t="shared" si="34"/>
        <v>1900</v>
      </c>
      <c r="E169" s="116">
        <f t="shared" si="31"/>
        <v>36175.984662980925</v>
      </c>
      <c r="F169" s="47">
        <v>2</v>
      </c>
      <c r="G169" s="3">
        <f t="shared" si="32"/>
        <v>1256136897.149781</v>
      </c>
      <c r="H169" s="3">
        <f t="shared" si="33"/>
        <v>1.7404218056240024</v>
      </c>
      <c r="I169" s="8">
        <f t="shared" si="35"/>
        <v>158176457531272.66</v>
      </c>
    </row>
    <row r="170" spans="1:12" ht="15.6" x14ac:dyDescent="0.3">
      <c r="D170" s="56">
        <f t="shared" si="34"/>
        <v>2000</v>
      </c>
      <c r="E170" s="116">
        <f t="shared" si="31"/>
        <v>39069.239083771557</v>
      </c>
      <c r="F170" s="47">
        <v>2</v>
      </c>
      <c r="G170" s="3">
        <f t="shared" si="32"/>
        <v>1427999184.1895797</v>
      </c>
      <c r="H170" s="3">
        <f t="shared" si="33"/>
        <v>1.8344046839329333</v>
      </c>
      <c r="I170" s="8">
        <f t="shared" si="35"/>
        <v>204685962077691.56</v>
      </c>
    </row>
    <row r="171" spans="1:12" ht="16.2" thickBot="1" x14ac:dyDescent="0.35">
      <c r="D171" s="31">
        <f t="shared" si="34"/>
        <v>2100</v>
      </c>
      <c r="E171" s="117">
        <f t="shared" si="31"/>
        <v>42035.759782265719</v>
      </c>
      <c r="F171" s="55">
        <v>2</v>
      </c>
      <c r="G171" s="9">
        <f t="shared" si="32"/>
        <v>1613248266.0978649</v>
      </c>
      <c r="H171" s="9">
        <f t="shared" si="33"/>
        <v>1.9282806957511065</v>
      </c>
      <c r="I171" s="10">
        <f t="shared" si="35"/>
        <v>261529303812235.91</v>
      </c>
    </row>
    <row r="174" spans="1:12" ht="15" thickBot="1" x14ac:dyDescent="0.35">
      <c r="A174" s="2" t="s">
        <v>72</v>
      </c>
      <c r="B174" s="139" t="s">
        <v>86</v>
      </c>
      <c r="C174" s="139"/>
      <c r="D174" s="139"/>
      <c r="E174" s="139"/>
      <c r="F174" s="139"/>
      <c r="G174" s="61"/>
      <c r="H174" s="139" t="s">
        <v>87</v>
      </c>
      <c r="I174" s="139"/>
      <c r="J174" s="139"/>
      <c r="K174" s="139"/>
    </row>
    <row r="175" spans="1:12" ht="18" x14ac:dyDescent="0.3">
      <c r="A175" s="2" t="s">
        <v>85</v>
      </c>
      <c r="B175" s="62" t="s">
        <v>23</v>
      </c>
      <c r="C175" s="37" t="s">
        <v>73</v>
      </c>
      <c r="D175" s="37" t="s">
        <v>10</v>
      </c>
      <c r="E175" s="37" t="s">
        <v>11</v>
      </c>
      <c r="F175" s="37" t="s">
        <v>74</v>
      </c>
      <c r="G175" s="61" t="s">
        <v>75</v>
      </c>
      <c r="H175" s="62" t="s">
        <v>23</v>
      </c>
      <c r="I175" s="37" t="s">
        <v>73</v>
      </c>
      <c r="J175" s="37" t="s">
        <v>10</v>
      </c>
      <c r="K175" s="37" t="s">
        <v>11</v>
      </c>
      <c r="L175" s="37" t="s">
        <v>74</v>
      </c>
    </row>
    <row r="176" spans="1:12" ht="15" thickBot="1" x14ac:dyDescent="0.35">
      <c r="B176" s="14">
        <f>300</f>
        <v>300</v>
      </c>
      <c r="C176" s="63">
        <f>3/2*$D$2*B176</f>
        <v>3741.5124000000001</v>
      </c>
      <c r="D176" s="63">
        <f t="shared" ref="D176:D194" si="36">3/2*$D$2*B176</f>
        <v>3741.5124000000001</v>
      </c>
      <c r="E176" s="63" cm="1">
        <f t="array" ref="E176">$D$2*SUM( ($B$12:$B$14)/(EXP($B$12:$B$14/B176)-1) + 0.5*$B$12:$B$14)</f>
        <v>23332.198157556657</v>
      </c>
      <c r="F176" s="64">
        <v>0</v>
      </c>
      <c r="H176" s="73">
        <f>300</f>
        <v>300</v>
      </c>
      <c r="I176" s="86">
        <f>3/2*$D$2*H176 /4184</f>
        <v>0.89424292543021033</v>
      </c>
      <c r="J176" s="86">
        <f>3/2*$D$2*H176 / 4184</f>
        <v>0.89424292543021033</v>
      </c>
      <c r="K176" s="86" cm="1">
        <f t="array" ref="K176">$D$2*SUM( ($B$12:$B$14)/(EXP($B$12:$B$14/B176)-1) + 0.5*$B$12:$B$14)/ 4184</f>
        <v>5.5765291963567538</v>
      </c>
      <c r="L176" s="87">
        <f xml:space="preserve"> F176/4184</f>
        <v>0</v>
      </c>
    </row>
    <row r="177" spans="2:14" x14ac:dyDescent="0.3">
      <c r="B177" s="14">
        <f>B176+100</f>
        <v>400</v>
      </c>
      <c r="C177" s="63">
        <f t="shared" ref="C177:C194" si="37">3/2*$D$2*B177</f>
        <v>4988.6831999999995</v>
      </c>
      <c r="D177" s="63">
        <f t="shared" si="36"/>
        <v>4988.6831999999995</v>
      </c>
      <c r="E177" s="63" cm="1">
        <f t="array" ref="E177">$D$2*SUM( ($B$12:$B$14)/(EXP($B$12:$B$14/B177)-1) + 0.5*$B$12:$B$14)</f>
        <v>23856.715558504104</v>
      </c>
      <c r="H177" s="14">
        <f>H176+100</f>
        <v>400</v>
      </c>
      <c r="I177" s="63">
        <f t="shared" ref="I177:I194" si="38">3/2*$D$2*H177 /4184</f>
        <v>1.1923239005736137</v>
      </c>
      <c r="J177" s="63">
        <f t="shared" ref="J177:J194" si="39">3/2*$D$2*H177 / 4184</f>
        <v>1.1923239005736137</v>
      </c>
      <c r="K177" s="63" cm="1">
        <f t="array" ref="K177">$D$2*SUM( ($B$12:$B$14)/(EXP($B$12:$B$14/B177)-1) + 0.5*$B$12:$B$14)/ 4184</f>
        <v>5.701891863887214</v>
      </c>
      <c r="M177" s="144" t="s">
        <v>93</v>
      </c>
      <c r="N177" s="144"/>
    </row>
    <row r="178" spans="2:14" ht="18.600000000000001" thickBot="1" x14ac:dyDescent="0.35">
      <c r="B178" s="14">
        <f t="shared" ref="B178:B194" si="40">B177+100</f>
        <v>500</v>
      </c>
      <c r="C178" s="63">
        <f t="shared" si="37"/>
        <v>6235.8539999999994</v>
      </c>
      <c r="D178" s="63">
        <f t="shared" si="36"/>
        <v>6235.8539999999994</v>
      </c>
      <c r="E178" s="63" cm="1">
        <f t="array" ref="E178">$D$2*SUM( ($B$12:$B$14)/(EXP($B$12:$B$14/B178)-1) + 0.5*$B$12:$B$14)</f>
        <v>24683.651131873157</v>
      </c>
      <c r="H178" s="14">
        <f t="shared" ref="H178:H194" si="41">H177+100</f>
        <v>500</v>
      </c>
      <c r="I178" s="63">
        <f t="shared" si="38"/>
        <v>1.490404875717017</v>
      </c>
      <c r="J178" s="63">
        <f t="shared" si="39"/>
        <v>1.490404875717017</v>
      </c>
      <c r="K178" s="63" cm="1">
        <f t="array" ref="K178">$D$2*SUM( ($B$12:$B$14)/(EXP($B$12:$B$14/B178)-1) + 0.5*$B$12:$B$14)/ 4184</f>
        <v>5.8995342093387091</v>
      </c>
      <c r="M178" s="143" t="s">
        <v>88</v>
      </c>
      <c r="N178" s="143"/>
    </row>
    <row r="179" spans="2:14" x14ac:dyDescent="0.3">
      <c r="B179" s="14">
        <f t="shared" si="40"/>
        <v>600</v>
      </c>
      <c r="C179" s="63">
        <f t="shared" si="37"/>
        <v>7483.0248000000001</v>
      </c>
      <c r="D179" s="63">
        <f t="shared" si="36"/>
        <v>7483.0248000000001</v>
      </c>
      <c r="E179" s="63" cm="1">
        <f t="array" ref="E179">$D$2*SUM( ($B$12:$B$14)/(EXP($B$12:$B$14/B179)-1) + 0.5*$B$12:$B$14)</f>
        <v>25789.303369588062</v>
      </c>
      <c r="H179" s="14">
        <f t="shared" si="41"/>
        <v>600</v>
      </c>
      <c r="I179" s="63">
        <f t="shared" si="38"/>
        <v>1.7884858508604207</v>
      </c>
      <c r="J179" s="63">
        <f t="shared" si="39"/>
        <v>1.7884858508604207</v>
      </c>
      <c r="K179" s="63" cm="1">
        <f t="array" ref="K179">$D$2*SUM( ($B$12:$B$14)/(EXP($B$12:$B$14/B179)-1) + 0.5*$B$12:$B$14)/ 4184</f>
        <v>6.1637914363260187</v>
      </c>
      <c r="M179" s="72"/>
      <c r="N179" s="68" t="s">
        <v>21</v>
      </c>
    </row>
    <row r="180" spans="2:14" x14ac:dyDescent="0.3">
      <c r="B180" s="14">
        <f t="shared" si="40"/>
        <v>700</v>
      </c>
      <c r="C180" s="63">
        <f t="shared" si="37"/>
        <v>8730.1955999999991</v>
      </c>
      <c r="D180" s="63">
        <f t="shared" si="36"/>
        <v>8730.1955999999991</v>
      </c>
      <c r="E180" s="63" cm="1">
        <f t="array" ref="E180">$D$2*SUM( ($B$12:$B$14)/(EXP($B$12:$B$14/B180)-1) + 0.5*$B$12:$B$14)</f>
        <v>27132.079047907911</v>
      </c>
      <c r="H180" s="14">
        <f t="shared" si="41"/>
        <v>700</v>
      </c>
      <c r="I180" s="63">
        <f t="shared" si="38"/>
        <v>2.0865668260038239</v>
      </c>
      <c r="J180" s="63">
        <f t="shared" si="39"/>
        <v>2.0865668260038239</v>
      </c>
      <c r="K180" s="63" cm="1">
        <f t="array" ref="K180">$D$2*SUM( ($B$12:$B$14)/(EXP($B$12:$B$14/B180)-1) + 0.5*$B$12:$B$14)/ 4184</f>
        <v>6.4847225257906098</v>
      </c>
      <c r="M180" s="73"/>
      <c r="N180" s="78" t="s">
        <v>4</v>
      </c>
    </row>
    <row r="181" spans="2:14" x14ac:dyDescent="0.3">
      <c r="B181" s="14">
        <f t="shared" si="40"/>
        <v>800</v>
      </c>
      <c r="C181" s="63">
        <f t="shared" si="37"/>
        <v>9977.366399999999</v>
      </c>
      <c r="D181" s="63">
        <f t="shared" si="36"/>
        <v>9977.366399999999</v>
      </c>
      <c r="E181" s="63" cm="1">
        <f t="array" ref="E181">$D$2*SUM( ($B$12:$B$14)/(EXP($B$12:$B$14/B181)-1) + 0.5*$B$12:$B$14)</f>
        <v>28668.523596423631</v>
      </c>
      <c r="H181" s="14">
        <f t="shared" si="41"/>
        <v>800</v>
      </c>
      <c r="I181" s="63">
        <f t="shared" si="38"/>
        <v>2.3846478011472274</v>
      </c>
      <c r="J181" s="63">
        <f t="shared" si="39"/>
        <v>2.3846478011472274</v>
      </c>
      <c r="K181" s="63" cm="1">
        <f t="array" ref="K181">$D$2*SUM( ($B$12:$B$14)/(EXP($B$12:$B$14/B181)-1) + 0.5*$B$12:$B$14)/ 4184</f>
        <v>6.8519415861433153</v>
      </c>
      <c r="M181" s="73" t="s">
        <v>6</v>
      </c>
      <c r="N181" s="80">
        <v>7.3520000000000003</v>
      </c>
    </row>
    <row r="182" spans="2:14" x14ac:dyDescent="0.3">
      <c r="B182" s="14">
        <f t="shared" si="40"/>
        <v>900</v>
      </c>
      <c r="C182" s="63">
        <f t="shared" si="37"/>
        <v>11224.537199999999</v>
      </c>
      <c r="D182" s="63">
        <f t="shared" si="36"/>
        <v>11224.537199999999</v>
      </c>
      <c r="E182" s="63" cm="1">
        <f t="array" ref="E182">$D$2*SUM( ($B$12:$B$14)/(EXP($B$12:$B$14/B182)-1) + 0.5*$B$12:$B$14)</f>
        <v>30360.501452166551</v>
      </c>
      <c r="H182" s="14">
        <f t="shared" si="41"/>
        <v>900</v>
      </c>
      <c r="I182" s="63">
        <f t="shared" si="38"/>
        <v>2.6827287762906309</v>
      </c>
      <c r="J182" s="63">
        <f t="shared" si="39"/>
        <v>2.6827287762906309</v>
      </c>
      <c r="K182" s="63" cm="1">
        <f t="array" ref="K182">$D$2*SUM( ($B$12:$B$14)/(EXP($B$12:$B$14/B182)-1) + 0.5*$B$12:$B$14)/ 4184</f>
        <v>7.2563339990837834</v>
      </c>
      <c r="M182" s="73" t="s">
        <v>7</v>
      </c>
      <c r="N182" s="80" t="s">
        <v>8</v>
      </c>
    </row>
    <row r="183" spans="2:14" x14ac:dyDescent="0.3">
      <c r="B183" s="14">
        <f t="shared" si="40"/>
        <v>1000</v>
      </c>
      <c r="C183" s="63">
        <f t="shared" si="37"/>
        <v>12471.707999999999</v>
      </c>
      <c r="D183" s="63">
        <f t="shared" si="36"/>
        <v>12471.707999999999</v>
      </c>
      <c r="E183" s="63" cm="1">
        <f t="array" ref="E183">$D$2*SUM( ($B$12:$B$14)/(EXP($B$12:$B$14/B183)-1) + 0.5*$B$12:$B$14)</f>
        <v>32176.936231056945</v>
      </c>
      <c r="H183" s="14">
        <f t="shared" si="41"/>
        <v>1000</v>
      </c>
      <c r="I183" s="63">
        <f t="shared" si="38"/>
        <v>2.9808097514340339</v>
      </c>
      <c r="J183" s="63">
        <f t="shared" si="39"/>
        <v>2.9808097514340339</v>
      </c>
      <c r="K183" s="63" cm="1">
        <f t="array" ref="K183">$D$2*SUM( ($B$12:$B$14)/(EXP($B$12:$B$14/B183)-1) + 0.5*$B$12:$B$14)/ 4184</f>
        <v>7.690472330558543</v>
      </c>
      <c r="M183" s="73" t="s">
        <v>9</v>
      </c>
      <c r="N183" s="80">
        <v>0.88900000000000001</v>
      </c>
    </row>
    <row r="184" spans="2:14" x14ac:dyDescent="0.3">
      <c r="B184" s="14">
        <f t="shared" si="40"/>
        <v>1100</v>
      </c>
      <c r="C184" s="63">
        <f t="shared" si="37"/>
        <v>13718.8788</v>
      </c>
      <c r="D184" s="63">
        <f t="shared" si="36"/>
        <v>13718.8788</v>
      </c>
      <c r="E184" s="63" cm="1">
        <f t="array" ref="E184">$D$2*SUM( ($B$12:$B$14)/(EXP($B$12:$B$14/B184)-1) + 0.5*$B$12:$B$14)</f>
        <v>34093.295424243923</v>
      </c>
      <c r="H184" s="14">
        <f t="shared" si="41"/>
        <v>1100</v>
      </c>
      <c r="I184" s="63">
        <f t="shared" si="38"/>
        <v>3.2788907265774379</v>
      </c>
      <c r="J184" s="63">
        <f t="shared" si="39"/>
        <v>3.2788907265774379</v>
      </c>
      <c r="K184" s="63" cm="1">
        <f t="array" ref="K184">$D$2*SUM( ($B$12:$B$14)/(EXP($B$12:$B$14/B184)-1) + 0.5*$B$12:$B$14)/ 4184</f>
        <v>8.1484931702303829</v>
      </c>
      <c r="M184" s="73" t="s">
        <v>10</v>
      </c>
      <c r="N184" s="80">
        <v>0.88900000000000001</v>
      </c>
    </row>
    <row r="185" spans="2:14" ht="15" thickBot="1" x14ac:dyDescent="0.35">
      <c r="B185" s="14">
        <f t="shared" si="40"/>
        <v>1200</v>
      </c>
      <c r="C185" s="63">
        <f t="shared" si="37"/>
        <v>14966.0496</v>
      </c>
      <c r="D185" s="63">
        <f t="shared" si="36"/>
        <v>14966.0496</v>
      </c>
      <c r="E185" s="63" cm="1">
        <f t="array" ref="E185">$D$2*SUM( ($B$12:$B$14)/(EXP($B$12:$B$14/B185)-1) + 0.5*$B$12:$B$14)</f>
        <v>36090.432586048439</v>
      </c>
      <c r="H185" s="14">
        <f t="shared" si="41"/>
        <v>1200</v>
      </c>
      <c r="I185" s="63">
        <f t="shared" si="38"/>
        <v>3.5769717017208413</v>
      </c>
      <c r="J185" s="63">
        <f t="shared" si="39"/>
        <v>3.5769717017208413</v>
      </c>
      <c r="K185" s="63" cm="1">
        <f t="array" ref="K185">$D$2*SUM( ($B$12:$B$14)/(EXP($B$12:$B$14/B185)-1) + 0.5*$B$12:$B$14)/ 4184</f>
        <v>8.6258204077553629</v>
      </c>
      <c r="M185" s="74" t="s">
        <v>11</v>
      </c>
      <c r="N185" s="82">
        <v>5.5750000000000002</v>
      </c>
    </row>
    <row r="186" spans="2:14" x14ac:dyDescent="0.3">
      <c r="B186" s="14">
        <f t="shared" si="40"/>
        <v>1300</v>
      </c>
      <c r="C186" s="63">
        <f t="shared" si="37"/>
        <v>16213.2204</v>
      </c>
      <c r="D186" s="63">
        <f t="shared" si="36"/>
        <v>16213.2204</v>
      </c>
      <c r="E186" s="63" cm="1">
        <f t="array" ref="E186">$D$2*SUM( ($B$12:$B$14)/(EXP($B$12:$B$14/B186)-1) + 0.5*$B$12:$B$14)</f>
        <v>38153.421748548193</v>
      </c>
      <c r="H186" s="14">
        <f t="shared" si="41"/>
        <v>1300</v>
      </c>
      <c r="I186" s="63">
        <f t="shared" si="38"/>
        <v>3.8750526768642448</v>
      </c>
      <c r="J186" s="63">
        <f t="shared" si="39"/>
        <v>3.8750526768642448</v>
      </c>
      <c r="K186" s="63" cm="1">
        <f t="array" ref="K186">$D$2*SUM( ($B$12:$B$14)/(EXP($B$12:$B$14/B186)-1) + 0.5*$B$12:$B$14)/ 4184</f>
        <v>9.1188866511826472</v>
      </c>
      <c r="N186" s="83"/>
    </row>
    <row r="187" spans="2:14" x14ac:dyDescent="0.3">
      <c r="B187" s="14">
        <f t="shared" si="40"/>
        <v>1400</v>
      </c>
      <c r="C187" s="63">
        <f t="shared" si="37"/>
        <v>17460.391199999998</v>
      </c>
      <c r="D187" s="63">
        <f t="shared" si="36"/>
        <v>17460.391199999998</v>
      </c>
      <c r="E187" s="63" cm="1">
        <f t="array" ref="E187">$D$2*SUM( ($B$12:$B$14)/(EXP($B$12:$B$14/B187)-1) + 0.5*$B$12:$B$14)</f>
        <v>40270.578260334914</v>
      </c>
      <c r="H187" s="14">
        <f t="shared" si="41"/>
        <v>1400</v>
      </c>
      <c r="I187" s="63">
        <f t="shared" si="38"/>
        <v>4.1731336520076479</v>
      </c>
      <c r="J187" s="63">
        <f t="shared" si="39"/>
        <v>4.1731336520076479</v>
      </c>
      <c r="K187" s="63" cm="1">
        <f t="array" ref="K187">$D$2*SUM( ($B$12:$B$14)/(EXP($B$12:$B$14/B187)-1) + 0.5*$B$12:$B$14)/ 4184</f>
        <v>9.6248992018008881</v>
      </c>
    </row>
    <row r="188" spans="2:14" ht="15" thickBot="1" x14ac:dyDescent="0.35">
      <c r="B188" s="14">
        <f t="shared" si="40"/>
        <v>1500</v>
      </c>
      <c r="C188" s="63">
        <f t="shared" si="37"/>
        <v>18707.561999999998</v>
      </c>
      <c r="D188" s="63">
        <f t="shared" si="36"/>
        <v>18707.561999999998</v>
      </c>
      <c r="E188" s="63" cm="1">
        <f t="array" ref="E188">$D$2*SUM( ($B$12:$B$14)/(EXP($B$12:$B$14/B188)-1) + 0.5*$B$12:$B$14)</f>
        <v>42432.691649492604</v>
      </c>
      <c r="H188" s="14">
        <f t="shared" si="41"/>
        <v>1500</v>
      </c>
      <c r="I188" s="63">
        <f t="shared" si="38"/>
        <v>4.4712146271510509</v>
      </c>
      <c r="J188" s="63">
        <f t="shared" si="39"/>
        <v>4.4712146271510509</v>
      </c>
      <c r="K188" s="63" cm="1">
        <f t="array" ref="K188">$D$2*SUM( ($B$12:$B$14)/(EXP($B$12:$B$14/B188)-1) + 0.5*$B$12:$B$14)/ 4184</f>
        <v>10.141656703989629</v>
      </c>
    </row>
    <row r="189" spans="2:14" ht="15" thickBot="1" x14ac:dyDescent="0.35">
      <c r="B189" s="14">
        <f t="shared" si="40"/>
        <v>1600</v>
      </c>
      <c r="C189" s="63">
        <f t="shared" si="37"/>
        <v>19954.732799999998</v>
      </c>
      <c r="D189" s="63">
        <f t="shared" si="36"/>
        <v>19954.732799999998</v>
      </c>
      <c r="E189" s="63" cm="1">
        <f t="array" ref="E189">$D$2*SUM( ($B$12:$B$14)/(EXP($B$12:$B$14/B189)-1) + 0.5*$B$12:$B$14)</f>
        <v>44632.442177811085</v>
      </c>
      <c r="H189" s="14">
        <f t="shared" si="41"/>
        <v>1600</v>
      </c>
      <c r="I189" s="63">
        <f t="shared" si="38"/>
        <v>4.7692956022944548</v>
      </c>
      <c r="J189" s="63">
        <f t="shared" si="39"/>
        <v>4.7692956022944548</v>
      </c>
      <c r="K189" s="63" cm="1">
        <f t="array" ref="K189">$D$2*SUM( ($B$12:$B$14)/(EXP($B$12:$B$14/B189)-1) + 0.5*$B$12:$B$14)/ 4184</f>
        <v>10.667409698329609</v>
      </c>
      <c r="M189" s="32" t="s">
        <v>99</v>
      </c>
      <c r="N189" s="128">
        <f>SUM(I176:L176)</f>
        <v>7.3650150472171747</v>
      </c>
    </row>
    <row r="190" spans="2:14" x14ac:dyDescent="0.3">
      <c r="B190" s="14">
        <f t="shared" si="40"/>
        <v>1700</v>
      </c>
      <c r="C190" s="63">
        <f t="shared" si="37"/>
        <v>21201.903599999998</v>
      </c>
      <c r="D190" s="63">
        <f t="shared" si="36"/>
        <v>21201.903599999998</v>
      </c>
      <c r="E190" s="63" cm="1">
        <f t="array" ref="E190">$D$2*SUM( ($B$12:$B$14)/(EXP($B$12:$B$14/B190)-1) + 0.5*$B$12:$B$14)</f>
        <v>46863.962156367219</v>
      </c>
      <c r="H190" s="14">
        <f t="shared" si="41"/>
        <v>1700</v>
      </c>
      <c r="I190" s="63">
        <f t="shared" si="38"/>
        <v>5.0673765774378579</v>
      </c>
      <c r="J190" s="63">
        <f t="shared" si="39"/>
        <v>5.0673765774378579</v>
      </c>
      <c r="K190" s="63" cm="1">
        <f t="array" ref="K190">$D$2*SUM( ($B$12:$B$14)/(EXP($B$12:$B$14/B190)-1) + 0.5*$B$12:$B$14)/ 4184</f>
        <v>11.20075577351033</v>
      </c>
    </row>
    <row r="191" spans="2:14" x14ac:dyDescent="0.3">
      <c r="B191" s="14">
        <f t="shared" si="40"/>
        <v>1800</v>
      </c>
      <c r="C191" s="63">
        <f t="shared" si="37"/>
        <v>22449.074399999998</v>
      </c>
      <c r="D191" s="63">
        <f t="shared" si="36"/>
        <v>22449.074399999998</v>
      </c>
      <c r="E191" s="63" cm="1">
        <f t="array" ref="E191">$D$2*SUM( ($B$12:$B$14)/(EXP($B$12:$B$14/B191)-1) + 0.5*$B$12:$B$14)</f>
        <v>49122.506826605357</v>
      </c>
      <c r="H191" s="14">
        <f t="shared" si="41"/>
        <v>1800</v>
      </c>
      <c r="I191" s="63">
        <f t="shared" si="38"/>
        <v>5.3654575525812618</v>
      </c>
      <c r="J191" s="63">
        <f t="shared" si="39"/>
        <v>5.3654575525812618</v>
      </c>
      <c r="K191" s="63" cm="1">
        <f t="array" ref="K191">$D$2*SUM( ($B$12:$B$14)/(EXP($B$12:$B$14/B191)-1) + 0.5*$B$12:$B$14)/ 4184</f>
        <v>11.7405609050204</v>
      </c>
    </row>
    <row r="192" spans="2:14" x14ac:dyDescent="0.3">
      <c r="B192" s="14">
        <f t="shared" si="40"/>
        <v>1900</v>
      </c>
      <c r="C192" s="63">
        <f t="shared" si="37"/>
        <v>23696.245199999998</v>
      </c>
      <c r="D192" s="63">
        <f t="shared" si="36"/>
        <v>23696.245199999998</v>
      </c>
      <c r="E192" s="63" cm="1">
        <f t="array" ref="E192">$D$2*SUM( ($B$12:$B$14)/(EXP($B$12:$B$14/B192)-1) + 0.5*$B$12:$B$14)</f>
        <v>51404.206752592021</v>
      </c>
      <c r="H192" s="14">
        <f t="shared" si="41"/>
        <v>1900</v>
      </c>
      <c r="I192" s="63">
        <f t="shared" si="38"/>
        <v>5.6635385277246648</v>
      </c>
      <c r="J192" s="63">
        <f t="shared" si="39"/>
        <v>5.6635385277246648</v>
      </c>
      <c r="K192" s="63" cm="1">
        <f t="array" ref="K192">$D$2*SUM( ($B$12:$B$14)/(EXP($B$12:$B$14/B192)-1) + 0.5*$B$12:$B$14)/ 4184</f>
        <v>12.285900275476104</v>
      </c>
    </row>
    <row r="193" spans="1:15" x14ac:dyDescent="0.3">
      <c r="B193" s="14">
        <f t="shared" si="40"/>
        <v>2000</v>
      </c>
      <c r="C193" s="63">
        <f t="shared" si="37"/>
        <v>24943.415999999997</v>
      </c>
      <c r="D193" s="63">
        <f t="shared" si="36"/>
        <v>24943.415999999997</v>
      </c>
      <c r="E193" s="63" cm="1">
        <f t="array" ref="E193">$D$2*SUM( ($B$12:$B$14)/(EXP($B$12:$B$14/B193)-1) + 0.5*$B$12:$B$14)</f>
        <v>53705.880507935784</v>
      </c>
      <c r="H193" s="14">
        <f t="shared" si="41"/>
        <v>2000</v>
      </c>
      <c r="I193" s="63">
        <f t="shared" si="38"/>
        <v>5.9616195028680679</v>
      </c>
      <c r="J193" s="63">
        <f t="shared" si="39"/>
        <v>5.9616195028680679</v>
      </c>
      <c r="K193" s="63" cm="1">
        <f t="array" ref="K193">$D$2*SUM( ($B$12:$B$14)/(EXP($B$12:$B$14/B193)-1) + 0.5*$B$12:$B$14)/ 4184</f>
        <v>12.836013505720789</v>
      </c>
    </row>
    <row r="194" spans="1:15" ht="15" thickBot="1" x14ac:dyDescent="0.35">
      <c r="B194" s="16">
        <f t="shared" si="40"/>
        <v>2100</v>
      </c>
      <c r="C194" s="64">
        <f t="shared" si="37"/>
        <v>26190.586799999997</v>
      </c>
      <c r="D194" s="64">
        <f t="shared" si="36"/>
        <v>26190.586799999997</v>
      </c>
      <c r="E194" s="64" cm="1">
        <f t="array" ref="E194">$D$2*SUM( ($B$12:$B$14)/(EXP($B$12:$B$14/B194)-1) + 0.5*$B$12:$B$14)</f>
        <v>56024.891984162125</v>
      </c>
      <c r="F194" s="3"/>
      <c r="H194" s="16">
        <f t="shared" si="41"/>
        <v>2100</v>
      </c>
      <c r="I194" s="64">
        <f t="shared" si="38"/>
        <v>6.2597004780114718</v>
      </c>
      <c r="J194" s="64">
        <f t="shared" si="39"/>
        <v>6.2597004780114718</v>
      </c>
      <c r="K194" s="64" cm="1">
        <f t="array" ref="K194">$D$2*SUM( ($B$12:$B$14)/(EXP($B$12:$B$14/B194)-1) + 0.5*$B$12:$B$14)/ 4184</f>
        <v>13.390270550707966</v>
      </c>
      <c r="L194" s="3"/>
    </row>
    <row r="196" spans="1:15" ht="15" thickBot="1" x14ac:dyDescent="0.35"/>
    <row r="197" spans="1:15" ht="15" thickBot="1" x14ac:dyDescent="0.35">
      <c r="F197" s="18"/>
      <c r="G197" s="21"/>
      <c r="H197" s="21"/>
      <c r="I197" s="19"/>
      <c r="K197" s="54" t="s">
        <v>83</v>
      </c>
    </row>
    <row r="198" spans="1:15" ht="16.8" thickBot="1" x14ac:dyDescent="0.35">
      <c r="B198" s="93" t="s">
        <v>79</v>
      </c>
      <c r="C198" s="94">
        <f xml:space="preserve"> ($C$2*$C$2) /(8*$B$2*$B$2*$A$2*$H$198)</f>
        <v>0.119283277963497</v>
      </c>
      <c r="F198" s="14"/>
      <c r="H198" s="2">
        <f>SQRT(E6*E6+F6*F6+G6*G6)</f>
        <v>3.3765667849162902E-45</v>
      </c>
      <c r="I198" s="15" t="s">
        <v>78</v>
      </c>
      <c r="K198" s="115">
        <v>1</v>
      </c>
      <c r="L198" s="2" t="s">
        <v>101</v>
      </c>
    </row>
    <row r="199" spans="1:15" ht="15" thickBot="1" x14ac:dyDescent="0.35">
      <c r="F199" s="16"/>
      <c r="G199" s="23"/>
      <c r="H199" s="23"/>
      <c r="I199" s="17"/>
    </row>
    <row r="200" spans="1:15" ht="15" thickBot="1" x14ac:dyDescent="0.35">
      <c r="A200" s="2" t="s">
        <v>76</v>
      </c>
      <c r="B200" s="139" t="s">
        <v>77</v>
      </c>
      <c r="C200" s="139"/>
      <c r="D200" s="139"/>
      <c r="E200" s="139"/>
      <c r="F200" s="139"/>
      <c r="H200" s="139" t="s">
        <v>95</v>
      </c>
      <c r="I200" s="139"/>
      <c r="J200" s="139"/>
      <c r="K200" s="139"/>
      <c r="L200" s="139"/>
    </row>
    <row r="201" spans="1:15" ht="18" x14ac:dyDescent="0.3">
      <c r="A201" s="2" t="s">
        <v>77</v>
      </c>
      <c r="B201" s="58" t="s">
        <v>23</v>
      </c>
      <c r="C201" s="37" t="s">
        <v>94</v>
      </c>
      <c r="D201" s="37" t="s">
        <v>73</v>
      </c>
      <c r="E201" s="37" t="s">
        <v>10</v>
      </c>
      <c r="F201" s="37" t="s">
        <v>11</v>
      </c>
      <c r="G201" s="37" t="s">
        <v>74</v>
      </c>
      <c r="H201" s="58" t="s">
        <v>23</v>
      </c>
      <c r="I201" s="37" t="s">
        <v>73</v>
      </c>
      <c r="J201" s="37" t="s">
        <v>10</v>
      </c>
      <c r="K201" s="37" t="s">
        <v>11</v>
      </c>
      <c r="L201" s="37" t="s">
        <v>74</v>
      </c>
      <c r="O201" s="1"/>
    </row>
    <row r="202" spans="1:15" ht="15" thickBot="1" x14ac:dyDescent="0.35">
      <c r="B202" s="56">
        <f>300</f>
        <v>300</v>
      </c>
      <c r="C202" s="63">
        <f>($A$2*B202)/$J$2</f>
        <v>4.0876387860843815E-26</v>
      </c>
      <c r="D202" s="92">
        <f xml:space="preserve"> $D$2 *( 5/2  +   LN(  ((2*$B$2*$E$2*$A$2*B202)/($C$2*$C$2) )^1.5  * ($D$2*B202 )/($F$2*$J$2)  ) )</f>
        <v>156.61785316505157</v>
      </c>
      <c r="E202" s="63">
        <f t="shared" ref="E202:E220" si="42">$D$2 *LN( (EXP(1)*B202) / ($B$6 * $C$198))</f>
        <v>67.653939264232719</v>
      </c>
      <c r="F202" s="63" cm="1">
        <f t="array" ref="F202">$D$2*SUM( (($B$12:$B$14)/B202)/(EXP($B$12:$B$14/B176)-1) - LN( 1 - EXP( (-1 * $B$12:$B$14)/B202 ) ) )</f>
        <v>1.179703357421839</v>
      </c>
      <c r="G202" s="64">
        <f>$D$2*LN(K198)</f>
        <v>0</v>
      </c>
      <c r="H202" s="84">
        <f>300</f>
        <v>300</v>
      </c>
      <c r="I202" s="86">
        <f xml:space="preserve"> $D$2 *( 5/2  +   LN(  ((2*$B$2*$E$2*$A$2*B202)/($C$2*$C$2) )^1.5  * ($D$2*B202 )/($F$2*$J$2)  ) ) / 4.184</f>
        <v>37.432565288014239</v>
      </c>
      <c r="J202" s="86">
        <f>$D$2 *LN( (EXP(1)*H202) / ($B$6 * $C$198)) / 4.184</f>
        <v>16.169679556460974</v>
      </c>
      <c r="K202" s="86" cm="1">
        <f t="array" ref="K202">$D$2*SUM( (($B$12:$B$14)/B202)/(EXP($B$12:$B$14/B176)-1) - LN( 1 - EXP( (-1 * $B$12:$B$14)/B202 ) ) ) / 4.184</f>
        <v>0.28195586936468425</v>
      </c>
      <c r="L202" s="89">
        <f>$D$2*LN(K198)</f>
        <v>0</v>
      </c>
      <c r="O202" s="1"/>
    </row>
    <row r="203" spans="1:15" x14ac:dyDescent="0.3">
      <c r="B203" s="56">
        <f>B202+100</f>
        <v>400</v>
      </c>
      <c r="C203" s="63">
        <f t="shared" ref="C203:C220" si="43">($A$2*B203)/$J$2</f>
        <v>5.4501850481125095E-26</v>
      </c>
      <c r="D203" s="92">
        <f t="shared" ref="D203:D220" si="44" xml:space="preserve"> $D$2 *( 5/2  +   LN(  ((2*$B$2*$E$2*$A$2*B203)/($C$2*$C$2) )^1.5  * ($D$2*B203 )/($F$2*$J$2)  ) )</f>
        <v>162.59766450580739</v>
      </c>
      <c r="E203" s="63">
        <f t="shared" si="42"/>
        <v>70.045863800535031</v>
      </c>
      <c r="F203" s="63" cm="1">
        <f t="array" ref="F203">$D$2*SUM( (($B$12:$B$14)/B203)/(EXP($B$12:$B$14/B177)-1) - LN( 1 - EXP( (-1 * $B$12:$B$14)/B203 ) ) )</f>
        <v>2.667743142205635</v>
      </c>
      <c r="H203" s="56">
        <f>H202+100</f>
        <v>400</v>
      </c>
      <c r="I203" s="92">
        <f xml:space="preserve"> $D$2 *( 5/2  +   LN(  ((2*$B$2*$E$2*$A$2*B203)/($C$2*$C$2) )^1.5  * ($D$2*B203 )/($F$2*$J$2)  ) )/ 4.184</f>
        <v>38.861774499475949</v>
      </c>
      <c r="J203" s="63">
        <f t="shared" ref="J203:J220" si="45">$D$2 *LN( (EXP(1)*H203) / ($B$6 * $C$198)) / 4.184</f>
        <v>16.741363241045658</v>
      </c>
      <c r="K203" s="63" cm="1">
        <f t="array" ref="K203">$D$2*SUM( (($B$12:$B$14)/B203)/(EXP($B$12:$B$14/B176)-1) - LN( 1 - EXP( (-1 * $B$12:$B$14)/B203 ) ) )/ 4.184</f>
        <v>0.32419924470292089</v>
      </c>
      <c r="O203" s="83"/>
    </row>
    <row r="204" spans="1:15" ht="18" x14ac:dyDescent="0.3">
      <c r="B204" s="56">
        <f t="shared" ref="B204:B220" si="46">B203+100</f>
        <v>500</v>
      </c>
      <c r="C204" s="63">
        <f t="shared" si="43"/>
        <v>6.8127313101406362E-26</v>
      </c>
      <c r="D204" s="92">
        <f t="shared" si="44"/>
        <v>167.23596652926375</v>
      </c>
      <c r="E204" s="63">
        <f t="shared" si="42"/>
        <v>71.901184609917593</v>
      </c>
      <c r="F204" s="63" cm="1">
        <f t="array" ref="F204">$D$2*SUM( (($B$12:$B$14)/B204)/(EXP($B$12:$B$14/B178)-1) - LN( 1 - EXP( (-1 * $B$12:$B$14)/B204 ) ) )</f>
        <v>4.5007240664104202</v>
      </c>
      <c r="H204" s="56">
        <f t="shared" ref="H204:H220" si="47">H203+100</f>
        <v>500</v>
      </c>
      <c r="I204" s="92">
        <f t="shared" ref="I204:I220" si="48" xml:space="preserve"> $D$2 *( 5/2  +   LN(  ((2*$B$2*$E$2*$A$2*B204)/($C$2*$C$2) )^1.5  * ($D$2*B204 )/($F$2*$J$2)  ) )/ 4.184</f>
        <v>39.970355289020972</v>
      </c>
      <c r="J204" s="63">
        <f t="shared" si="45"/>
        <v>17.184795556863669</v>
      </c>
      <c r="K204" s="63" cm="1">
        <f t="array" ref="K204">$D$2*SUM( (($B$12:$B$14)/B204)/(EXP($B$12:$B$14/B177)-1) - LN( 1 - EXP( (-1 * $B$12:$B$14)/B204 ) ) )/ 4.184</f>
        <v>0.68041417774194768</v>
      </c>
      <c r="M204" s="145"/>
      <c r="N204" s="145"/>
      <c r="O204" s="83"/>
    </row>
    <row r="205" spans="1:15" ht="18.600000000000001" thickBot="1" x14ac:dyDescent="0.35">
      <c r="B205" s="56">
        <f t="shared" si="46"/>
        <v>600</v>
      </c>
      <c r="C205" s="63">
        <f t="shared" si="43"/>
        <v>8.175277572168763E-26</v>
      </c>
      <c r="D205" s="92">
        <f t="shared" si="44"/>
        <v>171.02573522666313</v>
      </c>
      <c r="E205" s="63">
        <f t="shared" si="42"/>
        <v>73.417092088877325</v>
      </c>
      <c r="F205" s="63" cm="1">
        <f t="array" ref="F205">$D$2*SUM( (($B$12:$B$14)/B205)/(EXP($B$12:$B$14/B179)-1) - LN( 1 - EXP( (-1 * $B$12:$B$14)/B205 ) ) )</f>
        <v>6.509378631033262</v>
      </c>
      <c r="H205" s="56">
        <f t="shared" si="47"/>
        <v>600</v>
      </c>
      <c r="I205" s="92">
        <f t="shared" si="48"/>
        <v>40.876131746334401</v>
      </c>
      <c r="J205" s="63">
        <f t="shared" si="45"/>
        <v>17.547106139789037</v>
      </c>
      <c r="K205" s="63" cm="1">
        <f t="array" ref="K205">$D$2*SUM( (($B$12:$B$14)/B205)/(EXP($B$12:$B$14/B178)-1) - LN( 1 - EXP( (-1 * $B$12:$B$14)/B205 ) ) )/ 4.184</f>
        <v>1.1153501198633895</v>
      </c>
      <c r="M205" s="145" t="s">
        <v>88</v>
      </c>
      <c r="N205" s="145"/>
      <c r="O205" s="83"/>
    </row>
    <row r="206" spans="1:15" x14ac:dyDescent="0.3">
      <c r="B206" s="56">
        <f t="shared" si="46"/>
        <v>700</v>
      </c>
      <c r="C206" s="63">
        <f t="shared" si="43"/>
        <v>9.5378238341968898E-26</v>
      </c>
      <c r="D206" s="92">
        <f t="shared" si="44"/>
        <v>174.22993900467489</v>
      </c>
      <c r="E206" s="63">
        <f t="shared" si="42"/>
        <v>74.698773600082035</v>
      </c>
      <c r="F206" s="63" cm="1">
        <f t="array" ref="F206">$D$2*SUM( (($B$12:$B$14)/B206)/(EXP($B$12:$B$14/B180)-1) - LN( 1 - EXP( (-1 * $B$12:$B$14)/B206 ) ) )</f>
        <v>8.5750202931338091</v>
      </c>
      <c r="H206" s="56">
        <f t="shared" si="47"/>
        <v>700</v>
      </c>
      <c r="I206" s="92">
        <f t="shared" si="48"/>
        <v>41.641954829033196</v>
      </c>
      <c r="J206" s="63">
        <f t="shared" si="45"/>
        <v>17.853435372868553</v>
      </c>
      <c r="K206" s="63" cm="1">
        <f t="array" ref="K206">$D$2*SUM( (($B$12:$B$14)/B206)/(EXP($B$12:$B$14/B179)-1) - LN( 1 - EXP( (-1 * $B$12:$B$14)/B206 ) ) )/ 4.184</f>
        <v>1.5910060526064655</v>
      </c>
      <c r="M206" s="72"/>
      <c r="N206" s="68" t="s">
        <v>3</v>
      </c>
      <c r="O206" s="83"/>
    </row>
    <row r="207" spans="1:15" x14ac:dyDescent="0.3">
      <c r="B207" s="56">
        <f t="shared" si="46"/>
        <v>800</v>
      </c>
      <c r="C207" s="63">
        <f t="shared" si="43"/>
        <v>1.0900370096225019E-25</v>
      </c>
      <c r="D207" s="92">
        <f t="shared" si="44"/>
        <v>177.00554656741883</v>
      </c>
      <c r="E207" s="63">
        <f t="shared" si="42"/>
        <v>75.809016625179638</v>
      </c>
      <c r="F207" s="63" cm="1">
        <f t="array" ref="F207">$D$2*SUM( (($B$12:$B$14)/B207)/(EXP($B$12:$B$14/B181)-1) - LN( 1 - EXP( (-1 * $B$12:$B$14)/B207 ) ) )</f>
        <v>10.624078767493966</v>
      </c>
      <c r="H207" s="56">
        <f t="shared" si="47"/>
        <v>800</v>
      </c>
      <c r="I207" s="92">
        <f t="shared" si="48"/>
        <v>42.305340957796084</v>
      </c>
      <c r="J207" s="63">
        <f t="shared" si="45"/>
        <v>18.118789824373717</v>
      </c>
      <c r="K207" s="63" cm="1">
        <f t="array" ref="K207">$D$2*SUM( (($B$12:$B$14)/B207)/(EXP($B$12:$B$14/B180)-1) - LN( 1 - EXP( (-1 * $B$12:$B$14)/B207 ) ) )/ 4.184</f>
        <v>2.0801919411685748</v>
      </c>
      <c r="M207" s="73"/>
      <c r="N207" s="78" t="s">
        <v>5</v>
      </c>
      <c r="O207" s="83"/>
    </row>
    <row r="208" spans="1:15" x14ac:dyDescent="0.3">
      <c r="B208" s="56">
        <f t="shared" si="46"/>
        <v>900</v>
      </c>
      <c r="C208" s="63">
        <f t="shared" si="43"/>
        <v>1.2262916358253145E-25</v>
      </c>
      <c r="D208" s="92">
        <f t="shared" si="44"/>
        <v>179.45380594751896</v>
      </c>
      <c r="E208" s="63">
        <f t="shared" si="42"/>
        <v>76.788320377219648</v>
      </c>
      <c r="F208" s="63" cm="1">
        <f t="array" ref="F208">$D$2*SUM( (($B$12:$B$14)/B208)/(EXP($B$12:$B$14/B182)-1) - LN( 1 - EXP( (-1 * $B$12:$B$14)/B208 ) ) )</f>
        <v>12.61533709344455</v>
      </c>
      <c r="H208" s="56">
        <f t="shared" si="47"/>
        <v>900</v>
      </c>
      <c r="I208" s="92">
        <f t="shared" si="48"/>
        <v>42.890488993192868</v>
      </c>
      <c r="J208" s="63">
        <f t="shared" si="45"/>
        <v>18.352849038532419</v>
      </c>
      <c r="K208" s="63" cm="1">
        <f t="array" ref="K208">$D$2*SUM( (($B$12:$B$14)/B208)/(EXP($B$12:$B$14/B181)-1) - LN( 1 - EXP( (-1 * $B$12:$B$14)/B208 ) ) )/ 4.184</f>
        <v>2.5658130253763485</v>
      </c>
      <c r="M208" s="73" t="s">
        <v>6</v>
      </c>
      <c r="N208" s="80">
        <v>57.375</v>
      </c>
      <c r="O208" s="83"/>
    </row>
    <row r="209" spans="1:14" x14ac:dyDescent="0.3">
      <c r="B209" s="56">
        <f t="shared" si="46"/>
        <v>1000</v>
      </c>
      <c r="C209" s="63">
        <f t="shared" si="43"/>
        <v>1.3625462620281272E-25</v>
      </c>
      <c r="D209" s="92">
        <f t="shared" si="44"/>
        <v>181.64384859087528</v>
      </c>
      <c r="E209" s="63">
        <f t="shared" si="42"/>
        <v>77.664337434562199</v>
      </c>
      <c r="F209" s="63" cm="1">
        <f t="array" ref="F209">$D$2*SUM( (($B$12:$B$14)/B209)/(EXP($B$12:$B$14/B183)-1) - LN( 1 - EXP( (-1 * $B$12:$B$14)/B209 ) ) )</f>
        <v>14.528113879747822</v>
      </c>
      <c r="H209" s="56">
        <f t="shared" si="47"/>
        <v>1000</v>
      </c>
      <c r="I209" s="92">
        <f t="shared" si="48"/>
        <v>43.413921747341128</v>
      </c>
      <c r="J209" s="63">
        <f t="shared" si="45"/>
        <v>18.562222140191729</v>
      </c>
      <c r="K209" s="63" cm="1">
        <f t="array" ref="K209">$D$2*SUM( (($B$12:$B$14)/B209)/(EXP($B$12:$B$14/B182)-1) - LN( 1 - EXP( (-1 * $B$12:$B$14)/B209 ) ) )/ 4.184</f>
        <v>3.0381642210462294</v>
      </c>
      <c r="M209" s="73" t="s">
        <v>7</v>
      </c>
      <c r="N209" s="80">
        <v>1.377</v>
      </c>
    </row>
    <row r="210" spans="1:14" x14ac:dyDescent="0.3">
      <c r="B210" s="56">
        <f t="shared" si="46"/>
        <v>1100</v>
      </c>
      <c r="C210" s="63">
        <f t="shared" si="43"/>
        <v>1.4988008882309398E-25</v>
      </c>
      <c r="D210" s="92">
        <f t="shared" si="44"/>
        <v>183.62498314412042</v>
      </c>
      <c r="E210" s="63">
        <f t="shared" si="42"/>
        <v>78.456791255860225</v>
      </c>
      <c r="F210" s="63" cm="1">
        <f t="array" ref="F210">$D$2*SUM( (($B$12:$B$14)/B210)/(EXP($B$12:$B$14/B184)-1) - LN( 1 - EXP( (-1 * $B$12:$B$14)/B210 ) ) )</f>
        <v>16.353921581209143</v>
      </c>
      <c r="H210" s="56">
        <f t="shared" si="47"/>
        <v>1100</v>
      </c>
      <c r="I210" s="92">
        <f t="shared" si="48"/>
        <v>43.887424269627253</v>
      </c>
      <c r="J210" s="63">
        <f t="shared" si="45"/>
        <v>18.751623149106173</v>
      </c>
      <c r="K210" s="63" cm="1">
        <f t="array" ref="K210">$D$2*SUM( (($B$12:$B$14)/B210)/(EXP($B$12:$B$14/B183)-1) - LN( 1 - EXP( (-1 * $B$12:$B$14)/B210 ) ) )/ 4.184</f>
        <v>3.4922984847347225</v>
      </c>
      <c r="M210" s="73" t="s">
        <v>9</v>
      </c>
      <c r="N210" s="80">
        <v>37.402999999999999</v>
      </c>
    </row>
    <row r="211" spans="1:14" x14ac:dyDescent="0.3">
      <c r="A211" s="3"/>
      <c r="B211" s="56">
        <f t="shared" si="46"/>
        <v>1200</v>
      </c>
      <c r="C211" s="63">
        <f t="shared" si="43"/>
        <v>1.6350555144337526E-25</v>
      </c>
      <c r="D211" s="92">
        <f t="shared" si="44"/>
        <v>185.43361728827466</v>
      </c>
      <c r="E211" s="63">
        <f t="shared" si="42"/>
        <v>79.180244913521932</v>
      </c>
      <c r="F211" s="63" cm="1">
        <f t="array" ref="F211">$D$2*SUM( (($B$12:$B$14)/B211)/(EXP($B$12:$B$14/B185)-1) - LN( 1 - EXP( (-1 * $B$12:$B$14)/B211 ) ) )</f>
        <v>18.091199620615217</v>
      </c>
      <c r="H211" s="56">
        <f t="shared" si="47"/>
        <v>1200</v>
      </c>
      <c r="I211" s="92">
        <f t="shared" si="48"/>
        <v>44.319698204654557</v>
      </c>
      <c r="J211" s="63">
        <f t="shared" si="45"/>
        <v>18.924532723117096</v>
      </c>
      <c r="K211" s="63" cm="1">
        <f t="array" ref="K211">$D$2*SUM( (($B$12:$B$14)/B211)/(EXP($B$12:$B$14/B184)-1) - LN( 1 - EXP( (-1 * $B$12:$B$14)/B211 ) ) )/ 4.184</f>
        <v>3.9261277850011416</v>
      </c>
      <c r="M211" s="73" t="s">
        <v>10</v>
      </c>
      <c r="N211" s="80">
        <v>18.318000000000001</v>
      </c>
    </row>
    <row r="212" spans="1:14" ht="15" thickBot="1" x14ac:dyDescent="0.35">
      <c r="B212" s="56">
        <f t="shared" si="46"/>
        <v>1300</v>
      </c>
      <c r="C212" s="63">
        <f t="shared" si="43"/>
        <v>1.7713101406365654E-25</v>
      </c>
      <c r="D212" s="92">
        <f t="shared" si="44"/>
        <v>187.09739941766421</v>
      </c>
      <c r="E212" s="63">
        <f t="shared" si="42"/>
        <v>79.845757765277739</v>
      </c>
      <c r="F212" s="63" cm="1">
        <f t="array" ref="F212">$D$2*SUM( (($B$12:$B$14)/B212)/(EXP($B$12:$B$14/B186)-1) - LN( 1 - EXP( (-1 * $B$12:$B$14)/B212 ) ) )</f>
        <v>19.742154236672942</v>
      </c>
      <c r="H212" s="56">
        <f t="shared" si="47"/>
        <v>1300</v>
      </c>
      <c r="I212" s="92">
        <f t="shared" si="48"/>
        <v>44.717351677261995</v>
      </c>
      <c r="J212" s="63">
        <f t="shared" si="45"/>
        <v>19.083594112160071</v>
      </c>
      <c r="K212" s="63" cm="1">
        <f t="array" ref="K212">$D$2*SUM( (($B$12:$B$14)/B212)/(EXP($B$12:$B$14/B185)-1) - LN( 1 - EXP( (-1 * $B$12:$B$14)/B212 ) ) )/ 4.184</f>
        <v>4.3392063805660879</v>
      </c>
      <c r="M212" s="74" t="s">
        <v>11</v>
      </c>
      <c r="N212" s="82">
        <v>0.27600000000000002</v>
      </c>
    </row>
    <row r="213" spans="1:14" x14ac:dyDescent="0.3">
      <c r="B213" s="56">
        <f t="shared" si="46"/>
        <v>1400</v>
      </c>
      <c r="C213" s="63">
        <f t="shared" si="43"/>
        <v>1.907564766839378E-25</v>
      </c>
      <c r="D213" s="92">
        <f t="shared" si="44"/>
        <v>188.63782106628642</v>
      </c>
      <c r="E213" s="63">
        <f t="shared" si="42"/>
        <v>80.461926424726641</v>
      </c>
      <c r="F213" s="63" cm="1">
        <f t="array" ref="F213">$D$2*SUM( (($B$12:$B$14)/B213)/(EXP($B$12:$B$14/B187)-1) - LN( 1 - EXP( (-1 * $B$12:$B$14)/B213 ) ) )</f>
        <v>21.310910885828154</v>
      </c>
      <c r="H213" s="56">
        <f t="shared" si="47"/>
        <v>1400</v>
      </c>
      <c r="I213" s="92">
        <f t="shared" si="48"/>
        <v>45.085521287353352</v>
      </c>
      <c r="J213" s="63">
        <f t="shared" si="45"/>
        <v>19.230861956196616</v>
      </c>
      <c r="K213" s="63" cm="1">
        <f t="array" ref="K213">$D$2*SUM( (($B$12:$B$14)/B213)/(EXP($B$12:$B$14/B186)-1) - LN( 1 - EXP( (-1 * $B$12:$B$14)/B213 ) ) )/ 4.184</f>
        <v>4.7319924078756994</v>
      </c>
    </row>
    <row r="214" spans="1:14" ht="15" thickBot="1" x14ac:dyDescent="0.35">
      <c r="B214" s="56">
        <f t="shared" si="46"/>
        <v>1500</v>
      </c>
      <c r="C214" s="63">
        <f t="shared" si="43"/>
        <v>2.0438193930421908E-25</v>
      </c>
      <c r="D214" s="92">
        <f t="shared" si="44"/>
        <v>190.07191931173099</v>
      </c>
      <c r="E214" s="63">
        <f t="shared" si="42"/>
        <v>81.035565722904508</v>
      </c>
      <c r="F214" s="63" cm="1">
        <f t="array" ref="F214">$D$2*SUM( (($B$12:$B$14)/B214)/(EXP($B$12:$B$14/B188)-1) - LN( 1 - EXP( (-1 * $B$12:$B$14)/B214 ) ) )</f>
        <v>22.802452328905201</v>
      </c>
      <c r="H214" s="56">
        <f t="shared" si="47"/>
        <v>1500</v>
      </c>
      <c r="I214" s="92">
        <f t="shared" si="48"/>
        <v>45.428278994199566</v>
      </c>
      <c r="J214" s="63">
        <f t="shared" si="45"/>
        <v>19.367965038935111</v>
      </c>
      <c r="K214" s="63" cm="1">
        <f t="array" ref="K214">$D$2*SUM( (($B$12:$B$14)/B214)/(EXP($B$12:$B$14/B187)-1) - LN( 1 - EXP( (-1 * $B$12:$B$14)/B214 ) ) )/ 4.184</f>
        <v>5.1054119031548941</v>
      </c>
    </row>
    <row r="215" spans="1:14" ht="15" thickBot="1" x14ac:dyDescent="0.35">
      <c r="B215" s="56">
        <f t="shared" si="46"/>
        <v>1600</v>
      </c>
      <c r="C215" s="63">
        <f t="shared" si="43"/>
        <v>2.1800740192450038E-25</v>
      </c>
      <c r="D215" s="92">
        <f t="shared" si="44"/>
        <v>191.41342862903039</v>
      </c>
      <c r="E215" s="63">
        <f t="shared" si="42"/>
        <v>81.572169449824244</v>
      </c>
      <c r="F215" s="63" cm="1">
        <f t="array" ref="F215">$D$2*SUM( (($B$12:$B$14)/B215)/(EXP($B$12:$B$14/B189)-1) - LN( 1 - EXP( (-1 * $B$12:$B$14)/B215 ) ) )</f>
        <v>24.222019104549563</v>
      </c>
      <c r="H215" s="56">
        <f t="shared" si="47"/>
        <v>1600</v>
      </c>
      <c r="I215" s="92">
        <f t="shared" si="48"/>
        <v>45.748907416116246</v>
      </c>
      <c r="J215" s="63">
        <f t="shared" si="45"/>
        <v>19.496216407701777</v>
      </c>
      <c r="K215" s="63" cm="1">
        <f t="array" ref="K215">$D$2*SUM( (($B$12:$B$14)/B215)/(EXP($B$12:$B$14/B188)-1) - LN( 1 - EXP( (-1 * $B$12:$B$14)/B215 ) ) )/ 4.184</f>
        <v>5.4606058853610202</v>
      </c>
      <c r="M215" s="32" t="s">
        <v>99</v>
      </c>
      <c r="N215" s="129">
        <f>SUM(I202:L202)</f>
        <v>53.884200713839896</v>
      </c>
    </row>
    <row r="216" spans="1:14" x14ac:dyDescent="0.3">
      <c r="B216" s="56">
        <f t="shared" si="46"/>
        <v>1700</v>
      </c>
      <c r="C216" s="63">
        <f t="shared" si="43"/>
        <v>2.3163286454478159E-25</v>
      </c>
      <c r="D216" s="92">
        <f t="shared" si="44"/>
        <v>192.6735829305388</v>
      </c>
      <c r="E216" s="63">
        <f t="shared" si="42"/>
        <v>82.07623117042759</v>
      </c>
      <c r="F216" s="63" cm="1">
        <f t="array" ref="F216">$D$2*SUM( (($B$12:$B$14)/B216)/(EXP($B$12:$B$14/B190)-1) - LN( 1 - EXP( (-1 * $B$12:$B$14)/B216 ) ) )</f>
        <v>25.574780144552697</v>
      </c>
      <c r="H216" s="56">
        <f t="shared" si="47"/>
        <v>1700</v>
      </c>
      <c r="I216" s="92">
        <f t="shared" si="48"/>
        <v>46.050091522595316</v>
      </c>
      <c r="J216" s="63">
        <f t="shared" si="45"/>
        <v>19.6166900502934</v>
      </c>
      <c r="K216" s="63" cm="1">
        <f t="array" ref="K216">$D$2*SUM( (($B$12:$B$14)/B216)/(EXP($B$12:$B$14/B189)-1) - LN( 1 - EXP( (-1 * $B$12:$B$14)/B216 ) ) )/ 4.184</f>
        <v>5.798786169607391</v>
      </c>
    </row>
    <row r="217" spans="1:14" x14ac:dyDescent="0.3">
      <c r="B217" s="56">
        <f t="shared" si="46"/>
        <v>1800</v>
      </c>
      <c r="C217" s="63">
        <f t="shared" si="43"/>
        <v>2.4525832716506289E-25</v>
      </c>
      <c r="D217" s="92">
        <f t="shared" si="44"/>
        <v>193.86168800913038</v>
      </c>
      <c r="E217" s="63">
        <f t="shared" si="42"/>
        <v>82.551473201864255</v>
      </c>
      <c r="F217" s="63" cm="1">
        <f t="array" ref="F217">$D$2*SUM( (($B$12:$B$14)/B217)/(EXP($B$12:$B$14/B191)-1) - LN( 1 - EXP( (-1 * $B$12:$B$14)/B217 ) ) )</f>
        <v>26.865660513294273</v>
      </c>
      <c r="H217" s="56">
        <f t="shared" si="47"/>
        <v>1800</v>
      </c>
      <c r="I217" s="92">
        <f t="shared" si="48"/>
        <v>46.334055451512995</v>
      </c>
      <c r="J217" s="63">
        <f t="shared" si="45"/>
        <v>19.730275621860482</v>
      </c>
      <c r="K217" s="63" cm="1">
        <f t="array" ref="K217">$D$2*SUM( (($B$12:$B$14)/B217)/(EXP($B$12:$B$14/B190)-1) - LN( 1 - EXP( (-1 * $B$12:$B$14)/B217 ) ) )/ 4.184</f>
        <v>6.1211552280767405</v>
      </c>
    </row>
    <row r="218" spans="1:14" x14ac:dyDescent="0.3">
      <c r="B218" s="56">
        <f t="shared" si="46"/>
        <v>1900</v>
      </c>
      <c r="C218" s="63">
        <f t="shared" si="43"/>
        <v>2.5888378978534419E-25</v>
      </c>
      <c r="D218" s="92">
        <f t="shared" si="44"/>
        <v>194.98553900255419</v>
      </c>
      <c r="E218" s="63">
        <f t="shared" si="42"/>
        <v>83.001013599233758</v>
      </c>
      <c r="F218" s="63" cm="1">
        <f t="array" ref="F218">$D$2*SUM( (($B$12:$B$14)/B218)/(EXP($B$12:$B$14/B192)-1) - LN( 1 - EXP( (-1 * $B$12:$B$14)/B218 ) ) )</f>
        <v>28.099259989151353</v>
      </c>
      <c r="H218" s="56">
        <f t="shared" si="47"/>
        <v>1900</v>
      </c>
      <c r="I218" s="92">
        <f t="shared" si="48"/>
        <v>46.602662285505303</v>
      </c>
      <c r="J218" s="63">
        <f t="shared" si="45"/>
        <v>19.837718355457397</v>
      </c>
      <c r="K218" s="63" cm="1">
        <f t="array" ref="K218">$D$2*SUM( (($B$12:$B$14)/B218)/(EXP($B$12:$B$14/B191)-1) - LN( 1 - EXP( (-1 * $B$12:$B$14)/B218 ) ) )/ 4.184</f>
        <v>6.4288635973383448</v>
      </c>
    </row>
    <row r="219" spans="1:14" x14ac:dyDescent="0.3">
      <c r="B219" s="56">
        <f t="shared" si="46"/>
        <v>2000</v>
      </c>
      <c r="C219" s="63">
        <f t="shared" si="43"/>
        <v>2.7250925240562545E-25</v>
      </c>
      <c r="D219" s="92">
        <f t="shared" si="44"/>
        <v>196.05173065248684</v>
      </c>
      <c r="E219" s="63">
        <f t="shared" si="42"/>
        <v>83.42749025920682</v>
      </c>
      <c r="F219" s="63" cm="1">
        <f t="array" ref="F219">$D$2*SUM( (($B$12:$B$14)/B219)/(EXP($B$12:$B$14/B193)-1) - LN( 1 - EXP( (-1 * $B$12:$B$14)/B219 ) ) )</f>
        <v>29.279823568268249</v>
      </c>
      <c r="H219" s="56">
        <f t="shared" si="47"/>
        <v>2000</v>
      </c>
      <c r="I219" s="92">
        <f t="shared" si="48"/>
        <v>46.857488205661291</v>
      </c>
      <c r="J219" s="63">
        <f t="shared" si="45"/>
        <v>19.939648723519795</v>
      </c>
      <c r="K219" s="63" cm="1">
        <f t="array" ref="K219">$D$2*SUM( (($B$12:$B$14)/B219)/(EXP($B$12:$B$14/B192)-1) - LN( 1 - EXP( (-1 * $B$12:$B$14)/B219 ) ) )/ 4.184</f>
        <v>6.7229891707926308</v>
      </c>
    </row>
    <row r="220" spans="1:14" ht="15" thickBot="1" x14ac:dyDescent="0.35">
      <c r="B220" s="31">
        <f t="shared" si="46"/>
        <v>2100</v>
      </c>
      <c r="C220" s="64">
        <f t="shared" si="43"/>
        <v>2.8613471502590675E-25</v>
      </c>
      <c r="D220" s="95">
        <f t="shared" si="44"/>
        <v>197.06589178714216</v>
      </c>
      <c r="E220" s="64">
        <f t="shared" si="42"/>
        <v>83.83315471306895</v>
      </c>
      <c r="F220" s="64" cm="1">
        <f t="array" ref="F220">$D$2*SUM( (($B$12:$B$14)/B220)/(EXP($B$12:$B$14/B194)-1) - LN( 1 - EXP( (-1 * $B$12:$B$14)/B220 ) ) )</f>
        <v>30.411240999317489</v>
      </c>
      <c r="G220" s="3"/>
      <c r="H220" s="31">
        <f t="shared" si="47"/>
        <v>2100</v>
      </c>
      <c r="I220" s="95">
        <f t="shared" si="48"/>
        <v>47.099878534211797</v>
      </c>
      <c r="J220" s="64">
        <f t="shared" si="45"/>
        <v>20.036604854939998</v>
      </c>
      <c r="K220" s="64" cm="1">
        <f t="array" ref="K220">$D$2*SUM( (($B$12:$B$14)/B220)/(EXP($B$12:$B$14/B193)-1) - LN( 1 - EXP( (-1 * $B$12:$B$14)/B220 ) ) )/ 4.184</f>
        <v>7.0045291157175154</v>
      </c>
      <c r="L220" s="3"/>
    </row>
    <row r="224" spans="1:14" ht="15" thickBot="1" x14ac:dyDescent="0.35">
      <c r="A224" s="2" t="s">
        <v>80</v>
      </c>
      <c r="B224" s="139" t="s">
        <v>96</v>
      </c>
      <c r="C224" s="139"/>
      <c r="D224" s="139"/>
      <c r="E224" s="139"/>
      <c r="F224" s="139"/>
      <c r="H224" s="139" t="s">
        <v>97</v>
      </c>
      <c r="I224" s="139"/>
      <c r="J224" s="139"/>
      <c r="K224" s="139"/>
      <c r="L224" s="139"/>
    </row>
    <row r="225" spans="1:15" ht="18" x14ac:dyDescent="0.3">
      <c r="A225" s="2" t="s">
        <v>77</v>
      </c>
      <c r="B225" s="58" t="s">
        <v>23</v>
      </c>
      <c r="C225" s="37" t="s">
        <v>73</v>
      </c>
      <c r="D225" s="37" t="s">
        <v>10</v>
      </c>
      <c r="E225" s="37" t="s">
        <v>11</v>
      </c>
      <c r="F225" s="37" t="s">
        <v>74</v>
      </c>
      <c r="H225" s="58" t="s">
        <v>23</v>
      </c>
      <c r="I225" s="37" t="s">
        <v>73</v>
      </c>
      <c r="J225" s="37" t="s">
        <v>10</v>
      </c>
      <c r="K225" s="37" t="s">
        <v>11</v>
      </c>
      <c r="L225" s="37" t="s">
        <v>74</v>
      </c>
    </row>
    <row r="226" spans="1:15" ht="15" thickBot="1" x14ac:dyDescent="0.35">
      <c r="B226" s="56">
        <f>300</f>
        <v>300</v>
      </c>
      <c r="C226" s="63">
        <f>3/2*$D$2</f>
        <v>12.471708</v>
      </c>
      <c r="D226" s="63">
        <f>3/2*$D$2</f>
        <v>12.471708</v>
      </c>
      <c r="E226" s="63" cm="1">
        <f t="array" ref="E226">$D$2*SUM( ( ($B$12:$B$14) * ($B$12:$B$14)* EXP($B$12:$B$14/B226) ) / ( B226*B226* ( EXP(( $B$12:$B$14)/B226 )  -1)^2 ) )</f>
        <v>3.7429420915166953</v>
      </c>
      <c r="F226" s="64">
        <v>0</v>
      </c>
      <c r="H226" s="56">
        <f>300</f>
        <v>300</v>
      </c>
      <c r="I226" s="86">
        <f>3/2*$D$2 / 4.184</f>
        <v>2.9808097514340344</v>
      </c>
      <c r="J226" s="86">
        <f>3/2*$D$2 / 4.184</f>
        <v>2.9808097514340344</v>
      </c>
      <c r="K226" s="86" cm="1">
        <f t="array" ref="K226">$D$2*SUM( ( ($B$12:$B$14) * ($B$12:$B$14)* EXP($B$12:$B$14/B226) ) / ( B226*B226* ( EXP(( $B$12:$B$14)/B226 )  -1)^2 ) )/ 4.184</f>
        <v>0.89458462990360788</v>
      </c>
      <c r="L226" s="89">
        <v>0</v>
      </c>
    </row>
    <row r="227" spans="1:15" x14ac:dyDescent="0.3">
      <c r="B227" s="56">
        <f>B226+100</f>
        <v>400</v>
      </c>
      <c r="C227" s="63">
        <f t="shared" ref="C227:D244" si="49">3/2*$D$2</f>
        <v>12.471708</v>
      </c>
      <c r="D227" s="63">
        <f t="shared" si="49"/>
        <v>12.471708</v>
      </c>
      <c r="E227" s="63" cm="1">
        <f t="array" ref="E227">$D$2*SUM( ( ($B$12:$B$14) * ($B$12:$B$14)* EXP($B$12:$B$14/B227) ) / ( B227*B227* ( EXP(( $B$12:$B$14)/B227 )  -1)^2 ) )</f>
        <v>6.770913903120058</v>
      </c>
      <c r="H227" s="56">
        <f>H226+100</f>
        <v>400</v>
      </c>
      <c r="I227" s="63">
        <f t="shared" ref="I227:J244" si="50">3/2*$D$2 / 4.184</f>
        <v>2.9808097514340344</v>
      </c>
      <c r="J227" s="63">
        <f t="shared" si="50"/>
        <v>2.9808097514340344</v>
      </c>
      <c r="K227" s="63" cm="1">
        <f t="array" ref="K227">$D$2*SUM( ( ($B$12:$B$14) * ($B$12:$B$14)* EXP($B$12:$B$14/B227) ) / ( B227*B227* ( EXP(( $B$12:$B$14)/B227 )  -1)^2 ) )/ 4.184</f>
        <v>1.6182872617399755</v>
      </c>
    </row>
    <row r="228" spans="1:15" ht="18.600000000000001" thickBot="1" x14ac:dyDescent="0.35">
      <c r="B228" s="56">
        <f t="shared" ref="B228:B244" si="51">B227+100</f>
        <v>500</v>
      </c>
      <c r="C228" s="63">
        <f t="shared" si="49"/>
        <v>12.471708</v>
      </c>
      <c r="D228" s="63">
        <f t="shared" si="49"/>
        <v>12.471708</v>
      </c>
      <c r="E228" s="63" cm="1">
        <f t="array" ref="E228">$D$2*SUM( ( ($B$12:$B$14) * ($B$12:$B$14)* EXP($B$12:$B$14/B228) ) / ( B228*B228* ( EXP(( $B$12:$B$14)/B228 )  -1)^2 ) )</f>
        <v>9.7243012552900829</v>
      </c>
      <c r="H228" s="56">
        <f t="shared" ref="H228:H244" si="52">H227+100</f>
        <v>500</v>
      </c>
      <c r="I228" s="63">
        <f t="shared" si="50"/>
        <v>2.9808097514340344</v>
      </c>
      <c r="J228" s="63">
        <f t="shared" si="50"/>
        <v>2.9808097514340344</v>
      </c>
      <c r="K228" s="63" cm="1">
        <f t="array" ref="K228">$D$2*SUM( ( ($B$12:$B$14) * ($B$12:$B$14)* EXP($B$12:$B$14/B228) ) / ( B228*B228* ( EXP(( $B$12:$B$14)/B228 )  -1)^2 ) )/ 4.184</f>
        <v>2.3241637799450485</v>
      </c>
      <c r="M228" s="145" t="s">
        <v>88</v>
      </c>
      <c r="N228" s="145"/>
    </row>
    <row r="229" spans="1:15" x14ac:dyDescent="0.3">
      <c r="B229" s="56">
        <f t="shared" si="51"/>
        <v>600</v>
      </c>
      <c r="C229" s="63">
        <f t="shared" si="49"/>
        <v>12.471708</v>
      </c>
      <c r="D229" s="63">
        <f t="shared" si="49"/>
        <v>12.471708</v>
      </c>
      <c r="E229" s="63" cm="1">
        <f t="array" ref="E229">$D$2*SUM( ( ($B$12:$B$14) * ($B$12:$B$14)* EXP($B$12:$B$14/B229) ) / ( B229*B229* ( EXP(( $B$12:$B$14)/B229 )  -1)^2 ) )</f>
        <v>12.316713231995921</v>
      </c>
      <c r="H229" s="56">
        <f t="shared" si="52"/>
        <v>600</v>
      </c>
      <c r="I229" s="63">
        <f t="shared" si="50"/>
        <v>2.9808097514340344</v>
      </c>
      <c r="J229" s="63">
        <f t="shared" si="50"/>
        <v>2.9808097514340344</v>
      </c>
      <c r="K229" s="63" cm="1">
        <f t="array" ref="K229">$D$2*SUM( ( ($B$12:$B$14) * ($B$12:$B$14)* EXP($B$12:$B$14/B229) ) / ( B229*B229* ( EXP(( $B$12:$B$14)/B229 )  -1)^2 ) )/ 4.184</f>
        <v>2.9437651128097326</v>
      </c>
      <c r="M229" s="72"/>
      <c r="N229" s="68" t="s">
        <v>82</v>
      </c>
      <c r="O229" s="1"/>
    </row>
    <row r="230" spans="1:15" x14ac:dyDescent="0.3">
      <c r="B230" s="56">
        <f t="shared" si="51"/>
        <v>700</v>
      </c>
      <c r="C230" s="63">
        <f t="shared" si="49"/>
        <v>12.471708</v>
      </c>
      <c r="D230" s="63">
        <f t="shared" si="49"/>
        <v>12.471708</v>
      </c>
      <c r="E230" s="63" cm="1">
        <f t="array" ref="E230">$D$2*SUM( ( ($B$12:$B$14) * ($B$12:$B$14)* EXP($B$12:$B$14/B230) ) / ( B230*B230* ( EXP(( $B$12:$B$14)/B230 )  -1)^2 ) )</f>
        <v>14.465290088905785</v>
      </c>
      <c r="H230" s="56">
        <f t="shared" si="52"/>
        <v>700</v>
      </c>
      <c r="I230" s="63">
        <f t="shared" si="50"/>
        <v>2.9808097514340344</v>
      </c>
      <c r="J230" s="63">
        <f t="shared" si="50"/>
        <v>2.9808097514340344</v>
      </c>
      <c r="K230" s="63" cm="1">
        <f t="array" ref="K230">$D$2*SUM( ( ($B$12:$B$14) * ($B$12:$B$14)* EXP($B$12:$B$14/B230) ) / ( B230*B230* ( EXP(( $B$12:$B$14)/B230 )  -1)^2 ) )/ 4.184</f>
        <v>3.4572873061438298</v>
      </c>
      <c r="M230" s="73"/>
      <c r="N230" s="78" t="s">
        <v>5</v>
      </c>
      <c r="O230" s="1"/>
    </row>
    <row r="231" spans="1:15" x14ac:dyDescent="0.3">
      <c r="B231" s="56">
        <f t="shared" si="51"/>
        <v>800</v>
      </c>
      <c r="C231" s="63">
        <f t="shared" si="49"/>
        <v>12.471708</v>
      </c>
      <c r="D231" s="63">
        <f t="shared" si="49"/>
        <v>12.471708</v>
      </c>
      <c r="E231" s="63" cm="1">
        <f t="array" ref="E231">$D$2*SUM( ( ($B$12:$B$14) * ($B$12:$B$14)* EXP($B$12:$B$14/B231) ) / ( B231*B231* ( EXP(( $B$12:$B$14)/B231 )  -1)^2 ) )</f>
        <v>16.199828320286912</v>
      </c>
      <c r="H231" s="56">
        <f t="shared" si="52"/>
        <v>800</v>
      </c>
      <c r="I231" s="63">
        <f t="shared" si="50"/>
        <v>2.9808097514340344</v>
      </c>
      <c r="J231" s="63">
        <f t="shared" si="50"/>
        <v>2.9808097514340344</v>
      </c>
      <c r="K231" s="63" cm="1">
        <f t="array" ref="K231">$D$2*SUM( ( ($B$12:$B$14) * ($B$12:$B$14)* EXP($B$12:$B$14/B231) ) / ( B231*B231* ( EXP(( $B$12:$B$14)/B231 )  -1)^2 ) )/ 4.184</f>
        <v>3.8718518929940036</v>
      </c>
      <c r="M231" s="73" t="s">
        <v>6</v>
      </c>
      <c r="N231" s="80">
        <v>6.843</v>
      </c>
      <c r="O231" s="83"/>
    </row>
    <row r="232" spans="1:15" x14ac:dyDescent="0.3">
      <c r="B232" s="56">
        <f t="shared" si="51"/>
        <v>900</v>
      </c>
      <c r="C232" s="63">
        <f t="shared" si="49"/>
        <v>12.471708</v>
      </c>
      <c r="D232" s="63">
        <f t="shared" si="49"/>
        <v>12.471708</v>
      </c>
      <c r="E232" s="63" cm="1">
        <f t="array" ref="E232">$D$2*SUM( ( ($B$12:$B$14) * ($B$12:$B$14)* EXP($B$12:$B$14/B232) ) / ( B232*B232* ( EXP(( $B$12:$B$14)/B232 )  -1)^2 ) )</f>
        <v>17.588055800393981</v>
      </c>
      <c r="H232" s="56">
        <f t="shared" si="52"/>
        <v>900</v>
      </c>
      <c r="I232" s="63">
        <f t="shared" si="50"/>
        <v>2.9808097514340344</v>
      </c>
      <c r="J232" s="63">
        <f t="shared" si="50"/>
        <v>2.9808097514340344</v>
      </c>
      <c r="K232" s="63" cm="1">
        <f t="array" ref="K232">$D$2*SUM( ( ($B$12:$B$14) * ($B$12:$B$14)* EXP($B$12:$B$14/B232) ) / ( B232*B232* ( EXP(( $B$12:$B$14)/B232 )  -1)^2 ) )/ 4.184</f>
        <v>4.203646223803533</v>
      </c>
      <c r="M232" s="73" t="s">
        <v>7</v>
      </c>
      <c r="N232" s="80" t="s">
        <v>8</v>
      </c>
      <c r="O232" s="83"/>
    </row>
    <row r="233" spans="1:15" x14ac:dyDescent="0.3">
      <c r="B233" s="56">
        <f t="shared" si="51"/>
        <v>1000</v>
      </c>
      <c r="C233" s="63">
        <f t="shared" si="49"/>
        <v>12.471708</v>
      </c>
      <c r="D233" s="63">
        <f t="shared" si="49"/>
        <v>12.471708</v>
      </c>
      <c r="E233" s="63" cm="1">
        <f t="array" ref="E233">$D$2*SUM( ( ($B$12:$B$14) * ($B$12:$B$14)* EXP($B$12:$B$14/B233) ) / ( B233*B233* ( EXP(( $B$12:$B$14)/B233 )  -1)^2 ) )</f>
        <v>18.699958226122664</v>
      </c>
      <c r="H233" s="56">
        <f t="shared" si="52"/>
        <v>1000</v>
      </c>
      <c r="I233" s="63">
        <f t="shared" si="50"/>
        <v>2.9808097514340344</v>
      </c>
      <c r="J233" s="63">
        <f t="shared" si="50"/>
        <v>2.9808097514340344</v>
      </c>
      <c r="K233" s="63" cm="1">
        <f t="array" ref="K233">$D$2*SUM( ( ($B$12:$B$14) * ($B$12:$B$14)* EXP($B$12:$B$14/B233) ) / ( B233*B233* ( EXP(( $B$12:$B$14)/B233 )  -1)^2 ) )/ 4.184</f>
        <v>4.4693972815780745</v>
      </c>
      <c r="M233" s="73" t="s">
        <v>9</v>
      </c>
      <c r="N233" s="80">
        <v>2.9809999999999999</v>
      </c>
      <c r="O233" s="83"/>
    </row>
    <row r="234" spans="1:15" x14ac:dyDescent="0.3">
      <c r="B234" s="56">
        <f t="shared" si="51"/>
        <v>1100</v>
      </c>
      <c r="C234" s="63">
        <f t="shared" si="49"/>
        <v>12.471708</v>
      </c>
      <c r="D234" s="63">
        <f t="shared" si="49"/>
        <v>12.471708</v>
      </c>
      <c r="E234" s="63" cm="1">
        <f t="array" ref="E234">$D$2*SUM( ( ($B$12:$B$14) * ($B$12:$B$14)* EXP($B$12:$B$14/B234) ) / ( B234*B234* ( EXP(( $B$12:$B$14)/B234 )  -1)^2 ) )</f>
        <v>19.595512806013744</v>
      </c>
      <c r="H234" s="56">
        <f t="shared" si="52"/>
        <v>1100</v>
      </c>
      <c r="I234" s="63">
        <f t="shared" si="50"/>
        <v>2.9808097514340344</v>
      </c>
      <c r="J234" s="63">
        <f t="shared" si="50"/>
        <v>2.9808097514340344</v>
      </c>
      <c r="K234" s="63" cm="1">
        <f t="array" ref="K234">$D$2*SUM( ( ($B$12:$B$14) * ($B$12:$B$14)* EXP($B$12:$B$14/B234) ) / ( B234*B234* ( EXP(( $B$12:$B$14)/B234 )  -1)^2 ) )/ 4.184</f>
        <v>4.6834399631964017</v>
      </c>
      <c r="M234" s="73" t="s">
        <v>10</v>
      </c>
      <c r="N234" s="80">
        <v>2.9809999999999999</v>
      </c>
      <c r="O234" s="83"/>
    </row>
    <row r="235" spans="1:15" ht="15" thickBot="1" x14ac:dyDescent="0.35">
      <c r="B235" s="56">
        <f t="shared" si="51"/>
        <v>1200</v>
      </c>
      <c r="C235" s="63">
        <f t="shared" si="49"/>
        <v>12.471708</v>
      </c>
      <c r="D235" s="63">
        <f t="shared" si="49"/>
        <v>12.471708</v>
      </c>
      <c r="E235" s="63" cm="1">
        <f t="array" ref="E235">$D$2*SUM( ( ($B$12:$B$14) * ($B$12:$B$14)* EXP($B$12:$B$14/B235) ) / ( B235*B235* ( EXP(( $B$12:$B$14)/B235 )  -1)^2 ) )</f>
        <v>20.322517224980594</v>
      </c>
      <c r="H235" s="56">
        <f t="shared" si="52"/>
        <v>1200</v>
      </c>
      <c r="I235" s="63">
        <f t="shared" si="50"/>
        <v>2.9808097514340344</v>
      </c>
      <c r="J235" s="63">
        <f t="shared" si="50"/>
        <v>2.9808097514340344</v>
      </c>
      <c r="K235" s="63" cm="1">
        <f t="array" ref="K235">$D$2*SUM( ( ($B$12:$B$14) * ($B$12:$B$14)* EXP($B$12:$B$14/B235) ) / ( B235*B235* ( EXP(( $B$12:$B$14)/B235 )  -1)^2 ) )/ 4.184</f>
        <v>4.8571981895269101</v>
      </c>
      <c r="M235" s="74" t="s">
        <v>11</v>
      </c>
      <c r="N235" s="82">
        <v>0.88200000000000001</v>
      </c>
      <c r="O235" s="83"/>
    </row>
    <row r="236" spans="1:15" x14ac:dyDescent="0.3">
      <c r="B236" s="56">
        <f t="shared" si="51"/>
        <v>1300</v>
      </c>
      <c r="C236" s="63">
        <f t="shared" si="49"/>
        <v>12.471708</v>
      </c>
      <c r="D236" s="63">
        <f t="shared" si="49"/>
        <v>12.471708</v>
      </c>
      <c r="E236" s="63" cm="1">
        <f t="array" ref="E236">$D$2*SUM( ( ($B$12:$B$14) * ($B$12:$B$14)* EXP($B$12:$B$14/B236) ) / ( B236*B236* ( EXP(( $B$12:$B$14)/B236 )  -1)^2 ) )</f>
        <v>20.917918642920434</v>
      </c>
      <c r="H236" s="56">
        <f t="shared" si="52"/>
        <v>1300</v>
      </c>
      <c r="I236" s="63">
        <f t="shared" si="50"/>
        <v>2.9808097514340344</v>
      </c>
      <c r="J236" s="63">
        <f t="shared" si="50"/>
        <v>2.9808097514340344</v>
      </c>
      <c r="K236" s="63" cm="1">
        <f t="array" ref="K236">$D$2*SUM( ( ($B$12:$B$14) * ($B$12:$B$14)* EXP($B$12:$B$14/B236) ) / ( B236*B236* ( EXP(( $B$12:$B$14)/B236 )  -1)^2 ) )/ 4.184</f>
        <v>4.999502543719033</v>
      </c>
      <c r="N236" s="83"/>
      <c r="O236" s="83"/>
    </row>
    <row r="237" spans="1:15" x14ac:dyDescent="0.3">
      <c r="B237" s="56">
        <f t="shared" si="51"/>
        <v>1400</v>
      </c>
      <c r="C237" s="63">
        <f t="shared" si="49"/>
        <v>12.471708</v>
      </c>
      <c r="D237" s="63">
        <f t="shared" si="49"/>
        <v>12.471708</v>
      </c>
      <c r="E237" s="63" cm="1">
        <f t="array" ref="E237">$D$2*SUM( ( ($B$12:$B$14) * ($B$12:$B$14)* EXP($B$12:$B$14/B237) ) / ( B237*B237* ( EXP(( $B$12:$B$14)/B237 )  -1)^2 ) )</f>
        <v>21.409957074773974</v>
      </c>
      <c r="H237" s="56">
        <f t="shared" si="52"/>
        <v>1400</v>
      </c>
      <c r="I237" s="63">
        <f t="shared" si="50"/>
        <v>2.9808097514340344</v>
      </c>
      <c r="J237" s="63">
        <f t="shared" si="50"/>
        <v>2.9808097514340344</v>
      </c>
      <c r="K237" s="63" cm="1">
        <f t="array" ref="K237">$D$2*SUM( ( ($B$12:$B$14) * ($B$12:$B$14)* EXP($B$12:$B$14/B237) ) / ( B237*B237* ( EXP(( $B$12:$B$14)/B237 )  -1)^2 ) )/ 4.184</f>
        <v>5.1171025513322119</v>
      </c>
    </row>
    <row r="238" spans="1:15" ht="15" thickBot="1" x14ac:dyDescent="0.35">
      <c r="B238" s="56">
        <f t="shared" si="51"/>
        <v>1500</v>
      </c>
      <c r="C238" s="63">
        <f t="shared" si="49"/>
        <v>12.471708</v>
      </c>
      <c r="D238" s="63">
        <f t="shared" si="49"/>
        <v>12.471708</v>
      </c>
      <c r="E238" s="63" cm="1">
        <f t="array" ref="E238">$D$2*SUM( ( ($B$12:$B$14) * ($B$12:$B$14)* EXP($B$12:$B$14/B238) ) / ( B238*B238* ( EXP(( $B$12:$B$14)/B238 )  -1)^2 ) )</f>
        <v>21.820183411668278</v>
      </c>
      <c r="H238" s="56">
        <f t="shared" si="52"/>
        <v>1500</v>
      </c>
      <c r="I238" s="63">
        <f t="shared" si="50"/>
        <v>2.9808097514340344</v>
      </c>
      <c r="J238" s="63">
        <f t="shared" si="50"/>
        <v>2.9808097514340344</v>
      </c>
      <c r="K238" s="63" cm="1">
        <f t="array" ref="K238">$D$2*SUM( ( ($B$12:$B$14) * ($B$12:$B$14)* EXP($B$12:$B$14/B238) ) / ( B238*B238* ( EXP(( $B$12:$B$14)/B238 )  -1)^2 ) )/ 4.184</f>
        <v>5.2151489989646933</v>
      </c>
    </row>
    <row r="239" spans="1:15" ht="15" thickBot="1" x14ac:dyDescent="0.35">
      <c r="B239" s="56">
        <f t="shared" si="51"/>
        <v>1600</v>
      </c>
      <c r="C239" s="63">
        <f t="shared" si="49"/>
        <v>12.471708</v>
      </c>
      <c r="D239" s="63">
        <f t="shared" si="49"/>
        <v>12.471708</v>
      </c>
      <c r="E239" s="63" cm="1">
        <f t="array" ref="E239">$D$2*SUM( ( ($B$12:$B$14) * ($B$12:$B$14)* EXP($B$12:$B$14/B239) ) / ( B239*B239* ( EXP(( $B$12:$B$14)/B239 )  -1)^2 ) )</f>
        <v>22.165101861199577</v>
      </c>
      <c r="H239" s="56">
        <f t="shared" si="52"/>
        <v>1600</v>
      </c>
      <c r="I239" s="63">
        <f t="shared" si="50"/>
        <v>2.9808097514340344</v>
      </c>
      <c r="J239" s="63">
        <f t="shared" si="50"/>
        <v>2.9808097514340344</v>
      </c>
      <c r="K239" s="63" cm="1">
        <f t="array" ref="K239">$D$2*SUM( ( ($B$12:$B$14) * ($B$12:$B$14)* EXP($B$12:$B$14/B239) ) / ( B239*B239* ( EXP(( $B$12:$B$14)/B239 )  -1)^2 ) )/ 4.184</f>
        <v>5.2975864869023841</v>
      </c>
      <c r="M239" s="32" t="s">
        <v>99</v>
      </c>
      <c r="N239" s="128">
        <f>SUM(I226:L226)</f>
        <v>6.8562041327716763</v>
      </c>
    </row>
    <row r="240" spans="1:15" x14ac:dyDescent="0.3">
      <c r="B240" s="56">
        <f t="shared" si="51"/>
        <v>1700</v>
      </c>
      <c r="C240" s="63">
        <f t="shared" si="49"/>
        <v>12.471708</v>
      </c>
      <c r="D240" s="63">
        <f t="shared" si="49"/>
        <v>12.471708</v>
      </c>
      <c r="E240" s="63" cm="1">
        <f t="array" ref="E240">$D$2*SUM( ( ($B$12:$B$14) * ($B$12:$B$14)* EXP($B$12:$B$14/B240) ) / ( B240*B240* ( EXP(( $B$12:$B$14)/B240 )  -1)^2 ) )</f>
        <v>22.457430547489128</v>
      </c>
      <c r="H240" s="56">
        <f t="shared" si="52"/>
        <v>1700</v>
      </c>
      <c r="I240" s="63">
        <f t="shared" si="50"/>
        <v>2.9808097514340344</v>
      </c>
      <c r="J240" s="63">
        <f t="shared" si="50"/>
        <v>2.9808097514340344</v>
      </c>
      <c r="K240" s="63" cm="1">
        <f t="array" ref="K240">$D$2*SUM( ( ($B$12:$B$14) * ($B$12:$B$14)* EXP($B$12:$B$14/B240) ) / ( B240*B240* ( EXP(( $B$12:$B$14)/B240 )  -1)^2 ) )/ 4.184</f>
        <v>5.3674547197631757</v>
      </c>
    </row>
    <row r="241" spans="1:12" x14ac:dyDescent="0.3">
      <c r="B241" s="56">
        <f t="shared" si="51"/>
        <v>1800</v>
      </c>
      <c r="C241" s="63">
        <f t="shared" si="49"/>
        <v>12.471708</v>
      </c>
      <c r="D241" s="63">
        <f t="shared" si="49"/>
        <v>12.471708</v>
      </c>
      <c r="E241" s="63" cm="1">
        <f t="array" ref="E241">$D$2*SUM( ( ($B$12:$B$14) * ($B$12:$B$14)* EXP($B$12:$B$14/B241) ) / ( B241*B241* ( EXP(( $B$12:$B$14)/B241 )  -1)^2 ) )</f>
        <v>22.70704464852124</v>
      </c>
      <c r="H241" s="56">
        <f t="shared" si="52"/>
        <v>1800</v>
      </c>
      <c r="I241" s="63">
        <f t="shared" si="50"/>
        <v>2.9808097514340344</v>
      </c>
      <c r="J241" s="63">
        <f t="shared" si="50"/>
        <v>2.9808097514340344</v>
      </c>
      <c r="K241" s="63" cm="1">
        <f t="array" ref="K241">$D$2*SUM( ( ($B$12:$B$14) * ($B$12:$B$14)* EXP($B$12:$B$14/B241) ) / ( B241*B241* ( EXP(( $B$12:$B$14)/B241 )  -1)^2 ) )/ 4.184</f>
        <v>5.4271139217306974</v>
      </c>
    </row>
    <row r="242" spans="1:12" x14ac:dyDescent="0.3">
      <c r="B242" s="56">
        <f t="shared" si="51"/>
        <v>1900</v>
      </c>
      <c r="C242" s="63">
        <f t="shared" si="49"/>
        <v>12.471708</v>
      </c>
      <c r="D242" s="63">
        <f t="shared" si="49"/>
        <v>12.471708</v>
      </c>
      <c r="E242" s="63" cm="1">
        <f t="array" ref="E242">$D$2*SUM( ( ($B$12:$B$14) * ($B$12:$B$14)* EXP($B$12:$B$14/B242) ) / ( B242*B242* ( EXP(( $B$12:$B$14)/B242 )  -1)^2 ) )</f>
        <v>22.921675007165359</v>
      </c>
      <c r="H242" s="56">
        <f t="shared" si="52"/>
        <v>1900</v>
      </c>
      <c r="I242" s="63">
        <f t="shared" si="50"/>
        <v>2.9808097514340344</v>
      </c>
      <c r="J242" s="63">
        <f t="shared" si="50"/>
        <v>2.9808097514340344</v>
      </c>
      <c r="K242" s="63" cm="1">
        <f t="array" ref="K242">$D$2*SUM( ( ($B$12:$B$14) * ($B$12:$B$14)* EXP($B$12:$B$14/B242) ) / ( B242*B242* ( EXP(( $B$12:$B$14)/B242 )  -1)^2 ) )/ 4.184</f>
        <v>5.4784118085959266</v>
      </c>
    </row>
    <row r="243" spans="1:12" x14ac:dyDescent="0.3">
      <c r="B243" s="56">
        <f t="shared" si="51"/>
        <v>2000</v>
      </c>
      <c r="C243" s="63">
        <f t="shared" si="49"/>
        <v>12.471708</v>
      </c>
      <c r="D243" s="63">
        <f t="shared" si="49"/>
        <v>12.471708</v>
      </c>
      <c r="E243" s="63" cm="1">
        <f t="array" ref="E243">$D$2*SUM( ( ($B$12:$B$14) * ($B$12:$B$14)* EXP($B$12:$B$14/B243) ) / ( B243*B243* ( EXP(( $B$12:$B$14)/B243 )  -1)^2 ) )</f>
        <v>23.107424646062281</v>
      </c>
      <c r="H243" s="56">
        <f t="shared" si="52"/>
        <v>2000</v>
      </c>
      <c r="I243" s="63">
        <f t="shared" si="50"/>
        <v>2.9808097514340344</v>
      </c>
      <c r="J243" s="63">
        <f t="shared" si="50"/>
        <v>2.9808097514340344</v>
      </c>
      <c r="K243" s="63" cm="1">
        <f t="array" ref="K243">$D$2*SUM( ( ($B$12:$B$14) * ($B$12:$B$14)* EXP($B$12:$B$14/B243) ) / ( B243*B243* ( EXP(( $B$12:$B$14)/B243 )  -1)^2 ) )/ 4.184</f>
        <v>5.5228070377777918</v>
      </c>
    </row>
    <row r="244" spans="1:12" ht="15" thickBot="1" x14ac:dyDescent="0.35">
      <c r="B244" s="31">
        <f t="shared" si="51"/>
        <v>2100</v>
      </c>
      <c r="C244" s="64">
        <f t="shared" si="49"/>
        <v>12.471708</v>
      </c>
      <c r="D244" s="64">
        <f t="shared" si="49"/>
        <v>12.471708</v>
      </c>
      <c r="E244" s="64" cm="1">
        <f t="array" ref="E244">$D$2*SUM( ( ($B$12:$B$14) * ($B$12:$B$14)* EXP($B$12:$B$14/B244) ) / ( B244*B244* ( EXP(( $B$12:$B$14)/B244 )  -1)^2 ) )</f>
        <v>23.269151645429975</v>
      </c>
      <c r="F244" s="3"/>
      <c r="H244" s="31">
        <f t="shared" si="52"/>
        <v>2100</v>
      </c>
      <c r="I244" s="64">
        <f t="shared" si="50"/>
        <v>2.9808097514340344</v>
      </c>
      <c r="J244" s="64">
        <f t="shared" si="50"/>
        <v>2.9808097514340344</v>
      </c>
      <c r="K244" s="64" cm="1">
        <f t="array" ref="K244">$D$2*SUM( ( ($B$12:$B$14) * ($B$12:$B$14)* EXP($B$12:$B$14/B244) ) / ( B244*B244* ( EXP(( $B$12:$B$14)/B244 )  -1)^2 ) )/ 4.184</f>
        <v>5.5614607183150033</v>
      </c>
      <c r="L244" s="3"/>
    </row>
    <row r="247" spans="1:12" ht="15" thickBot="1" x14ac:dyDescent="0.35">
      <c r="A247" s="2" t="s">
        <v>84</v>
      </c>
    </row>
    <row r="248" spans="1:12" ht="18" x14ac:dyDescent="0.3">
      <c r="A248" s="2" t="s">
        <v>85</v>
      </c>
      <c r="B248" s="58" t="s">
        <v>23</v>
      </c>
      <c r="C248" s="37" t="s">
        <v>73</v>
      </c>
      <c r="D248" s="37" t="s">
        <v>10</v>
      </c>
      <c r="E248" s="37" t="s">
        <v>11</v>
      </c>
      <c r="F248" s="37" t="s">
        <v>74</v>
      </c>
    </row>
    <row r="249" spans="1:12" ht="15" thickBot="1" x14ac:dyDescent="0.35">
      <c r="B249" s="56">
        <f>300</f>
        <v>300</v>
      </c>
      <c r="C249" s="63">
        <f xml:space="preserve"> -1 * $D$2 * LN( (($A$2 *B249) / $F$83 ) /$F$2 * EXP(1) * $G$2 )</f>
        <v>311.18938872676637</v>
      </c>
      <c r="D249" s="63">
        <f>$D$2 * B249*LN( (B249) / ($B$6 * $C$198))</f>
        <v>17801.840179269817</v>
      </c>
      <c r="E249" s="63" cm="1">
        <f t="array" ref="E249">$D$2*SUM( ( 0.5 * ($B$12:$B$14)  - B249 * LN( 1 - EXP( - ($B$12:$B$14) / B249 ) ) ) )</f>
        <v>23125.376944949898</v>
      </c>
      <c r="F249" s="64">
        <f>$F$2*$B$134 + 0.5*$D$2*SUM(B12:B29)</f>
        <v>-538334033.9679929</v>
      </c>
    </row>
    <row r="250" spans="1:12" x14ac:dyDescent="0.3">
      <c r="B250" s="56">
        <f>B249+100</f>
        <v>400</v>
      </c>
      <c r="C250" s="63">
        <f t="shared" ref="C250:C267" si="53" xml:space="preserve"> -1 * $D$2 * LN( (($A$2 *B250) / $F$83 ) /$F$2 * EXP(1) * $G$2 )</f>
        <v>308.79746419046404</v>
      </c>
      <c r="D250" s="63">
        <f t="shared" ref="D250:D267" si="54">$D$2 * B250*LN( (B250) / ($B$6 * $C$198))</f>
        <v>24692.556720214012</v>
      </c>
      <c r="E250" s="63" cm="1">
        <f t="array" ref="E250">$D$2*SUM( ( 0.5 * ($B$12:$B$14)  - B250 * LN( 1 - EXP( - ($B$12:$B$14) / B250 ) ) ) )</f>
        <v>23314.045793658155</v>
      </c>
    </row>
    <row r="251" spans="1:12" x14ac:dyDescent="0.3">
      <c r="B251" s="56">
        <f t="shared" ref="B251:B267" si="55">B250+100</f>
        <v>500</v>
      </c>
      <c r="C251" s="63">
        <f t="shared" si="53"/>
        <v>306.94214338108151</v>
      </c>
      <c r="D251" s="63">
        <f t="shared" si="54"/>
        <v>31793.35630495879</v>
      </c>
      <c r="E251" s="63" cm="1">
        <f t="array" ref="E251">$D$2*SUM( ( 0.5 * ($B$12:$B$14)  - B251 * LN( 1 - EXP( - ($B$12:$B$14) / B251 ) ) ) )</f>
        <v>23670.374996612056</v>
      </c>
    </row>
    <row r="252" spans="1:12" x14ac:dyDescent="0.3">
      <c r="B252" s="56">
        <f t="shared" si="55"/>
        <v>600</v>
      </c>
      <c r="C252" s="63">
        <f t="shared" si="53"/>
        <v>305.42623590212173</v>
      </c>
      <c r="D252" s="63">
        <f t="shared" si="54"/>
        <v>39061.572053326403</v>
      </c>
      <c r="E252" s="63" cm="1">
        <f t="array" ref="E252">$D$2*SUM( ( 0.5 * ($B$12:$B$14)  - B252 * LN( 1 - EXP( - ($B$12:$B$14) / B252 ) ) ) )</f>
        <v>24219.9879043119</v>
      </c>
    </row>
    <row r="253" spans="1:12" x14ac:dyDescent="0.3">
      <c r="B253" s="56">
        <f t="shared" si="55"/>
        <v>700</v>
      </c>
      <c r="C253" s="63">
        <f t="shared" si="53"/>
        <v>304.14455439091705</v>
      </c>
      <c r="D253" s="63">
        <f t="shared" si="54"/>
        <v>46469.011120057425</v>
      </c>
      <c r="E253" s="63" cm="1">
        <f t="array" ref="E253">$D$2*SUM( ( 0.5 * ($B$12:$B$14)  - B253 * LN( 1 - EXP( - ($B$12:$B$14) / B253 ) ) ) )</f>
        <v>24974.099252565757</v>
      </c>
    </row>
    <row r="254" spans="1:12" x14ac:dyDescent="0.3">
      <c r="B254" s="56">
        <f t="shared" si="55"/>
        <v>800</v>
      </c>
      <c r="C254" s="63">
        <f t="shared" si="53"/>
        <v>303.03431136581941</v>
      </c>
      <c r="D254" s="63">
        <f t="shared" si="54"/>
        <v>53995.635700143714</v>
      </c>
      <c r="E254" s="63" cm="1">
        <f t="array" ref="E254">$D$2*SUM( ( 0.5 * ($B$12:$B$14)  - B254 * LN( 1 - EXP( - ($B$12:$B$14) / B254 ) ) ) )</f>
        <v>25934.403512851542</v>
      </c>
    </row>
    <row r="255" spans="1:12" x14ac:dyDescent="0.3">
      <c r="B255" s="56">
        <f t="shared" si="55"/>
        <v>900</v>
      </c>
      <c r="C255" s="63">
        <f t="shared" si="53"/>
        <v>302.05500761377942</v>
      </c>
      <c r="D255" s="63">
        <f t="shared" si="54"/>
        <v>61626.463539497679</v>
      </c>
      <c r="E255" s="63" cm="1">
        <f t="array" ref="E255">$D$2*SUM( ( 0.5 * ($B$12:$B$14)  - B255 * LN( 1 - EXP( - ($B$12:$B$14) / B255 ) ) ) )</f>
        <v>27096.966027213552</v>
      </c>
    </row>
    <row r="256" spans="1:12" x14ac:dyDescent="0.3">
      <c r="B256" s="56">
        <f t="shared" si="55"/>
        <v>1000</v>
      </c>
      <c r="C256" s="63">
        <f t="shared" si="53"/>
        <v>301.17899055643687</v>
      </c>
      <c r="D256" s="63">
        <f t="shared" si="54"/>
        <v>69349.865434562205</v>
      </c>
      <c r="E256" s="63" cm="1">
        <f t="array" ref="E256">$D$2*SUM( ( 0.5 * ($B$12:$B$14)  - B256 * LN( 1 - EXP( - ($B$12:$B$14) / B256 ) ) ) )</f>
        <v>28454.841743970879</v>
      </c>
    </row>
    <row r="257" spans="1:12" x14ac:dyDescent="0.3">
      <c r="B257" s="56">
        <f t="shared" si="55"/>
        <v>1100</v>
      </c>
      <c r="C257" s="63">
        <f t="shared" si="53"/>
        <v>300.38653673513886</v>
      </c>
      <c r="D257" s="63">
        <f t="shared" si="54"/>
        <v>77156.551181446237</v>
      </c>
      <c r="E257" s="63" cm="1">
        <f t="array" ref="E257">$D$2*SUM( ( 0.5 * ($B$12:$B$14)  - B257 * LN( 1 - EXP( - ($B$12:$B$14) / B257 ) ) ) )</f>
        <v>29999.682410366146</v>
      </c>
    </row>
    <row r="258" spans="1:12" x14ac:dyDescent="0.3">
      <c r="B258" s="56">
        <f t="shared" si="55"/>
        <v>1200</v>
      </c>
      <c r="C258" s="63">
        <f t="shared" si="53"/>
        <v>299.66308307747715</v>
      </c>
      <c r="D258" s="63">
        <f t="shared" si="54"/>
        <v>85038.92749622633</v>
      </c>
      <c r="E258" s="63" cm="1">
        <f t="array" ref="E258">$D$2*SUM( ( 0.5 * ($B$12:$B$14)  - B258 * LN( 1 - EXP( - ($B$12:$B$14) / B258 ) ) ) )</f>
        <v>31722.671053969825</v>
      </c>
    </row>
    <row r="259" spans="1:12" x14ac:dyDescent="0.3">
      <c r="B259" s="56">
        <f t="shared" si="55"/>
        <v>1300</v>
      </c>
      <c r="C259" s="63">
        <f t="shared" si="53"/>
        <v>298.99757022572129</v>
      </c>
      <c r="D259" s="63">
        <f t="shared" si="54"/>
        <v>92990.671494861061</v>
      </c>
      <c r="E259" s="63" cm="1">
        <f t="array" ref="E259">$D$2*SUM( ( 0.5 * ($B$12:$B$14)  - B259 * LN( 1 - EXP( - ($B$12:$B$14) / B259 ) ) ) )</f>
        <v>33615.042854406624</v>
      </c>
    </row>
    <row r="260" spans="1:12" x14ac:dyDescent="0.3">
      <c r="B260" s="56">
        <f t="shared" si="55"/>
        <v>1400</v>
      </c>
      <c r="C260" s="63">
        <f t="shared" si="53"/>
        <v>298.38140156627242</v>
      </c>
      <c r="D260" s="63">
        <f t="shared" si="54"/>
        <v>101006.4361946173</v>
      </c>
      <c r="E260" s="63" cm="1">
        <f t="array" ref="E260">$D$2*SUM( ( 0.5 * ($B$12:$B$14)  - B260 * LN( 1 - EXP( - ($B$12:$B$14) / B260 ) ) ) )</f>
        <v>35668.361075104505</v>
      </c>
    </row>
    <row r="261" spans="1:12" x14ac:dyDescent="0.3">
      <c r="B261" s="56">
        <f t="shared" si="55"/>
        <v>1500</v>
      </c>
      <c r="C261" s="63">
        <f t="shared" si="53"/>
        <v>297.80776226809462</v>
      </c>
      <c r="D261" s="63">
        <f t="shared" si="54"/>
        <v>109081.64058435676</v>
      </c>
      <c r="E261" s="63" cm="1">
        <f t="array" ref="E261">$D$2*SUM( ( 0.5 * ($B$12:$B$14)  - B261 * LN( 1 - EXP( - ($B$12:$B$14) / B261 ) ) ) )</f>
        <v>37874.650939145213</v>
      </c>
    </row>
    <row r="262" spans="1:12" x14ac:dyDescent="0.3">
      <c r="B262" s="56">
        <f t="shared" si="55"/>
        <v>1600</v>
      </c>
      <c r="C262" s="63">
        <f t="shared" si="53"/>
        <v>297.27115854117488</v>
      </c>
      <c r="D262" s="63">
        <f t="shared" si="54"/>
        <v>117212.31591971881</v>
      </c>
      <c r="E262" s="63" cm="1">
        <f t="array" ref="E262">$D$2*SUM( ( 0.5 * ($B$12:$B$14)  - B262 * LN( 1 - EXP( - ($B$12:$B$14) / B262 ) ) ) )</f>
        <v>40226.452484748224</v>
      </c>
    </row>
    <row r="263" spans="1:12" x14ac:dyDescent="0.3">
      <c r="B263" s="56">
        <f t="shared" si="55"/>
        <v>1700</v>
      </c>
      <c r="C263" s="63">
        <f t="shared" si="53"/>
        <v>296.76709682057151</v>
      </c>
      <c r="D263" s="63">
        <f t="shared" si="54"/>
        <v>125394.99058972689</v>
      </c>
      <c r="E263" s="63" cm="1">
        <f t="array" ref="E263">$D$2*SUM( ( 0.5 * ($B$12:$B$14)  - B263 * LN( 1 - EXP( - ($B$12:$B$14) / B263 ) ) ) )</f>
        <v>42716.828184652368</v>
      </c>
    </row>
    <row r="264" spans="1:12" x14ac:dyDescent="0.3">
      <c r="B264" s="56">
        <f t="shared" si="55"/>
        <v>1800</v>
      </c>
      <c r="C264" s="63">
        <f t="shared" si="53"/>
        <v>296.29185478913485</v>
      </c>
      <c r="D264" s="63">
        <f t="shared" si="54"/>
        <v>133626.60216335565</v>
      </c>
      <c r="E264" s="63" cm="1">
        <f t="array" ref="E264">$D$2*SUM( ( 0.5 * ($B$12:$B$14)  - B264 * LN( 1 - EXP( - ($B$12:$B$14) / B264 ) ) ) )</f>
        <v>45339.346192604338</v>
      </c>
    </row>
    <row r="265" spans="1:12" x14ac:dyDescent="0.3">
      <c r="B265" s="56">
        <f t="shared" si="55"/>
        <v>1900</v>
      </c>
      <c r="C265" s="63">
        <f t="shared" si="53"/>
        <v>295.84231439176534</v>
      </c>
      <c r="D265" s="63">
        <f t="shared" si="54"/>
        <v>141904.42903854413</v>
      </c>
      <c r="E265" s="63" cm="1">
        <f t="array" ref="E265">$D$2*SUM( ( 0.5 * ($B$12:$B$14)  - B265 * LN( 1 - EXP( - ($B$12:$B$14) / B265 ) ) ) )</f>
        <v>48088.051322075553</v>
      </c>
    </row>
    <row r="266" spans="1:12" x14ac:dyDescent="0.3">
      <c r="B266" s="56">
        <f t="shared" si="55"/>
        <v>2000</v>
      </c>
      <c r="C266" s="63">
        <f t="shared" si="53"/>
        <v>295.41583773179224</v>
      </c>
      <c r="D266" s="63">
        <f t="shared" si="54"/>
        <v>150226.03651841363</v>
      </c>
      <c r="E266" s="63" cm="1">
        <f t="array" ref="E266">$D$2*SUM( ( 0.5 * ($B$12:$B$14)  - B266 * LN( 1 - EXP( - ($B$12:$B$14) / B266 ) ) ) )</f>
        <v>50957.430723880723</v>
      </c>
    </row>
    <row r="267" spans="1:12" ht="15" thickBot="1" x14ac:dyDescent="0.35">
      <c r="B267" s="31">
        <f t="shared" si="55"/>
        <v>2100</v>
      </c>
      <c r="C267" s="64">
        <f t="shared" si="53"/>
        <v>295.01017327793011</v>
      </c>
      <c r="D267" s="64">
        <f t="shared" si="54"/>
        <v>158589.23369744481</v>
      </c>
      <c r="E267" s="64" cm="1">
        <f t="array" ref="E267">$D$2*SUM( ( 0.5 * ($B$12:$B$14)  - B267 * LN( 1 - EXP( - ($B$12:$B$14) / B267 ) ) ) )</f>
        <v>53942.378209684604</v>
      </c>
      <c r="F267" s="3"/>
    </row>
    <row r="272" spans="1:12" ht="15" thickBot="1" x14ac:dyDescent="0.35">
      <c r="A272" s="2" t="s">
        <v>98</v>
      </c>
      <c r="B272" s="139" t="s">
        <v>96</v>
      </c>
      <c r="C272" s="139"/>
      <c r="D272" s="139"/>
      <c r="E272" s="139"/>
      <c r="F272" s="139"/>
      <c r="H272" s="139" t="s">
        <v>97</v>
      </c>
      <c r="I272" s="139"/>
      <c r="J272" s="139"/>
      <c r="K272" s="139"/>
      <c r="L272" s="139"/>
    </row>
    <row r="273" spans="1:12" ht="18" x14ac:dyDescent="0.3">
      <c r="A273" s="2" t="s">
        <v>77</v>
      </c>
      <c r="B273" s="58" t="s">
        <v>23</v>
      </c>
      <c r="C273" s="37" t="s">
        <v>73</v>
      </c>
      <c r="D273" s="37" t="s">
        <v>10</v>
      </c>
      <c r="E273" s="37" t="s">
        <v>11</v>
      </c>
      <c r="F273" s="37" t="s">
        <v>74</v>
      </c>
      <c r="H273" s="58" t="s">
        <v>23</v>
      </c>
      <c r="I273" s="96" t="s">
        <v>73</v>
      </c>
      <c r="J273" s="96" t="s">
        <v>10</v>
      </c>
      <c r="K273" s="96" t="s">
        <v>11</v>
      </c>
      <c r="L273" s="37" t="s">
        <v>74</v>
      </c>
    </row>
    <row r="274" spans="1:12" ht="15" thickBot="1" x14ac:dyDescent="0.35">
      <c r="B274" s="56">
        <f>300</f>
        <v>300</v>
      </c>
      <c r="C274" s="63">
        <f>3/2*$D$2 + $D$2</f>
        <v>20.786180000000002</v>
      </c>
      <c r="D274" s="63">
        <f>3/2*$D$2  + $D$2</f>
        <v>20.786180000000002</v>
      </c>
      <c r="E274" s="63" cm="1">
        <f t="array" ref="E274">$D$2*SUM( ( ($B$12:$B$14) * ($B$12:$B$14)* EXP($B$12:$B$14/B274) ) / ( B274*B274* ( EXP(( $B$12:$B$14)/B274 )  -1)^2 ) ) +   $D$2</f>
        <v>12.057414091516696</v>
      </c>
      <c r="F274" s="64" t="s">
        <v>81</v>
      </c>
      <c r="H274" s="56">
        <f>300</f>
        <v>300</v>
      </c>
      <c r="I274" s="86">
        <f>(3/2*$D$2  + $D$2)/ 4.184</f>
        <v>4.9680162523900577</v>
      </c>
      <c r="J274" s="86">
        <f>(3/2*$D$2 + $D$2) / 4.184</f>
        <v>4.9680162523900577</v>
      </c>
      <c r="K274" s="86" cm="1">
        <f t="array" ref="K274">$D$2*SUM( ( ($B$12:$B$14) * ($B$12:$B$14)* EXP($B$12:$B$14/B274) ) / ( B274*B274* ( EXP(( $B$12:$B$14)/B274 )  -1)^2 ) ) +   $D$2/ 4.184</f>
        <v>5.7301485924727178</v>
      </c>
      <c r="L274" s="88" t="s">
        <v>81</v>
      </c>
    </row>
    <row r="275" spans="1:12" x14ac:dyDescent="0.3">
      <c r="B275" s="56">
        <f>B274+100</f>
        <v>400</v>
      </c>
      <c r="C275" s="63">
        <f t="shared" ref="C275:C292" si="56">3/2*$D$2 + $D$2</f>
        <v>20.786180000000002</v>
      </c>
      <c r="D275" s="63">
        <f t="shared" ref="D275:D292" si="57">3/2*$D$2  + $D$2</f>
        <v>20.786180000000002</v>
      </c>
      <c r="E275" s="63" cm="1">
        <f t="array" ref="E275">$D$2*SUM( ( ($B$12:$B$14) * ($B$12:$B$14)* EXP($B$12:$B$14/B275) ) / ( B275*B275* ( EXP(( $B$12:$B$14)/B275 )  -1)^2 ) ) +   $D$2</f>
        <v>15.085385903120059</v>
      </c>
      <c r="H275" s="56">
        <f>H274+100</f>
        <v>400</v>
      </c>
      <c r="I275" s="63">
        <f t="shared" ref="I275:I292" si="58">(3/2*$D$2  + $D$2)/ 4.184</f>
        <v>4.9680162523900577</v>
      </c>
      <c r="J275" s="63">
        <f t="shared" ref="J275:J292" si="59">(3/2*$D$2 + $D$2) / 4.184</f>
        <v>4.9680162523900577</v>
      </c>
      <c r="K275" s="63" cm="1">
        <f t="array" ref="K275">$D$2*SUM( ( ($B$12:$B$14) * ($B$12:$B$14)* EXP($B$12:$B$14/B275) ) / ( B275*B275* ( EXP(( $B$12:$B$14)/B275)  -1)^2 ) ) +   $D$2 / 4.184</f>
        <v>8.7581204040760809</v>
      </c>
    </row>
    <row r="276" spans="1:12" x14ac:dyDescent="0.3">
      <c r="B276" s="56">
        <f t="shared" ref="B276:B292" si="60">B275+100</f>
        <v>500</v>
      </c>
      <c r="C276" s="63">
        <f t="shared" si="56"/>
        <v>20.786180000000002</v>
      </c>
      <c r="D276" s="63">
        <f t="shared" si="57"/>
        <v>20.786180000000002</v>
      </c>
      <c r="E276" s="63" cm="1">
        <f t="array" ref="E276">$D$2*SUM( ( ($B$12:$B$14) * ($B$12:$B$14)* EXP($B$12:$B$14/B276) ) / ( B276*B276* ( EXP(( $B$12:$B$14)/B276 )  -1)^2 ) ) +   $D$2</f>
        <v>18.038773255290081</v>
      </c>
      <c r="H276" s="56">
        <f t="shared" ref="H276:H292" si="61">H275+100</f>
        <v>500</v>
      </c>
      <c r="I276" s="63">
        <f t="shared" si="58"/>
        <v>4.9680162523900577</v>
      </c>
      <c r="J276" s="63">
        <f t="shared" si="59"/>
        <v>4.9680162523900577</v>
      </c>
      <c r="K276" s="63" cm="1">
        <f t="array" ref="K276">$D$2*SUM( ( ($B$12:$B$14) * ($B$12:$B$14)* EXP($B$12:$B$14/B276) ) / ( B276*B276* ( EXP(( $B$12:$B$14)/B276)  -1)^2 ) ) +   $D$2 / 4.184</f>
        <v>11.711507756246107</v>
      </c>
    </row>
    <row r="277" spans="1:12" x14ac:dyDescent="0.3">
      <c r="B277" s="56">
        <f t="shared" si="60"/>
        <v>600</v>
      </c>
      <c r="C277" s="63">
        <f t="shared" si="56"/>
        <v>20.786180000000002</v>
      </c>
      <c r="D277" s="63">
        <f t="shared" si="57"/>
        <v>20.786180000000002</v>
      </c>
      <c r="E277" s="63" cm="1">
        <f t="array" ref="E277">$D$2*SUM( ( ($B$12:$B$14) * ($B$12:$B$14)* EXP($B$12:$B$14/B277) ) / ( B277*B277* ( EXP(( $B$12:$B$14)/B277 )  -1)^2 ) ) +   $D$2</f>
        <v>20.631185231995921</v>
      </c>
      <c r="H277" s="56">
        <f t="shared" si="61"/>
        <v>600</v>
      </c>
      <c r="I277" s="63">
        <f t="shared" si="58"/>
        <v>4.9680162523900577</v>
      </c>
      <c r="J277" s="63">
        <f t="shared" si="59"/>
        <v>4.9680162523900577</v>
      </c>
      <c r="K277" s="63" cm="1">
        <f t="array" ref="K277">$D$2*SUM( ( ($B$12:$B$14) * ($B$12:$B$14)* EXP($B$12:$B$14/B277) ) / ( B277*B277* ( EXP(( $B$12:$B$14)/B277)  -1)^2 ) ) +   $D$2 / 4.184</f>
        <v>14.303919732951943</v>
      </c>
    </row>
    <row r="278" spans="1:12" x14ac:dyDescent="0.3">
      <c r="B278" s="56">
        <f t="shared" si="60"/>
        <v>700</v>
      </c>
      <c r="C278" s="63">
        <f t="shared" si="56"/>
        <v>20.786180000000002</v>
      </c>
      <c r="D278" s="63">
        <f t="shared" si="57"/>
        <v>20.786180000000002</v>
      </c>
      <c r="E278" s="63" cm="1">
        <f t="array" ref="E278">$D$2*SUM( ( ($B$12:$B$14) * ($B$12:$B$14)* EXP($B$12:$B$14/B278) ) / ( B278*B278* ( EXP(( $B$12:$B$14)/B278 )  -1)^2 ) ) +   $D$2</f>
        <v>22.779762088905784</v>
      </c>
      <c r="H278" s="56">
        <f t="shared" si="61"/>
        <v>700</v>
      </c>
      <c r="I278" s="63">
        <f t="shared" si="58"/>
        <v>4.9680162523900577</v>
      </c>
      <c r="J278" s="63">
        <f t="shared" si="59"/>
        <v>4.9680162523900577</v>
      </c>
      <c r="K278" s="63" cm="1">
        <f t="array" ref="K278">$D$2*SUM( ( ($B$12:$B$14) * ($B$12:$B$14)* EXP($B$12:$B$14/B278) ) / ( B278*B278* ( EXP(( $B$12:$B$14)/B278)  -1)^2 ) ) +   $D$2 / 4.184</f>
        <v>16.452496589861809</v>
      </c>
    </row>
    <row r="279" spans="1:12" x14ac:dyDescent="0.3">
      <c r="B279" s="56">
        <f t="shared" si="60"/>
        <v>800</v>
      </c>
      <c r="C279" s="63">
        <f t="shared" si="56"/>
        <v>20.786180000000002</v>
      </c>
      <c r="D279" s="63">
        <f t="shared" si="57"/>
        <v>20.786180000000002</v>
      </c>
      <c r="E279" s="63" cm="1">
        <f t="array" ref="E279">$D$2*SUM( ( ($B$12:$B$14) * ($B$12:$B$14)* EXP($B$12:$B$14/B279) ) / ( B279*B279* ( EXP(( $B$12:$B$14)/B279 )  -1)^2 ) ) +   $D$2</f>
        <v>24.514300320286914</v>
      </c>
      <c r="H279" s="56">
        <f t="shared" si="61"/>
        <v>800</v>
      </c>
      <c r="I279" s="63">
        <f t="shared" si="58"/>
        <v>4.9680162523900577</v>
      </c>
      <c r="J279" s="63">
        <f t="shared" si="59"/>
        <v>4.9680162523900577</v>
      </c>
      <c r="K279" s="63" cm="1">
        <f t="array" ref="K279">$D$2*SUM( ( ($B$12:$B$14) * ($B$12:$B$14)* EXP($B$12:$B$14/B279) ) / ( B279*B279* ( EXP(( $B$12:$B$14)/B279)  -1)^2 ) ) +   $D$2 / 4.184</f>
        <v>18.187034821242936</v>
      </c>
    </row>
    <row r="280" spans="1:12" x14ac:dyDescent="0.3">
      <c r="B280" s="56">
        <f t="shared" si="60"/>
        <v>900</v>
      </c>
      <c r="C280" s="63">
        <f t="shared" si="56"/>
        <v>20.786180000000002</v>
      </c>
      <c r="D280" s="63">
        <f t="shared" si="57"/>
        <v>20.786180000000002</v>
      </c>
      <c r="E280" s="63" cm="1">
        <f t="array" ref="E280">$D$2*SUM( ( ($B$12:$B$14) * ($B$12:$B$14)* EXP($B$12:$B$14/B280) ) / ( B280*B280* ( EXP(( $B$12:$B$14)/B280 )  -1)^2 ) ) +   $D$2</f>
        <v>25.902527800393983</v>
      </c>
      <c r="H280" s="56">
        <f t="shared" si="61"/>
        <v>900</v>
      </c>
      <c r="I280" s="63">
        <f t="shared" si="58"/>
        <v>4.9680162523900577</v>
      </c>
      <c r="J280" s="63">
        <f t="shared" si="59"/>
        <v>4.9680162523900577</v>
      </c>
      <c r="K280" s="63" cm="1">
        <f t="array" ref="K280">$D$2*SUM( ( ($B$12:$B$14) * ($B$12:$B$14)* EXP($B$12:$B$14/B280) ) / ( B280*B280* ( EXP(( $B$12:$B$14)/B280)  -1)^2 ) ) +   $D$2 / 4.184</f>
        <v>19.575262301350005</v>
      </c>
    </row>
    <row r="281" spans="1:12" x14ac:dyDescent="0.3">
      <c r="B281" s="56">
        <f t="shared" si="60"/>
        <v>1000</v>
      </c>
      <c r="C281" s="63">
        <f t="shared" si="56"/>
        <v>20.786180000000002</v>
      </c>
      <c r="D281" s="63">
        <f t="shared" si="57"/>
        <v>20.786180000000002</v>
      </c>
      <c r="E281" s="63" cm="1">
        <f t="array" ref="E281">$D$2*SUM( ( ($B$12:$B$14) * ($B$12:$B$14)* EXP($B$12:$B$14/B281) ) / ( B281*B281* ( EXP(( $B$12:$B$14)/B281 )  -1)^2 ) ) +   $D$2</f>
        <v>27.014430226122663</v>
      </c>
      <c r="H281" s="56">
        <f t="shared" si="61"/>
        <v>1000</v>
      </c>
      <c r="I281" s="63">
        <f t="shared" si="58"/>
        <v>4.9680162523900577</v>
      </c>
      <c r="J281" s="63">
        <f t="shared" si="59"/>
        <v>4.9680162523900577</v>
      </c>
      <c r="K281" s="63" cm="1">
        <f t="array" ref="K281">$D$2*SUM( ( ($B$12:$B$14) * ($B$12:$B$14)* EXP($B$12:$B$14/B281) ) / ( B281*B281* ( EXP(( $B$12:$B$14)/B281)  -1)^2 ) ) +   $D$2 / 4.184</f>
        <v>20.687164727078688</v>
      </c>
    </row>
    <row r="282" spans="1:12" x14ac:dyDescent="0.3">
      <c r="B282" s="56">
        <f t="shared" si="60"/>
        <v>1100</v>
      </c>
      <c r="C282" s="63">
        <f t="shared" si="56"/>
        <v>20.786180000000002</v>
      </c>
      <c r="D282" s="63">
        <f t="shared" si="57"/>
        <v>20.786180000000002</v>
      </c>
      <c r="E282" s="63" cm="1">
        <f t="array" ref="E282">$D$2*SUM( ( ($B$12:$B$14) * ($B$12:$B$14)* EXP($B$12:$B$14/B282) ) / ( B282*B282* ( EXP(( $B$12:$B$14)/B282 )  -1)^2 ) ) +   $D$2</f>
        <v>27.909984806013746</v>
      </c>
      <c r="H282" s="56">
        <f t="shared" si="61"/>
        <v>1100</v>
      </c>
      <c r="I282" s="63">
        <f t="shared" si="58"/>
        <v>4.9680162523900577</v>
      </c>
      <c r="J282" s="63">
        <f t="shared" si="59"/>
        <v>4.9680162523900577</v>
      </c>
      <c r="K282" s="63" cm="1">
        <f t="array" ref="K282">$D$2*SUM( ( ($B$12:$B$14) * ($B$12:$B$14)* EXP($B$12:$B$14/B282) ) / ( B282*B282* ( EXP(( $B$12:$B$14)/B282)  -1)^2 ) ) +   $D$2 / 4.184</f>
        <v>21.582719306969768</v>
      </c>
    </row>
    <row r="283" spans="1:12" x14ac:dyDescent="0.3">
      <c r="B283" s="56">
        <f t="shared" si="60"/>
        <v>1200</v>
      </c>
      <c r="C283" s="63">
        <f t="shared" si="56"/>
        <v>20.786180000000002</v>
      </c>
      <c r="D283" s="63">
        <f t="shared" si="57"/>
        <v>20.786180000000002</v>
      </c>
      <c r="E283" s="63" cm="1">
        <f t="array" ref="E283">$D$2*SUM( ( ($B$12:$B$14) * ($B$12:$B$14)* EXP($B$12:$B$14/B283) ) / ( B283*B283* ( EXP(( $B$12:$B$14)/B283 )  -1)^2 ) ) +   $D$2</f>
        <v>28.636989224980596</v>
      </c>
      <c r="H283" s="56">
        <f t="shared" si="61"/>
        <v>1200</v>
      </c>
      <c r="I283" s="63">
        <f t="shared" si="58"/>
        <v>4.9680162523900577</v>
      </c>
      <c r="J283" s="63">
        <f t="shared" si="59"/>
        <v>4.9680162523900577</v>
      </c>
      <c r="K283" s="63" cm="1">
        <f t="array" ref="K283">$D$2*SUM( ( ($B$12:$B$14) * ($B$12:$B$14)* EXP($B$12:$B$14/B283) ) / ( B283*B283* ( EXP(( $B$12:$B$14)/B283)  -1)^2 ) ) +   $D$2 / 4.184</f>
        <v>22.309723725936617</v>
      </c>
    </row>
    <row r="284" spans="1:12" x14ac:dyDescent="0.3">
      <c r="B284" s="56">
        <f t="shared" si="60"/>
        <v>1300</v>
      </c>
      <c r="C284" s="63">
        <f t="shared" si="56"/>
        <v>20.786180000000002</v>
      </c>
      <c r="D284" s="63">
        <f t="shared" si="57"/>
        <v>20.786180000000002</v>
      </c>
      <c r="E284" s="63" cm="1">
        <f t="array" ref="E284">$D$2*SUM( ( ($B$12:$B$14) * ($B$12:$B$14)* EXP($B$12:$B$14/B284) ) / ( B284*B284* ( EXP(( $B$12:$B$14)/B284 )  -1)^2 ) ) +   $D$2</f>
        <v>29.232390642920436</v>
      </c>
      <c r="H284" s="56">
        <f t="shared" si="61"/>
        <v>1300</v>
      </c>
      <c r="I284" s="63">
        <f t="shared" si="58"/>
        <v>4.9680162523900577</v>
      </c>
      <c r="J284" s="63">
        <f t="shared" si="59"/>
        <v>4.9680162523900577</v>
      </c>
      <c r="K284" s="63" cm="1">
        <f t="array" ref="K284">$D$2*SUM( ( ($B$12:$B$14) * ($B$12:$B$14)* EXP($B$12:$B$14/B284) ) / ( B284*B284* ( EXP(( $B$12:$B$14)/B284)  -1)^2 ) ) +   $D$2 / 4.184</f>
        <v>22.905125143876457</v>
      </c>
    </row>
    <row r="285" spans="1:12" x14ac:dyDescent="0.3">
      <c r="B285" s="56">
        <f t="shared" si="60"/>
        <v>1400</v>
      </c>
      <c r="C285" s="63">
        <f t="shared" si="56"/>
        <v>20.786180000000002</v>
      </c>
      <c r="D285" s="63">
        <f t="shared" si="57"/>
        <v>20.786180000000002</v>
      </c>
      <c r="E285" s="63" cm="1">
        <f t="array" ref="E285">$D$2*SUM( ( ($B$12:$B$14) * ($B$12:$B$14)* EXP($B$12:$B$14/B285) ) / ( B285*B285* ( EXP(( $B$12:$B$14)/B285 )  -1)^2 ) ) +   $D$2</f>
        <v>29.724429074773973</v>
      </c>
      <c r="H285" s="56">
        <f t="shared" si="61"/>
        <v>1400</v>
      </c>
      <c r="I285" s="63">
        <f t="shared" si="58"/>
        <v>4.9680162523900577</v>
      </c>
      <c r="J285" s="63">
        <f t="shared" si="59"/>
        <v>4.9680162523900577</v>
      </c>
      <c r="K285" s="63" cm="1">
        <f t="array" ref="K285">$D$2*SUM( ( ($B$12:$B$14) * ($B$12:$B$14)* EXP($B$12:$B$14/B285) ) / ( B285*B285* ( EXP(( $B$12:$B$14)/B285)  -1)^2 ) ) +   $D$2 / 4.184</f>
        <v>23.397163575729998</v>
      </c>
    </row>
    <row r="286" spans="1:12" x14ac:dyDescent="0.3">
      <c r="B286" s="56">
        <f t="shared" si="60"/>
        <v>1500</v>
      </c>
      <c r="C286" s="63">
        <f t="shared" si="56"/>
        <v>20.786180000000002</v>
      </c>
      <c r="D286" s="63">
        <f t="shared" si="57"/>
        <v>20.786180000000002</v>
      </c>
      <c r="E286" s="63" cm="1">
        <f t="array" ref="E286">$D$2*SUM( ( ($B$12:$B$14) * ($B$12:$B$14)* EXP($B$12:$B$14/B286) ) / ( B286*B286* ( EXP(( $B$12:$B$14)/B286 )  -1)^2 ) ) +   $D$2</f>
        <v>30.134655411668277</v>
      </c>
      <c r="H286" s="56">
        <f t="shared" si="61"/>
        <v>1500</v>
      </c>
      <c r="I286" s="63">
        <f t="shared" si="58"/>
        <v>4.9680162523900577</v>
      </c>
      <c r="J286" s="63">
        <f t="shared" si="59"/>
        <v>4.9680162523900577</v>
      </c>
      <c r="K286" s="63" cm="1">
        <f t="array" ref="K286">$D$2*SUM( ( ($B$12:$B$14) * ($B$12:$B$14)* EXP($B$12:$B$14/B286) ) / ( B286*B286* ( EXP(( $B$12:$B$14)/B286)  -1)^2 ) ) +   $D$2 / 4.184</f>
        <v>23.807389912624302</v>
      </c>
    </row>
    <row r="287" spans="1:12" x14ac:dyDescent="0.3">
      <c r="B287" s="56">
        <f t="shared" si="60"/>
        <v>1600</v>
      </c>
      <c r="C287" s="63">
        <f t="shared" si="56"/>
        <v>20.786180000000002</v>
      </c>
      <c r="D287" s="63">
        <f t="shared" si="57"/>
        <v>20.786180000000002</v>
      </c>
      <c r="E287" s="63" cm="1">
        <f t="array" ref="E287">$D$2*SUM( ( ($B$12:$B$14) * ($B$12:$B$14)* EXP($B$12:$B$14/B287) ) / ( B287*B287* ( EXP(( $B$12:$B$14)/B287 )  -1)^2 ) ) +   $D$2</f>
        <v>30.479573861199576</v>
      </c>
      <c r="H287" s="56">
        <f t="shared" si="61"/>
        <v>1600</v>
      </c>
      <c r="I287" s="63">
        <f t="shared" si="58"/>
        <v>4.9680162523900577</v>
      </c>
      <c r="J287" s="63">
        <f t="shared" si="59"/>
        <v>4.9680162523900577</v>
      </c>
      <c r="K287" s="63" cm="1">
        <f t="array" ref="K287">$D$2*SUM( ( ($B$12:$B$14) * ($B$12:$B$14)* EXP($B$12:$B$14/B287) ) / ( B287*B287* ( EXP(( $B$12:$B$14)/B287)  -1)^2 ) ) +   $D$2 / 4.184</f>
        <v>24.152308362155601</v>
      </c>
    </row>
    <row r="288" spans="1:12" x14ac:dyDescent="0.3">
      <c r="B288" s="56">
        <f t="shared" si="60"/>
        <v>1700</v>
      </c>
      <c r="C288" s="63">
        <f t="shared" si="56"/>
        <v>20.786180000000002</v>
      </c>
      <c r="D288" s="63">
        <f t="shared" si="57"/>
        <v>20.786180000000002</v>
      </c>
      <c r="E288" s="63" cm="1">
        <f t="array" ref="E288">$D$2*SUM( ( ($B$12:$B$14) * ($B$12:$B$14)* EXP($B$12:$B$14/B288) ) / ( B288*B288* ( EXP(( $B$12:$B$14)/B288 )  -1)^2 ) ) +   $D$2</f>
        <v>30.771902547489127</v>
      </c>
      <c r="H288" s="56">
        <f t="shared" si="61"/>
        <v>1700</v>
      </c>
      <c r="I288" s="63">
        <f t="shared" si="58"/>
        <v>4.9680162523900577</v>
      </c>
      <c r="J288" s="63">
        <f t="shared" si="59"/>
        <v>4.9680162523900577</v>
      </c>
      <c r="K288" s="63" cm="1">
        <f t="array" ref="K288">$D$2*SUM( ( ($B$12:$B$14) * ($B$12:$B$14)* EXP($B$12:$B$14/B288) ) / ( B288*B288* ( EXP(( $B$12:$B$14)/B288)  -1)^2 ) ) +   $D$2 / 4.184</f>
        <v>24.444637048445152</v>
      </c>
    </row>
    <row r="289" spans="2:12" x14ac:dyDescent="0.3">
      <c r="B289" s="56">
        <f t="shared" si="60"/>
        <v>1800</v>
      </c>
      <c r="C289" s="63">
        <f t="shared" si="56"/>
        <v>20.786180000000002</v>
      </c>
      <c r="D289" s="63">
        <f t="shared" si="57"/>
        <v>20.786180000000002</v>
      </c>
      <c r="E289" s="63" cm="1">
        <f t="array" ref="E289">$D$2*SUM( ( ($B$12:$B$14) * ($B$12:$B$14)* EXP($B$12:$B$14/B289) ) / ( B289*B289* ( EXP(( $B$12:$B$14)/B289 )  -1)^2 ) ) +   $D$2</f>
        <v>31.021516648521242</v>
      </c>
      <c r="H289" s="56">
        <f t="shared" si="61"/>
        <v>1800</v>
      </c>
      <c r="I289" s="63">
        <f t="shared" si="58"/>
        <v>4.9680162523900577</v>
      </c>
      <c r="J289" s="63">
        <f t="shared" si="59"/>
        <v>4.9680162523900577</v>
      </c>
      <c r="K289" s="63" cm="1">
        <f t="array" ref="K289">$D$2*SUM( ( ($B$12:$B$14) * ($B$12:$B$14)* EXP($B$12:$B$14/B289) ) / ( B289*B289* ( EXP(( $B$12:$B$14)/B289)  -1)^2 ) ) +   $D$2 / 4.184</f>
        <v>24.694251149477264</v>
      </c>
    </row>
    <row r="290" spans="2:12" x14ac:dyDescent="0.3">
      <c r="B290" s="56">
        <f t="shared" si="60"/>
        <v>1900</v>
      </c>
      <c r="C290" s="63">
        <f t="shared" si="56"/>
        <v>20.786180000000002</v>
      </c>
      <c r="D290" s="63">
        <f t="shared" si="57"/>
        <v>20.786180000000002</v>
      </c>
      <c r="E290" s="63" cm="1">
        <f t="array" ref="E290">$D$2*SUM( ( ($B$12:$B$14) * ($B$12:$B$14)* EXP($B$12:$B$14/B290) ) / ( B290*B290* ( EXP(( $B$12:$B$14)/B290 )  -1)^2 ) ) +   $D$2</f>
        <v>31.236147007165357</v>
      </c>
      <c r="H290" s="56">
        <f t="shared" si="61"/>
        <v>1900</v>
      </c>
      <c r="I290" s="63">
        <f t="shared" si="58"/>
        <v>4.9680162523900577</v>
      </c>
      <c r="J290" s="63">
        <f t="shared" si="59"/>
        <v>4.9680162523900577</v>
      </c>
      <c r="K290" s="63" cm="1">
        <f t="array" ref="K290">$D$2*SUM( ( ($B$12:$B$14) * ($B$12:$B$14)* EXP($B$12:$B$14/B290) ) / ( B290*B290* ( EXP(( $B$12:$B$14)/B290)  -1)^2 ) ) +   $D$2 / 4.184</f>
        <v>24.908881508121382</v>
      </c>
    </row>
    <row r="291" spans="2:12" x14ac:dyDescent="0.3">
      <c r="B291" s="56">
        <f t="shared" si="60"/>
        <v>2000</v>
      </c>
      <c r="C291" s="63">
        <f t="shared" si="56"/>
        <v>20.786180000000002</v>
      </c>
      <c r="D291" s="63">
        <f t="shared" si="57"/>
        <v>20.786180000000002</v>
      </c>
      <c r="E291" s="63" cm="1">
        <f t="array" ref="E291">$D$2*SUM( ( ($B$12:$B$14) * ($B$12:$B$14)* EXP($B$12:$B$14/B291) ) / ( B291*B291* ( EXP(( $B$12:$B$14)/B291 )  -1)^2 ) ) +   $D$2</f>
        <v>31.42189664606228</v>
      </c>
      <c r="H291" s="56">
        <f t="shared" si="61"/>
        <v>2000</v>
      </c>
      <c r="I291" s="63">
        <f t="shared" si="58"/>
        <v>4.9680162523900577</v>
      </c>
      <c r="J291" s="63">
        <f t="shared" si="59"/>
        <v>4.9680162523900577</v>
      </c>
      <c r="K291" s="63" cm="1">
        <f t="array" ref="K291">$D$2*SUM( ( ($B$12:$B$14) * ($B$12:$B$14)* EXP($B$12:$B$14/B291) ) / ( B291*B291* ( EXP(( $B$12:$B$14)/B291)  -1)^2 ) ) +   $D$2 / 4.184</f>
        <v>25.094631147018305</v>
      </c>
    </row>
    <row r="292" spans="2:12" ht="15" thickBot="1" x14ac:dyDescent="0.35">
      <c r="B292" s="31">
        <f t="shared" si="60"/>
        <v>2100</v>
      </c>
      <c r="C292" s="64">
        <f t="shared" si="56"/>
        <v>20.786180000000002</v>
      </c>
      <c r="D292" s="64">
        <f t="shared" si="57"/>
        <v>20.786180000000002</v>
      </c>
      <c r="E292" s="64" cm="1">
        <f t="array" ref="E292">$D$2*SUM( ( ($B$12:$B$14) * ($B$12:$B$14)* EXP($B$12:$B$14/B292) ) / ( B292*B292* ( EXP(( $B$12:$B$14)/B292 )  -1)^2 ) ) +   $D$2</f>
        <v>31.583623645429974</v>
      </c>
      <c r="F292" s="3"/>
      <c r="H292" s="31">
        <f t="shared" si="61"/>
        <v>2100</v>
      </c>
      <c r="I292" s="64">
        <f t="shared" si="58"/>
        <v>4.9680162523900577</v>
      </c>
      <c r="J292" s="64">
        <f t="shared" si="59"/>
        <v>4.9680162523900577</v>
      </c>
      <c r="K292" s="64" cm="1">
        <f t="array" ref="K292">$D$2*SUM( ( ($B$12:$B$14) * ($B$12:$B$14)* EXP($B$12:$B$14/B292) ) / ( B292*B292* ( EXP(( $B$12:$B$14)/B292)  -1)^2 ) ) +   $D$2 / 4.184</f>
        <v>25.256358146385999</v>
      </c>
      <c r="L292" s="3"/>
    </row>
  </sheetData>
  <mergeCells count="14">
    <mergeCell ref="B272:F272"/>
    <mergeCell ref="H272:L272"/>
    <mergeCell ref="D52:W52"/>
    <mergeCell ref="B174:F174"/>
    <mergeCell ref="H174:K174"/>
    <mergeCell ref="M177:N177"/>
    <mergeCell ref="M178:N178"/>
    <mergeCell ref="B200:F200"/>
    <mergeCell ref="H200:L200"/>
    <mergeCell ref="M204:N204"/>
    <mergeCell ref="M205:N205"/>
    <mergeCell ref="B224:F224"/>
    <mergeCell ref="H224:L224"/>
    <mergeCell ref="M228:N228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95592-2EBF-48E5-ABA6-66207BE91437}">
  <dimension ref="A1:W292"/>
  <sheetViews>
    <sheetView topLeftCell="A63" zoomScale="88" workbookViewId="0">
      <selection activeCell="A79" sqref="A79"/>
    </sheetView>
  </sheetViews>
  <sheetFormatPr defaultRowHeight="14.4" x14ac:dyDescent="0.3"/>
  <cols>
    <col min="1" max="1" width="29.88671875" style="2" bestFit="1" customWidth="1"/>
    <col min="2" max="2" width="16.5546875" style="2" bestFit="1" customWidth="1"/>
    <col min="3" max="3" width="14.6640625" style="2" bestFit="1" customWidth="1"/>
    <col min="4" max="4" width="29.88671875" style="2" bestFit="1" customWidth="1"/>
    <col min="5" max="5" width="14.6640625" style="2" bestFit="1" customWidth="1"/>
    <col min="6" max="6" width="19.44140625" style="2" bestFit="1" customWidth="1"/>
    <col min="7" max="7" width="16" style="2" bestFit="1" customWidth="1"/>
    <col min="8" max="8" width="19.21875" style="2" bestFit="1" customWidth="1"/>
    <col min="9" max="9" width="16.77734375" style="2" bestFit="1" customWidth="1"/>
    <col min="10" max="10" width="20.33203125" style="2" bestFit="1" customWidth="1"/>
    <col min="11" max="11" width="21.109375" style="2" bestFit="1" customWidth="1"/>
    <col min="12" max="12" width="15.21875" style="2" bestFit="1" customWidth="1"/>
    <col min="13" max="14" width="20.33203125" style="2" bestFit="1" customWidth="1"/>
    <col min="15" max="15" width="14.77734375" style="2" bestFit="1" customWidth="1"/>
    <col min="16" max="16" width="8.88671875" style="2"/>
    <col min="17" max="17" width="12.33203125" style="2" customWidth="1"/>
    <col min="18" max="18" width="12.77734375" style="2" bestFit="1" customWidth="1"/>
    <col min="19" max="19" width="16" style="2" bestFit="1" customWidth="1"/>
    <col min="20" max="16384" width="8.88671875" style="2"/>
  </cols>
  <sheetData>
    <row r="1" spans="1:21" x14ac:dyDescent="0.3">
      <c r="A1" s="65" t="s">
        <v>31</v>
      </c>
      <c r="B1" s="66" t="s">
        <v>0</v>
      </c>
      <c r="C1" s="67" t="s">
        <v>1</v>
      </c>
      <c r="D1" s="67" t="s">
        <v>2</v>
      </c>
      <c r="E1" s="67" t="s">
        <v>20</v>
      </c>
      <c r="F1" s="67" t="s">
        <v>32</v>
      </c>
      <c r="G1" s="67" t="s">
        <v>22</v>
      </c>
      <c r="H1" s="67" t="s">
        <v>33</v>
      </c>
      <c r="I1" s="67" t="s">
        <v>40</v>
      </c>
      <c r="J1" s="68" t="s">
        <v>44</v>
      </c>
    </row>
    <row r="2" spans="1:21" ht="15" thickBot="1" x14ac:dyDescent="0.35">
      <c r="A2" s="69">
        <v>1.3805999999999999E-23</v>
      </c>
      <c r="B2" s="70">
        <v>3.1415899999999999</v>
      </c>
      <c r="C2" s="70">
        <v>6.626068E-34</v>
      </c>
      <c r="D2" s="70">
        <v>8.3144720000000003</v>
      </c>
      <c r="E2" s="71">
        <f>18.01056*1.66E-27</f>
        <v>2.9897529599999999E-26</v>
      </c>
      <c r="F2" s="70">
        <v>6.0221407599999999E+23</v>
      </c>
      <c r="G2" s="70">
        <f>((2*$E$2*$B$2*$A$2*$H$2)/($C$2*$C$2))^1.5</f>
        <v>7.3910913105082902E+31</v>
      </c>
      <c r="H2" s="71">
        <f>298.15</f>
        <v>298.14999999999998</v>
      </c>
      <c r="I2" s="91">
        <v>29979300000</v>
      </c>
      <c r="J2" s="90">
        <v>101325</v>
      </c>
    </row>
    <row r="3" spans="1:21" ht="15" thickBot="1" x14ac:dyDescent="0.35"/>
    <row r="4" spans="1:21" ht="15" thickBot="1" x14ac:dyDescent="0.35">
      <c r="E4" s="125" t="s">
        <v>25</v>
      </c>
      <c r="F4" s="126" t="s">
        <v>26</v>
      </c>
      <c r="G4" s="127" t="s">
        <v>27</v>
      </c>
      <c r="I4" s="12" t="s">
        <v>34</v>
      </c>
      <c r="J4" s="22" t="s">
        <v>35</v>
      </c>
      <c r="K4" s="22" t="s">
        <v>36</v>
      </c>
      <c r="L4" s="50" t="s">
        <v>37</v>
      </c>
    </row>
    <row r="5" spans="1:21" ht="16.8" thickBot="1" x14ac:dyDescent="0.35">
      <c r="B5" s="30" t="s">
        <v>29</v>
      </c>
      <c r="D5" s="37" t="s">
        <v>57</v>
      </c>
      <c r="E5" s="18">
        <v>2.1688100000000001</v>
      </c>
      <c r="F5" s="21">
        <v>4.2637</v>
      </c>
      <c r="G5" s="19">
        <v>6.4325099999999997</v>
      </c>
      <c r="I5" s="51">
        <v>2.12E-2</v>
      </c>
      <c r="J5" s="52">
        <f>I5*627.509474</f>
        <v>13.3032008488</v>
      </c>
      <c r="K5" s="52">
        <f>I5*4.35974E-18</f>
        <v>9.2426487999999999E-20</v>
      </c>
      <c r="L5" s="53">
        <f>(2*K5)/(C2)</f>
        <v>278978386578586.28</v>
      </c>
    </row>
    <row r="6" spans="1:21" ht="16.8" thickBot="1" x14ac:dyDescent="0.35">
      <c r="A6" s="7" t="s">
        <v>28</v>
      </c>
      <c r="B6" s="31">
        <v>2</v>
      </c>
      <c r="D6" s="31" t="s">
        <v>58</v>
      </c>
      <c r="E6" s="16">
        <f>E5*1.66E-47</f>
        <v>3.6002245999999999E-47</v>
      </c>
      <c r="F6" s="23">
        <f t="shared" ref="F6" si="0">F5*1.66E-47</f>
        <v>7.0777419999999998E-47</v>
      </c>
      <c r="G6" s="17">
        <f>G5 *1.66E-47</f>
        <v>1.0677966599999999E-46</v>
      </c>
      <c r="U6" s="5"/>
    </row>
    <row r="7" spans="1:21" ht="15" thickBot="1" x14ac:dyDescent="0.35">
      <c r="U7" s="5"/>
    </row>
    <row r="8" spans="1:21" ht="15" thickBot="1" x14ac:dyDescent="0.35">
      <c r="D8" s="7" t="s">
        <v>24</v>
      </c>
      <c r="E8" s="113">
        <v>832.13340000000005</v>
      </c>
      <c r="F8" s="21">
        <v>423.28055999999998</v>
      </c>
      <c r="G8" s="19">
        <v>280.56554</v>
      </c>
      <c r="U8" s="5"/>
    </row>
    <row r="9" spans="1:21" ht="15" thickBot="1" x14ac:dyDescent="0.35">
      <c r="E9" s="16">
        <f>E8*1000000000</f>
        <v>832133400000</v>
      </c>
      <c r="F9" s="9">
        <f>F8*1000000000</f>
        <v>423280560000</v>
      </c>
      <c r="G9" s="10">
        <f xml:space="preserve"> G8 * 1000000000</f>
        <v>280565540000</v>
      </c>
    </row>
    <row r="10" spans="1:21" ht="15" customHeight="1" thickBot="1" x14ac:dyDescent="0.35"/>
    <row r="11" spans="1:21" ht="15" customHeight="1" thickBot="1" x14ac:dyDescent="0.35">
      <c r="D11" s="32" t="s">
        <v>56</v>
      </c>
      <c r="E11" s="33">
        <v>39.936059999999998</v>
      </c>
      <c r="F11" s="33">
        <v>20.314240000000002</v>
      </c>
      <c r="G11" s="34">
        <v>13.465009999999999</v>
      </c>
    </row>
    <row r="12" spans="1:21" ht="27" customHeight="1" x14ac:dyDescent="0.3">
      <c r="A12" s="35" t="s">
        <v>30</v>
      </c>
      <c r="B12" s="19">
        <v>2307.0100000000002</v>
      </c>
    </row>
    <row r="13" spans="1:21" ht="15" thickBot="1" x14ac:dyDescent="0.35">
      <c r="A13" s="14"/>
      <c r="B13" s="15">
        <v>5478.24</v>
      </c>
      <c r="S13" s="5"/>
      <c r="T13" s="5"/>
    </row>
    <row r="14" spans="1:21" ht="16.2" thickBot="1" x14ac:dyDescent="0.35">
      <c r="A14" s="16"/>
      <c r="B14" s="17">
        <v>5653.95</v>
      </c>
      <c r="D14" s="24" t="s">
        <v>50</v>
      </c>
      <c r="E14" s="72"/>
      <c r="F14" s="67" t="s">
        <v>21</v>
      </c>
      <c r="G14" s="67" t="s">
        <v>82</v>
      </c>
      <c r="H14" s="68" t="s">
        <v>3</v>
      </c>
      <c r="J14"/>
    </row>
    <row r="15" spans="1:21" x14ac:dyDescent="0.3">
      <c r="E15" s="73"/>
      <c r="F15" s="77" t="s">
        <v>4</v>
      </c>
      <c r="G15" s="77" t="s">
        <v>5</v>
      </c>
      <c r="H15" s="78" t="s">
        <v>5</v>
      </c>
    </row>
    <row r="16" spans="1:21" x14ac:dyDescent="0.3">
      <c r="E16" s="73" t="s">
        <v>6</v>
      </c>
      <c r="F16" s="79">
        <v>15.132999999999999</v>
      </c>
      <c r="G16" s="79">
        <v>6.0140000000000002</v>
      </c>
      <c r="H16" s="80">
        <v>45.100999999999999</v>
      </c>
    </row>
    <row r="17" spans="1:10" x14ac:dyDescent="0.3">
      <c r="E17" s="73" t="s">
        <v>7</v>
      </c>
      <c r="F17" s="79" t="s">
        <v>8</v>
      </c>
      <c r="G17" s="79" t="s">
        <v>8</v>
      </c>
      <c r="H17" s="80">
        <v>0</v>
      </c>
    </row>
    <row r="18" spans="1:10" x14ac:dyDescent="0.3">
      <c r="E18" s="73" t="s">
        <v>9</v>
      </c>
      <c r="F18" s="79">
        <v>0.88900000000000001</v>
      </c>
      <c r="G18" s="79">
        <v>2.9809999999999999</v>
      </c>
      <c r="H18" s="80">
        <v>34.607999999999997</v>
      </c>
    </row>
    <row r="19" spans="1:10" x14ac:dyDescent="0.3">
      <c r="E19" s="73" t="s">
        <v>10</v>
      </c>
      <c r="F19" s="79">
        <v>0.88900000000000001</v>
      </c>
      <c r="G19" s="79">
        <v>2.9809999999999999</v>
      </c>
      <c r="H19" s="80">
        <v>10.484999999999999</v>
      </c>
    </row>
    <row r="20" spans="1:10" ht="15" thickBot="1" x14ac:dyDescent="0.35">
      <c r="E20" s="74" t="s">
        <v>11</v>
      </c>
      <c r="F20" s="81">
        <v>13.355</v>
      </c>
      <c r="G20" s="81">
        <v>5.1999999999999998E-2</v>
      </c>
      <c r="H20" s="82">
        <v>8.0000000000000002E-3</v>
      </c>
    </row>
    <row r="21" spans="1:10" ht="15" thickBot="1" x14ac:dyDescent="0.35">
      <c r="F21" s="83"/>
      <c r="G21" s="83"/>
      <c r="H21" s="83"/>
    </row>
    <row r="22" spans="1:10" x14ac:dyDescent="0.3">
      <c r="E22" s="72"/>
      <c r="F22" s="68" t="s">
        <v>13</v>
      </c>
    </row>
    <row r="23" spans="1:10" x14ac:dyDescent="0.3">
      <c r="E23" s="73" t="s">
        <v>14</v>
      </c>
      <c r="F23" s="75">
        <v>2.1378100000000001E-2</v>
      </c>
      <c r="J23"/>
    </row>
    <row r="24" spans="1:10" x14ac:dyDescent="0.3">
      <c r="E24" s="73" t="s">
        <v>15</v>
      </c>
      <c r="F24" s="76">
        <v>131204000</v>
      </c>
    </row>
    <row r="25" spans="1:10" x14ac:dyDescent="0.3">
      <c r="E25" s="73" t="s">
        <v>16</v>
      </c>
      <c r="F25" s="75">
        <v>1.6300900000000001E-10</v>
      </c>
    </row>
    <row r="26" spans="1:10" x14ac:dyDescent="0.3">
      <c r="E26" s="73" t="s">
        <v>18</v>
      </c>
      <c r="F26" s="75">
        <v>1.00044</v>
      </c>
      <c r="G26" s="2" t="s">
        <v>51</v>
      </c>
    </row>
    <row r="27" spans="1:10" x14ac:dyDescent="0.3">
      <c r="E27" s="73" t="s">
        <v>7</v>
      </c>
      <c r="F27" s="76">
        <v>1</v>
      </c>
      <c r="G27" s="4"/>
    </row>
    <row r="28" spans="1:10" x14ac:dyDescent="0.3">
      <c r="E28" s="73" t="s">
        <v>9</v>
      </c>
      <c r="F28" s="76">
        <v>3004320</v>
      </c>
      <c r="G28" s="4"/>
    </row>
    <row r="29" spans="1:10" ht="15" thickBot="1" x14ac:dyDescent="0.35">
      <c r="E29" s="74" t="s">
        <v>10</v>
      </c>
      <c r="F29" s="100">
        <v>43.652700000000003</v>
      </c>
      <c r="G29" s="4"/>
    </row>
    <row r="30" spans="1:10" ht="15" thickBot="1" x14ac:dyDescent="0.35"/>
    <row r="31" spans="1:10" ht="16.2" x14ac:dyDescent="0.3">
      <c r="A31" s="18" t="s">
        <v>38</v>
      </c>
      <c r="B31" s="19" t="s">
        <v>39</v>
      </c>
      <c r="C31" s="54" t="s">
        <v>23</v>
      </c>
    </row>
    <row r="32" spans="1:10" x14ac:dyDescent="0.3">
      <c r="A32" s="14">
        <v>1603.4567999999999</v>
      </c>
      <c r="B32" s="8">
        <f>A32*$I$2</f>
        <v>48070512444240</v>
      </c>
      <c r="C32" s="56">
        <f>300</f>
        <v>300</v>
      </c>
    </row>
    <row r="33" spans="1:3" x14ac:dyDescent="0.3">
      <c r="A33" s="14">
        <v>3807.5691000000002</v>
      </c>
      <c r="B33" s="8">
        <f t="shared" ref="B33:B34" si="1">A33*$I$2</f>
        <v>114148256319630</v>
      </c>
      <c r="C33" s="56">
        <f>C32+100</f>
        <v>400</v>
      </c>
    </row>
    <row r="34" spans="1:3" ht="15" thickBot="1" x14ac:dyDescent="0.35">
      <c r="A34" s="16">
        <v>3929.6986999999999</v>
      </c>
      <c r="B34" s="10">
        <f t="shared" si="1"/>
        <v>117809616236910</v>
      </c>
      <c r="C34" s="56">
        <f t="shared" ref="C34:C50" si="2">C33+100</f>
        <v>500</v>
      </c>
    </row>
    <row r="35" spans="1:3" x14ac:dyDescent="0.3">
      <c r="B35" s="3"/>
      <c r="C35" s="56">
        <f t="shared" si="2"/>
        <v>600</v>
      </c>
    </row>
    <row r="36" spans="1:3" x14ac:dyDescent="0.3">
      <c r="B36" s="3"/>
      <c r="C36" s="56">
        <f t="shared" si="2"/>
        <v>700</v>
      </c>
    </row>
    <row r="37" spans="1:3" x14ac:dyDescent="0.3">
      <c r="B37" s="3"/>
      <c r="C37" s="56">
        <f t="shared" si="2"/>
        <v>800</v>
      </c>
    </row>
    <row r="38" spans="1:3" x14ac:dyDescent="0.3">
      <c r="B38" s="3"/>
      <c r="C38" s="56">
        <f t="shared" si="2"/>
        <v>900</v>
      </c>
    </row>
    <row r="39" spans="1:3" x14ac:dyDescent="0.3">
      <c r="B39" s="3"/>
      <c r="C39" s="56">
        <f t="shared" si="2"/>
        <v>1000</v>
      </c>
    </row>
    <row r="40" spans="1:3" x14ac:dyDescent="0.3">
      <c r="B40" s="3"/>
      <c r="C40" s="56">
        <f t="shared" si="2"/>
        <v>1100</v>
      </c>
    </row>
    <row r="41" spans="1:3" x14ac:dyDescent="0.3">
      <c r="B41" s="3"/>
      <c r="C41" s="56">
        <f t="shared" si="2"/>
        <v>1200</v>
      </c>
    </row>
    <row r="42" spans="1:3" x14ac:dyDescent="0.3">
      <c r="B42" s="3"/>
      <c r="C42" s="56">
        <f t="shared" si="2"/>
        <v>1300</v>
      </c>
    </row>
    <row r="43" spans="1:3" x14ac:dyDescent="0.3">
      <c r="B43" s="3"/>
      <c r="C43" s="56">
        <f t="shared" si="2"/>
        <v>1400</v>
      </c>
    </row>
    <row r="44" spans="1:3" x14ac:dyDescent="0.3">
      <c r="B44" s="3"/>
      <c r="C44" s="56">
        <f t="shared" si="2"/>
        <v>1500</v>
      </c>
    </row>
    <row r="45" spans="1:3" x14ac:dyDescent="0.3">
      <c r="B45" s="3"/>
      <c r="C45" s="56">
        <f t="shared" si="2"/>
        <v>1600</v>
      </c>
    </row>
    <row r="46" spans="1:3" x14ac:dyDescent="0.3">
      <c r="B46" s="3"/>
      <c r="C46" s="56">
        <f t="shared" si="2"/>
        <v>1700</v>
      </c>
    </row>
    <row r="47" spans="1:3" x14ac:dyDescent="0.3">
      <c r="B47" s="3"/>
      <c r="C47" s="56">
        <f t="shared" si="2"/>
        <v>1800</v>
      </c>
    </row>
    <row r="48" spans="1:3" x14ac:dyDescent="0.3">
      <c r="B48" s="3"/>
      <c r="C48" s="56">
        <f t="shared" si="2"/>
        <v>1900</v>
      </c>
    </row>
    <row r="49" spans="1:23" x14ac:dyDescent="0.3">
      <c r="B49" s="3"/>
      <c r="C49" s="56">
        <f t="shared" si="2"/>
        <v>2000</v>
      </c>
    </row>
    <row r="50" spans="1:23" ht="15" thickBot="1" x14ac:dyDescent="0.35">
      <c r="C50" s="31">
        <f t="shared" si="2"/>
        <v>2100</v>
      </c>
    </row>
    <row r="51" spans="1:23" ht="15" thickBot="1" x14ac:dyDescent="0.35"/>
    <row r="52" spans="1:23" ht="19.8" thickBot="1" x14ac:dyDescent="0.35">
      <c r="D52" s="146" t="s">
        <v>41</v>
      </c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8"/>
    </row>
    <row r="53" spans="1:23" ht="15.6" x14ac:dyDescent="0.3">
      <c r="A53" s="12" t="s">
        <v>105</v>
      </c>
      <c r="B53" s="114">
        <f t="shared" ref="B53" si="3">(EXP((-$C$2*B32)/(2*$A$2*C32))/(1 - EXP((-$C$2*B32)/($A$2*C32))))</f>
        <v>2.1392551959023783E-2</v>
      </c>
      <c r="D53" s="103" t="s">
        <v>52</v>
      </c>
      <c r="E53" s="41">
        <f>300</f>
        <v>300</v>
      </c>
      <c r="F53" s="41">
        <f t="shared" ref="F53:W53" si="4">E53+100</f>
        <v>400</v>
      </c>
      <c r="G53" s="41">
        <f t="shared" si="4"/>
        <v>500</v>
      </c>
      <c r="H53" s="41">
        <f t="shared" si="4"/>
        <v>600</v>
      </c>
      <c r="I53" s="41">
        <f t="shared" si="4"/>
        <v>700</v>
      </c>
      <c r="J53" s="41">
        <f t="shared" si="4"/>
        <v>800</v>
      </c>
      <c r="K53" s="41">
        <f t="shared" si="4"/>
        <v>900</v>
      </c>
      <c r="L53" s="41">
        <f t="shared" si="4"/>
        <v>1000</v>
      </c>
      <c r="M53" s="41">
        <f t="shared" si="4"/>
        <v>1100</v>
      </c>
      <c r="N53" s="41">
        <f t="shared" si="4"/>
        <v>1200</v>
      </c>
      <c r="O53" s="41">
        <f t="shared" si="4"/>
        <v>1300</v>
      </c>
      <c r="P53" s="41">
        <f t="shared" si="4"/>
        <v>1400</v>
      </c>
      <c r="Q53" s="41">
        <f t="shared" si="4"/>
        <v>1500</v>
      </c>
      <c r="R53" s="41">
        <f t="shared" si="4"/>
        <v>1600</v>
      </c>
      <c r="S53" s="41">
        <f t="shared" si="4"/>
        <v>1700</v>
      </c>
      <c r="T53" s="41">
        <f t="shared" si="4"/>
        <v>1800</v>
      </c>
      <c r="U53" s="41">
        <f t="shared" si="4"/>
        <v>1900</v>
      </c>
      <c r="V53" s="41">
        <f t="shared" si="4"/>
        <v>2000</v>
      </c>
      <c r="W53" s="104">
        <f t="shared" si="4"/>
        <v>2100</v>
      </c>
    </row>
    <row r="54" spans="1:23" x14ac:dyDescent="0.3">
      <c r="A54" s="14"/>
      <c r="B54" s="8">
        <f>(EXP((-$C$2*D55)/(2*$A$2*$E$53))/(1 - EXP((-$C$2*D55)/($A$2*$E$53))))</f>
        <v>1.0828525580136084E-4</v>
      </c>
      <c r="D54" s="105">
        <f t="shared" ref="D54:D56" si="5">A32*$I$2</f>
        <v>48070512444240</v>
      </c>
      <c r="E54" s="3">
        <f t="shared" ref="E54:E56" si="6">(EXP((-$C$2*D54)/(2*$A$2*$E$53))/(1 - EXP((-$C$2*D54)/($A$2*$E$53))))</f>
        <v>2.1392551959023783E-2</v>
      </c>
      <c r="F54" s="3">
        <f t="shared" ref="F54:F56" si="7">(EXP((-$C$2*D54)/(2*$A$2*$F$53))/(1 - EXP((-$C$2*D54)/($A$2*$F$53))))</f>
        <v>5.6092920461512173E-2</v>
      </c>
      <c r="G54" s="3">
        <f t="shared" ref="G54:G56" si="8">(EXP((-$C$2*D54)/(2*$A$2*$G$53))/(1 - EXP((-$C$2*D54)/($A$2*$G$53))))</f>
        <v>0.10054575638214951</v>
      </c>
      <c r="H54" s="3">
        <f t="shared" ref="H54:H56" si="9">(EXP((-$C$2*D54)/(2*$A$2*$H$53))/(1 - EXP((-$C$2*D54)/($A$2*$H$53))))</f>
        <v>0.1494235784433855</v>
      </c>
      <c r="I54" s="3">
        <f t="shared" ref="I54:I56" si="10">(EXP((-$C$2*D54)/(2*$A$2*$I$53))/(1 - EXP((-$C$2*D54)/($A$2*$I$53))))</f>
        <v>0.19984954666347327</v>
      </c>
      <c r="J54" s="3">
        <f t="shared" ref="J54:J56" si="11">(EXP((-$C$2*D54)/(2*$A$2*$J$53))/(1 - EXP((-$C$2*D54)/($A$2*$J$53))))</f>
        <v>0.2504748121264021</v>
      </c>
      <c r="K54" s="3">
        <f t="shared" ref="K54:K56" si="12">(EXP((-$C$2*D54)/(2*$A$2*$E$53))/(1 - EXP((-$C$2*D54)/($A$2*$E$53))))</f>
        <v>2.1392551959023783E-2</v>
      </c>
      <c r="L54" s="3">
        <f t="shared" ref="L54:L56" si="13">(EXP((-$C$2*D54)/(2*$A$2*$L$53))/(1 - EXP((-$C$2*D54)/($A$2*$L$53))))</f>
        <v>0.35039610817943545</v>
      </c>
      <c r="M54" s="3">
        <f t="shared" ref="M54:M56" si="14">(EXP((-$C$2*D54)/(2*$A$2*$M$53))/(1 - EXP((-$C$2*D54)/($A$2*$M$53))))</f>
        <v>0.39944236478548611</v>
      </c>
      <c r="N54" s="3">
        <f t="shared" ref="N54:N56" si="15">(EXP((-$C$2*D54)/(2*$A$2*$N$53))/(1 - EXP((-$C$2*D54)/($A$2*$N$53))))</f>
        <v>0.4478930627144716</v>
      </c>
      <c r="O54" s="3">
        <f t="shared" ref="O54:O56" si="16">(EXP((-$C$2*D54)/(2*$A$2*$O$53))/(1 - EXP((-$C$2*D54)/($A$2*$O$53))))</f>
        <v>0.49580283424457749</v>
      </c>
      <c r="P54" s="3">
        <f t="shared" ref="P54:P56" si="17">(EXP((-$C$2*D54)/(2*$A$2*$P$53))/(1 - EXP((-$C$2*D54)/($A$2*$P$53))))</f>
        <v>0.54323282757558877</v>
      </c>
      <c r="Q54" s="3">
        <f t="shared" ref="Q54:Q56" si="18">(EXP((-$C$2*D54)/(2*$A$2*$Q$53))/(1 - EXP((-$C$2*D54)/($A$2*$Q$53))))</f>
        <v>0.5902420271423745</v>
      </c>
      <c r="R54" s="3">
        <f t="shared" ref="R54:R56" si="19">(EXP((-$C$2*D54)/(2*$A$2*$R$53))/(1 - EXP((-$C$2*D54)/($A$2*$R$53))))</f>
        <v>0.63688387477461472</v>
      </c>
      <c r="S54" s="3">
        <f t="shared" ref="S54:S56" si="20">(EXP((-$C$2*D54)/(2*$A$2*$S$53))/(1 - EXP((-$C$2*D54)/($A$2*$S$53))))</f>
        <v>0.68320533930266358</v>
      </c>
      <c r="T54" s="3">
        <f t="shared" ref="T54:T56" si="21">(EXP((-$C$2*D54)/(2*$A$2*$T$53))/(1 - EXP((-$C$2*D54)/($A$2*$T$53))))</f>
        <v>0.72924707154880708</v>
      </c>
      <c r="U54" s="3">
        <f t="shared" ref="U54:U56" si="22">(EXP((-$C$2*D54)/(2*$A$2*$U$53))/(1 - EXP((-$C$2*D54)/($A$2*$U$53))))</f>
        <v>0.77504399459510609</v>
      </c>
      <c r="V54" s="3">
        <f t="shared" ref="V54:V56" si="23">(EXP((-$C$2*D54)/(2*$A$2*$V$53))/(1 - EXP((-$C$2*D54)/($A$2*$V$53))))</f>
        <v>0.82062602385787131</v>
      </c>
      <c r="W54" s="8">
        <f t="shared" ref="W54:W56" si="24">(EXP((-$C$2*D54)/(2*$A$2*$W$53))/(1 - EXP((-$C$2*D54)/($A$2*$W$53))))</f>
        <v>0.8660187789970345</v>
      </c>
    </row>
    <row r="55" spans="1:23" ht="15" thickBot="1" x14ac:dyDescent="0.35">
      <c r="A55" s="16"/>
      <c r="B55" s="10">
        <f>(EXP((-$C$2*D56)/(2*$A$2*$E$53))/(1 - EXP((-$C$2*D56)/($A$2*$E$53))))</f>
        <v>8.0793465881888322E-5</v>
      </c>
      <c r="D55" s="105">
        <f t="shared" si="5"/>
        <v>114148256319630</v>
      </c>
      <c r="E55" s="3">
        <f>(EXP((-$C$2*D55)/(2*$A$2*$E$53))/(1 - EXP((-$C$2*D55)/($A$2*$E$53))))</f>
        <v>1.0828525580136084E-4</v>
      </c>
      <c r="F55" s="3">
        <f t="shared" si="7"/>
        <v>1.0615182879851923E-3</v>
      </c>
      <c r="G55" s="3">
        <f t="shared" si="8"/>
        <v>4.1758911152703125E-3</v>
      </c>
      <c r="H55" s="3">
        <f t="shared" si="9"/>
        <v>1.0407147050659411E-2</v>
      </c>
      <c r="I55" s="3">
        <f t="shared" si="10"/>
        <v>1.998494981028175E-2</v>
      </c>
      <c r="J55" s="3">
        <f t="shared" si="11"/>
        <v>3.2615553382033993E-2</v>
      </c>
      <c r="K55" s="3">
        <f t="shared" si="12"/>
        <v>1.0828525580136084E-4</v>
      </c>
      <c r="L55" s="3">
        <f t="shared" si="13"/>
        <v>6.489154709882286E-2</v>
      </c>
      <c r="M55" s="3">
        <f t="shared" si="14"/>
        <v>8.3466723543222224E-2</v>
      </c>
      <c r="N55" s="3">
        <f t="shared" si="15"/>
        <v>0.10308258143522935</v>
      </c>
      <c r="O55" s="3">
        <f t="shared" si="16"/>
        <v>0.12341538308663184</v>
      </c>
      <c r="P55" s="3">
        <f t="shared" si="17"/>
        <v>0.14422102407059678</v>
      </c>
      <c r="Q55" s="3">
        <f t="shared" si="18"/>
        <v>0.16531960830302092</v>
      </c>
      <c r="R55" s="3">
        <f t="shared" si="19"/>
        <v>0.18658086596257734</v>
      </c>
      <c r="S55" s="3">
        <f t="shared" si="20"/>
        <v>0.2079119048965225</v>
      </c>
      <c r="T55" s="3">
        <f t="shared" si="21"/>
        <v>0.22924752179568147</v>
      </c>
      <c r="U55" s="3">
        <f t="shared" si="22"/>
        <v>0.25054279559125264</v>
      </c>
      <c r="V55" s="3">
        <f t="shared" si="23"/>
        <v>0.27176754049247637</v>
      </c>
      <c r="W55" s="8">
        <f t="shared" si="24"/>
        <v>0.29290220396927885</v>
      </c>
    </row>
    <row r="56" spans="1:23" ht="15" thickBot="1" x14ac:dyDescent="0.35">
      <c r="B56" s="3"/>
      <c r="D56" s="106">
        <f t="shared" si="5"/>
        <v>117809616236910</v>
      </c>
      <c r="E56" s="9">
        <f t="shared" si="6"/>
        <v>8.0793465881888322E-5</v>
      </c>
      <c r="F56" s="9">
        <f t="shared" si="7"/>
        <v>8.5218226640308703E-4</v>
      </c>
      <c r="G56" s="9">
        <f t="shared" si="8"/>
        <v>3.5029268686943022E-3</v>
      </c>
      <c r="H56" s="9">
        <f t="shared" si="9"/>
        <v>8.9892448017015892E-3</v>
      </c>
      <c r="I56" s="9">
        <f t="shared" si="10"/>
        <v>1.7625979008036256E-2</v>
      </c>
      <c r="J56" s="9">
        <f t="shared" si="11"/>
        <v>2.921704867653414E-2</v>
      </c>
      <c r="K56" s="9">
        <f t="shared" si="12"/>
        <v>8.0793465881888322E-5</v>
      </c>
      <c r="L56" s="9">
        <f t="shared" si="13"/>
        <v>5.9393213637915977E-2</v>
      </c>
      <c r="M56" s="9">
        <f t="shared" si="14"/>
        <v>7.69805363421628E-2</v>
      </c>
      <c r="N56" s="9">
        <f t="shared" si="15"/>
        <v>9.5667708803722856E-2</v>
      </c>
      <c r="O56" s="9">
        <f t="shared" si="16"/>
        <v>0.11513141442596142</v>
      </c>
      <c r="P56" s="9">
        <f t="shared" si="17"/>
        <v>0.13512319485009849</v>
      </c>
      <c r="Q56" s="9">
        <f t="shared" si="18"/>
        <v>0.15545672283844419</v>
      </c>
      <c r="R56" s="9">
        <f t="shared" si="19"/>
        <v>0.1759947711736071</v>
      </c>
      <c r="S56" s="9">
        <f t="shared" si="20"/>
        <v>0.19663778050454059</v>
      </c>
      <c r="T56" s="9">
        <f t="shared" si="21"/>
        <v>0.21731454715664017</v>
      </c>
      <c r="U56" s="9">
        <f t="shared" si="22"/>
        <v>0.23797494486615639</v>
      </c>
      <c r="V56" s="9">
        <f t="shared" si="23"/>
        <v>0.25858437502816745</v>
      </c>
      <c r="W56" s="10">
        <f t="shared" si="24"/>
        <v>0.27911959921411844</v>
      </c>
    </row>
    <row r="57" spans="1:23" x14ac:dyDescent="0.3">
      <c r="B57" s="3"/>
      <c r="D57" s="10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3">
      <c r="B58" s="3"/>
      <c r="D58" s="10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3">
      <c r="B59" s="3"/>
      <c r="D59" s="10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3">
      <c r="B60" s="3"/>
      <c r="D60" s="10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3">
      <c r="B61" s="3"/>
      <c r="D61" s="10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">
      <c r="B62" s="3"/>
      <c r="D62" s="10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">
      <c r="B63" s="3"/>
      <c r="D63" s="10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">
      <c r="B64" s="3"/>
      <c r="D64" s="10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">
      <c r="B65" s="3"/>
      <c r="D65" s="10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">
      <c r="B66" s="3"/>
      <c r="D66" s="10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3">
      <c r="B67" s="3"/>
      <c r="D67" s="10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3">
      <c r="B68" s="3"/>
      <c r="D68" s="10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3">
      <c r="B69" s="3"/>
      <c r="D69" s="10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">
      <c r="B70" s="3"/>
      <c r="D70" s="10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" thickBot="1" x14ac:dyDescent="0.35">
      <c r="D71" s="10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">
      <c r="A72" s="18" t="s">
        <v>42</v>
      </c>
      <c r="B72" s="19">
        <f>COUNT(B53:B70)</f>
        <v>3</v>
      </c>
      <c r="D72" s="37" t="s">
        <v>102</v>
      </c>
    </row>
    <row r="73" spans="1:23" ht="21" thickBot="1" x14ac:dyDescent="0.35">
      <c r="A73" s="20" t="s">
        <v>43</v>
      </c>
      <c r="B73" s="118">
        <f>PRODUCT(E54:E56)</f>
        <v>1.8715789898776146E-10</v>
      </c>
      <c r="D73" s="119">
        <v>1.6300900000000001E-10</v>
      </c>
    </row>
    <row r="74" spans="1:23" x14ac:dyDescent="0.3">
      <c r="D74" s="120" t="s">
        <v>90</v>
      </c>
    </row>
    <row r="75" spans="1:23" ht="15" thickBot="1" x14ac:dyDescent="0.35">
      <c r="D75" s="121">
        <f>ABS(B73-D73)/D73</f>
        <v>0.14814457476434709</v>
      </c>
    </row>
    <row r="81" spans="2:10" ht="15" thickBot="1" x14ac:dyDescent="0.35"/>
    <row r="82" spans="2:10" ht="19.2" x14ac:dyDescent="0.3">
      <c r="D82" s="12" t="s">
        <v>23</v>
      </c>
      <c r="E82" s="39" t="s">
        <v>46</v>
      </c>
      <c r="F82" s="54" t="s">
        <v>44</v>
      </c>
    </row>
    <row r="83" spans="2:10" ht="18.600000000000001" thickBot="1" x14ac:dyDescent="0.35">
      <c r="B83" s="11"/>
      <c r="D83" s="14">
        <f>300</f>
        <v>300</v>
      </c>
      <c r="E83" s="8">
        <f xml:space="preserve"> ( (2*$B$2*$E$2*$A$2*D83)/($C$2*$C$2) )^(1.5) * ($A$2*D83) /$F$83</f>
        <v>3049374.3336734213</v>
      </c>
      <c r="F83" s="31">
        <v>101325</v>
      </c>
      <c r="H83" s="2" t="s">
        <v>55</v>
      </c>
    </row>
    <row r="84" spans="2:10" ht="15" thickBot="1" x14ac:dyDescent="0.35">
      <c r="D84" s="14">
        <f>D83+100</f>
        <v>400</v>
      </c>
      <c r="E84" s="8">
        <f t="shared" ref="E84:E101" si="25" xml:space="preserve"> ( (2*$B$2*$E$2*$A$2*D84)/($C$2*$C$2) )^(1.5) * ($A$2*D84) /$F$83</f>
        <v>6259758.5507779624</v>
      </c>
    </row>
    <row r="85" spans="2:10" ht="15" thickBot="1" x14ac:dyDescent="0.35">
      <c r="D85" s="14">
        <f t="shared" ref="D85:D101" si="26">D84+100</f>
        <v>500</v>
      </c>
      <c r="E85" s="8">
        <f t="shared" si="25"/>
        <v>10935348.158027323</v>
      </c>
      <c r="J85" s="37" t="s">
        <v>45</v>
      </c>
    </row>
    <row r="86" spans="2:10" x14ac:dyDescent="0.3">
      <c r="D86" s="14">
        <f t="shared" si="26"/>
        <v>600</v>
      </c>
      <c r="E86" s="8">
        <f t="shared" si="25"/>
        <v>17249866.157733537</v>
      </c>
      <c r="H86" s="40" t="s">
        <v>48</v>
      </c>
      <c r="I86" s="18" t="s">
        <v>47</v>
      </c>
      <c r="J86" s="42">
        <f xml:space="preserve"> ( (2*$B$2*$E$2*$A$2*298.15)/($C$2*$C$2) )^(1.5) * ($A$2*D83) /$F$83</f>
        <v>3021211.1512324926</v>
      </c>
    </row>
    <row r="87" spans="2:10" ht="15" thickBot="1" x14ac:dyDescent="0.35">
      <c r="D87" s="14">
        <f t="shared" si="26"/>
        <v>700</v>
      </c>
      <c r="E87" s="8">
        <f t="shared" si="25"/>
        <v>25360201.72627395</v>
      </c>
      <c r="H87" s="41" t="s">
        <v>49</v>
      </c>
      <c r="I87" s="16" t="s">
        <v>47</v>
      </c>
      <c r="J87" s="43">
        <v>3004320</v>
      </c>
    </row>
    <row r="88" spans="2:10" x14ac:dyDescent="0.3">
      <c r="D88" s="14">
        <f t="shared" si="26"/>
        <v>800</v>
      </c>
      <c r="E88" s="8">
        <f t="shared" si="25"/>
        <v>35410541.758764677</v>
      </c>
      <c r="J88" s="1" t="s">
        <v>90</v>
      </c>
    </row>
    <row r="89" spans="2:10" x14ac:dyDescent="0.3">
      <c r="D89" s="14">
        <f t="shared" si="26"/>
        <v>900</v>
      </c>
      <c r="E89" s="8">
        <f t="shared" si="25"/>
        <v>47535041.494970217</v>
      </c>
      <c r="J89" s="85">
        <f>(J86-J87)/J87</f>
        <v>5.6222876499482889E-3</v>
      </c>
    </row>
    <row r="90" spans="2:10" x14ac:dyDescent="0.3">
      <c r="D90" s="14">
        <f t="shared" si="26"/>
        <v>1000</v>
      </c>
      <c r="E90" s="8">
        <f t="shared" si="25"/>
        <v>61859670.697415695</v>
      </c>
    </row>
    <row r="91" spans="2:10" x14ac:dyDescent="0.3">
      <c r="D91" s="14">
        <f t="shared" si="26"/>
        <v>1100</v>
      </c>
      <c r="E91" s="8">
        <f t="shared" si="25"/>
        <v>78503553.666533649</v>
      </c>
    </row>
    <row r="92" spans="2:10" x14ac:dyDescent="0.3">
      <c r="D92" s="14">
        <f t="shared" si="26"/>
        <v>1200</v>
      </c>
      <c r="E92" s="8">
        <f t="shared" si="25"/>
        <v>97579978.677550033</v>
      </c>
    </row>
    <row r="93" spans="2:10" x14ac:dyDescent="0.3">
      <c r="D93" s="14">
        <f t="shared" si="26"/>
        <v>1300</v>
      </c>
      <c r="E93" s="8">
        <f t="shared" si="25"/>
        <v>119197181.00432284</v>
      </c>
    </row>
    <row r="94" spans="2:10" x14ac:dyDescent="0.3">
      <c r="D94" s="14">
        <f t="shared" si="26"/>
        <v>1400</v>
      </c>
      <c r="E94" s="8">
        <f t="shared" si="25"/>
        <v>143458964.90325516</v>
      </c>
    </row>
    <row r="95" spans="2:10" x14ac:dyDescent="0.3">
      <c r="D95" s="14">
        <f t="shared" si="26"/>
        <v>1500</v>
      </c>
      <c r="E95" s="8">
        <f t="shared" si="25"/>
        <v>170465207.47342435</v>
      </c>
    </row>
    <row r="96" spans="2:10" x14ac:dyDescent="0.3">
      <c r="D96" s="14">
        <f t="shared" si="26"/>
        <v>1600</v>
      </c>
      <c r="E96" s="8">
        <f t="shared" si="25"/>
        <v>200312273.62489587</v>
      </c>
    </row>
    <row r="97" spans="1:10" x14ac:dyDescent="0.3">
      <c r="D97" s="14">
        <f t="shared" si="26"/>
        <v>1700</v>
      </c>
      <c r="E97" s="8">
        <f t="shared" si="25"/>
        <v>233093362.68947875</v>
      </c>
    </row>
    <row r="98" spans="1:10" x14ac:dyDescent="0.3">
      <c r="D98" s="14">
        <f t="shared" si="26"/>
        <v>1800</v>
      </c>
      <c r="E98" s="8">
        <f t="shared" si="25"/>
        <v>268898801.48061585</v>
      </c>
    </row>
    <row r="99" spans="1:10" x14ac:dyDescent="0.3">
      <c r="D99" s="14">
        <f t="shared" si="26"/>
        <v>1900</v>
      </c>
      <c r="E99" s="8">
        <f t="shared" si="25"/>
        <v>307816294.72199845</v>
      </c>
    </row>
    <row r="100" spans="1:10" x14ac:dyDescent="0.3">
      <c r="D100" s="14">
        <f t="shared" si="26"/>
        <v>2000</v>
      </c>
      <c r="E100" s="8">
        <f t="shared" si="25"/>
        <v>349931141.05687624</v>
      </c>
    </row>
    <row r="101" spans="1:10" ht="15" thickBot="1" x14ac:dyDescent="0.35">
      <c r="D101" s="16">
        <f t="shared" si="26"/>
        <v>2100</v>
      </c>
      <c r="E101" s="10">
        <f t="shared" si="25"/>
        <v>395326420.92092055</v>
      </c>
    </row>
    <row r="104" spans="1:10" ht="15" thickBot="1" x14ac:dyDescent="0.35"/>
    <row r="105" spans="1:10" ht="19.2" x14ac:dyDescent="0.3">
      <c r="D105" s="12" t="s">
        <v>23</v>
      </c>
      <c r="E105" s="39" t="s">
        <v>54</v>
      </c>
    </row>
    <row r="106" spans="1:10" x14ac:dyDescent="0.3">
      <c r="D106" s="14">
        <f>300</f>
        <v>300</v>
      </c>
      <c r="E106" s="8">
        <f xml:space="preserve"> ( SQRT($B$2)/$B$6) * SQRT(  (D106*D106*D106) / ($E$11 * $F$11 * $G$11 ) )</f>
        <v>44.059584940159397</v>
      </c>
    </row>
    <row r="107" spans="1:10" x14ac:dyDescent="0.3">
      <c r="D107" s="14">
        <f>D106+100</f>
        <v>400</v>
      </c>
      <c r="E107" s="8">
        <f t="shared" ref="E107:E124" si="27" xml:space="preserve"> ( SQRT($B$2)/$B$6) * SQRT(  (D107*D107*D107) / ($E$11 * $F$11 * $G$11 ) )</f>
        <v>67.834168601557892</v>
      </c>
    </row>
    <row r="108" spans="1:10" x14ac:dyDescent="0.3">
      <c r="D108" s="14">
        <f t="shared" ref="D108:D124" si="28">D107+100</f>
        <v>500</v>
      </c>
      <c r="E108" s="8">
        <f t="shared" si="27"/>
        <v>94.801132618915815</v>
      </c>
      <c r="H108" s="2" t="s">
        <v>55</v>
      </c>
    </row>
    <row r="109" spans="1:10" ht="15" thickBot="1" x14ac:dyDescent="0.35">
      <c r="D109" s="14">
        <f t="shared" si="28"/>
        <v>600</v>
      </c>
      <c r="E109" s="8">
        <f t="shared" si="27"/>
        <v>124.61932514980558</v>
      </c>
    </row>
    <row r="110" spans="1:10" ht="18.600000000000001" thickBot="1" x14ac:dyDescent="0.35">
      <c r="A110" s="36"/>
      <c r="B110" s="11"/>
      <c r="D110" s="14">
        <f t="shared" si="28"/>
        <v>700</v>
      </c>
      <c r="E110" s="8">
        <f t="shared" si="27"/>
        <v>157.03829794847974</v>
      </c>
      <c r="J110" s="37" t="s">
        <v>45</v>
      </c>
    </row>
    <row r="111" spans="1:10" x14ac:dyDescent="0.3">
      <c r="D111" s="14">
        <f t="shared" si="28"/>
        <v>800</v>
      </c>
      <c r="E111" s="8">
        <f t="shared" si="27"/>
        <v>191.86400245725267</v>
      </c>
      <c r="H111" s="40" t="s">
        <v>48</v>
      </c>
      <c r="I111" s="18" t="s">
        <v>89</v>
      </c>
      <c r="J111" s="42">
        <f>E106</f>
        <v>44.059584940159397</v>
      </c>
    </row>
    <row r="112" spans="1:10" ht="15" thickBot="1" x14ac:dyDescent="0.35">
      <c r="D112" s="14">
        <f t="shared" si="28"/>
        <v>900</v>
      </c>
      <c r="E112" s="8">
        <f t="shared" si="27"/>
        <v>228.94031903025791</v>
      </c>
      <c r="H112" s="41" t="s">
        <v>49</v>
      </c>
      <c r="I112" s="16" t="s">
        <v>89</v>
      </c>
      <c r="J112" s="43">
        <v>43.652700000000003</v>
      </c>
    </row>
    <row r="113" spans="4:10" x14ac:dyDescent="0.3">
      <c r="D113" s="14">
        <f t="shared" si="28"/>
        <v>1000</v>
      </c>
      <c r="E113" s="8">
        <f t="shared" si="27"/>
        <v>268.13809495600231</v>
      </c>
      <c r="J113" s="1" t="s">
        <v>90</v>
      </c>
    </row>
    <row r="114" spans="4:10" x14ac:dyDescent="0.3">
      <c r="D114" s="14">
        <f t="shared" si="28"/>
        <v>1100</v>
      </c>
      <c r="E114" s="8">
        <f t="shared" si="27"/>
        <v>309.34816717347786</v>
      </c>
      <c r="J114" s="85">
        <f>(J111-J112)/J112</f>
        <v>9.3209570120380558E-3</v>
      </c>
    </row>
    <row r="115" spans="4:10" x14ac:dyDescent="0.3">
      <c r="D115" s="14">
        <f t="shared" si="28"/>
        <v>1200</v>
      </c>
      <c r="E115" s="8">
        <f t="shared" si="27"/>
        <v>352.47667952127517</v>
      </c>
    </row>
    <row r="116" spans="4:10" x14ac:dyDescent="0.3">
      <c r="D116" s="14">
        <f t="shared" si="28"/>
        <v>1300</v>
      </c>
      <c r="E116" s="8">
        <f t="shared" si="27"/>
        <v>397.44180632225283</v>
      </c>
      <c r="H116" s="57"/>
    </row>
    <row r="117" spans="4:10" x14ac:dyDescent="0.3">
      <c r="D117" s="14">
        <f t="shared" si="28"/>
        <v>1400</v>
      </c>
      <c r="E117" s="8">
        <f t="shared" si="27"/>
        <v>444.17138154145414</v>
      </c>
    </row>
    <row r="118" spans="4:10" x14ac:dyDescent="0.3">
      <c r="D118" s="14">
        <f t="shared" si="28"/>
        <v>1500</v>
      </c>
      <c r="E118" s="8">
        <f t="shared" si="27"/>
        <v>492.60113493311212</v>
      </c>
    </row>
    <row r="119" spans="4:10" x14ac:dyDescent="0.3">
      <c r="D119" s="14">
        <f t="shared" si="28"/>
        <v>1600</v>
      </c>
      <c r="E119" s="8">
        <f t="shared" si="27"/>
        <v>542.67334881246313</v>
      </c>
    </row>
    <row r="120" spans="4:10" x14ac:dyDescent="0.3">
      <c r="D120" s="14">
        <f t="shared" si="28"/>
        <v>1700</v>
      </c>
      <c r="E120" s="8">
        <f t="shared" si="27"/>
        <v>594.33581461163294</v>
      </c>
    </row>
    <row r="121" spans="4:10" x14ac:dyDescent="0.3">
      <c r="D121" s="14">
        <f t="shared" si="28"/>
        <v>1800</v>
      </c>
      <c r="E121" s="8">
        <f t="shared" si="27"/>
        <v>647.54100829322783</v>
      </c>
    </row>
    <row r="122" spans="4:10" x14ac:dyDescent="0.3">
      <c r="D122" s="14">
        <f t="shared" si="28"/>
        <v>1900</v>
      </c>
      <c r="E122" s="8">
        <f t="shared" si="27"/>
        <v>702.24542890156522</v>
      </c>
    </row>
    <row r="123" spans="4:10" x14ac:dyDescent="0.3">
      <c r="D123" s="14">
        <f t="shared" si="28"/>
        <v>2000</v>
      </c>
      <c r="E123" s="8">
        <f t="shared" si="27"/>
        <v>758.40906095132652</v>
      </c>
    </row>
    <row r="124" spans="4:10" ht="15" thickBot="1" x14ac:dyDescent="0.35">
      <c r="D124" s="16">
        <f t="shared" si="28"/>
        <v>2100</v>
      </c>
      <c r="E124" s="10">
        <f t="shared" si="27"/>
        <v>815.99493234271893</v>
      </c>
    </row>
    <row r="126" spans="4:10" ht="15" thickBot="1" x14ac:dyDescent="0.35"/>
    <row r="127" spans="4:10" ht="19.2" x14ac:dyDescent="0.3">
      <c r="D127" s="12" t="s">
        <v>23</v>
      </c>
      <c r="E127" s="13" t="s">
        <v>63</v>
      </c>
    </row>
    <row r="128" spans="4:10" ht="15.6" x14ac:dyDescent="0.3">
      <c r="D128" s="14">
        <f>300</f>
        <v>300</v>
      </c>
      <c r="E128" s="48">
        <f>$B$135*EXP($B$134/($A$2*D128) )</f>
        <v>0</v>
      </c>
      <c r="G128" s="2" t="s">
        <v>65</v>
      </c>
      <c r="H128" s="6">
        <f>$B$135*EXP($B$134/($A$2*298.15) )</f>
        <v>0</v>
      </c>
    </row>
    <row r="129" spans="1:7" ht="15.6" x14ac:dyDescent="0.2">
      <c r="A129" s="44"/>
      <c r="D129" s="14">
        <f>D128+100</f>
        <v>400</v>
      </c>
      <c r="E129" s="48">
        <f t="shared" ref="E129:E146" si="29">$B$135*EXP($B$134/($A$2*D129) )</f>
        <v>0</v>
      </c>
    </row>
    <row r="130" spans="1:7" ht="15.6" x14ac:dyDescent="0.3">
      <c r="D130" s="14">
        <f t="shared" ref="D130:D146" si="30">D129+100</f>
        <v>500</v>
      </c>
      <c r="E130" s="48">
        <f t="shared" si="29"/>
        <v>0</v>
      </c>
    </row>
    <row r="131" spans="1:7" ht="16.2" thickBot="1" x14ac:dyDescent="0.35">
      <c r="A131" s="45" t="s">
        <v>59</v>
      </c>
      <c r="B131" s="46">
        <v>-205.08388711200001</v>
      </c>
      <c r="D131" s="14">
        <f t="shared" si="30"/>
        <v>600</v>
      </c>
      <c r="E131" s="48">
        <f t="shared" si="29"/>
        <v>0</v>
      </c>
    </row>
    <row r="132" spans="1:7" ht="15.6" x14ac:dyDescent="0.3">
      <c r="A132" s="45" t="s">
        <v>60</v>
      </c>
      <c r="B132" s="47">
        <f>B131/(229400000000000000)</f>
        <v>-8.9400125157802977E-16</v>
      </c>
      <c r="D132" s="14">
        <f t="shared" si="30"/>
        <v>700</v>
      </c>
      <c r="E132" s="48">
        <f t="shared" si="29"/>
        <v>0</v>
      </c>
      <c r="G132" s="37" t="s">
        <v>102</v>
      </c>
    </row>
    <row r="133" spans="1:7" ht="16.2" thickBot="1" x14ac:dyDescent="0.35">
      <c r="A133" s="45" t="s">
        <v>61</v>
      </c>
      <c r="B133" s="45">
        <f>K5</f>
        <v>9.2426487999999999E-20</v>
      </c>
      <c r="D133" s="14">
        <f t="shared" si="30"/>
        <v>800</v>
      </c>
      <c r="E133" s="48">
        <f t="shared" si="29"/>
        <v>0</v>
      </c>
      <c r="G133" s="31" t="s">
        <v>103</v>
      </c>
    </row>
    <row r="134" spans="1:7" ht="19.2" x14ac:dyDescent="0.3">
      <c r="A134" s="45" t="s">
        <v>67</v>
      </c>
      <c r="B134" s="47">
        <f>B132+B133</f>
        <v>-8.9390882509002972E-16</v>
      </c>
      <c r="D134" s="14">
        <f t="shared" si="30"/>
        <v>900</v>
      </c>
      <c r="E134" s="48">
        <f t="shared" si="29"/>
        <v>0</v>
      </c>
    </row>
    <row r="135" spans="1:7" ht="19.2" x14ac:dyDescent="0.3">
      <c r="A135" s="45" t="s">
        <v>62</v>
      </c>
      <c r="B135" s="45">
        <v>1</v>
      </c>
      <c r="D135" s="14">
        <f t="shared" si="30"/>
        <v>1000</v>
      </c>
      <c r="E135" s="48">
        <f t="shared" si="29"/>
        <v>0</v>
      </c>
    </row>
    <row r="136" spans="1:7" ht="15.6" x14ac:dyDescent="0.3">
      <c r="A136" s="2" t="s">
        <v>66</v>
      </c>
      <c r="B136" s="3">
        <f>A2*D128</f>
        <v>4.1417999999999996E-21</v>
      </c>
      <c r="D136" s="14">
        <f t="shared" si="30"/>
        <v>1100</v>
      </c>
      <c r="E136" s="48">
        <f t="shared" si="29"/>
        <v>0</v>
      </c>
    </row>
    <row r="137" spans="1:7" ht="15.6" x14ac:dyDescent="0.3">
      <c r="D137" s="14">
        <f t="shared" si="30"/>
        <v>1200</v>
      </c>
      <c r="E137" s="48">
        <f t="shared" si="29"/>
        <v>0</v>
      </c>
    </row>
    <row r="138" spans="1:7" ht="15.6" x14ac:dyDescent="0.3">
      <c r="D138" s="14">
        <f t="shared" si="30"/>
        <v>1300</v>
      </c>
      <c r="E138" s="48">
        <f t="shared" si="29"/>
        <v>0</v>
      </c>
    </row>
    <row r="139" spans="1:7" ht="15.6" x14ac:dyDescent="0.3">
      <c r="D139" s="14">
        <f t="shared" si="30"/>
        <v>1400</v>
      </c>
      <c r="E139" s="48">
        <f t="shared" si="29"/>
        <v>0</v>
      </c>
    </row>
    <row r="140" spans="1:7" ht="15.6" x14ac:dyDescent="0.3">
      <c r="D140" s="14">
        <f t="shared" si="30"/>
        <v>1500</v>
      </c>
      <c r="E140" s="48">
        <f t="shared" si="29"/>
        <v>0</v>
      </c>
    </row>
    <row r="141" spans="1:7" ht="15.6" x14ac:dyDescent="0.3">
      <c r="D141" s="14">
        <f t="shared" si="30"/>
        <v>1600</v>
      </c>
      <c r="E141" s="48">
        <f t="shared" si="29"/>
        <v>0</v>
      </c>
    </row>
    <row r="142" spans="1:7" ht="15.6" x14ac:dyDescent="0.3">
      <c r="D142" s="14">
        <f t="shared" si="30"/>
        <v>1700</v>
      </c>
      <c r="E142" s="48">
        <f t="shared" si="29"/>
        <v>0</v>
      </c>
    </row>
    <row r="143" spans="1:7" ht="15.6" x14ac:dyDescent="0.3">
      <c r="D143" s="14">
        <f t="shared" si="30"/>
        <v>1800</v>
      </c>
      <c r="E143" s="48">
        <f t="shared" si="29"/>
        <v>0</v>
      </c>
    </row>
    <row r="144" spans="1:7" ht="15.6" x14ac:dyDescent="0.3">
      <c r="D144" s="14">
        <f t="shared" si="30"/>
        <v>1900</v>
      </c>
      <c r="E144" s="48">
        <f t="shared" si="29"/>
        <v>0</v>
      </c>
    </row>
    <row r="145" spans="4:13" ht="15.6" x14ac:dyDescent="0.3">
      <c r="D145" s="14">
        <f t="shared" si="30"/>
        <v>2000</v>
      </c>
      <c r="E145" s="48">
        <f t="shared" si="29"/>
        <v>0</v>
      </c>
    </row>
    <row r="146" spans="4:13" ht="16.2" thickBot="1" x14ac:dyDescent="0.35">
      <c r="D146" s="16">
        <f t="shared" si="30"/>
        <v>2100</v>
      </c>
      <c r="E146" s="49">
        <f t="shared" si="29"/>
        <v>0</v>
      </c>
    </row>
    <row r="151" spans="4:13" ht="15" thickBot="1" x14ac:dyDescent="0.35">
      <c r="H151" s="2" t="s">
        <v>68</v>
      </c>
    </row>
    <row r="152" spans="4:13" ht="20.399999999999999" x14ac:dyDescent="0.3">
      <c r="D152" s="58" t="s">
        <v>23</v>
      </c>
      <c r="E152" s="62" t="s">
        <v>53</v>
      </c>
      <c r="F152" s="59" t="s">
        <v>69</v>
      </c>
      <c r="G152" s="59" t="s">
        <v>70</v>
      </c>
      <c r="H152" s="59" t="s">
        <v>43</v>
      </c>
      <c r="I152" s="38" t="s">
        <v>71</v>
      </c>
    </row>
    <row r="153" spans="4:13" ht="15.6" x14ac:dyDescent="0.3">
      <c r="D153" s="56">
        <f>300</f>
        <v>300</v>
      </c>
      <c r="E153" s="116">
        <f xml:space="preserve"> ( SQRT($B$2)/$B$6) * SQRT(  (D153*D153*D153) / ($E$11 * $F$11 * $G$11 ) )</f>
        <v>44.059584940159397</v>
      </c>
      <c r="F153" s="47">
        <v>1</v>
      </c>
      <c r="G153" s="3">
        <f xml:space="preserve"> ( (2*$B$2*$E$2*$A$2*D153)/($C$2*$C$2) )^(1.5) * ($A$2*D153) /$F$83</f>
        <v>3049374.3336734213</v>
      </c>
      <c r="H153" s="3">
        <f>(EXP((-$C$2*$D$54)/(2*$A$2*D153))/(1 - EXP((-$C$2*$D$54)/($A$2*D153))))</f>
        <v>2.1392551959023783E-2</v>
      </c>
      <c r="I153" s="99">
        <f>PRODUCT(E153:H153)</f>
        <v>2874178.5084882444</v>
      </c>
      <c r="J153" s="41"/>
      <c r="K153" s="57"/>
      <c r="M153" s="3"/>
    </row>
    <row r="154" spans="4:13" ht="15.6" x14ac:dyDescent="0.3">
      <c r="D154" s="56">
        <f>D153+100</f>
        <v>400</v>
      </c>
      <c r="E154" s="116">
        <f t="shared" ref="E154:E171" si="31" xml:space="preserve"> ( SQRT($B$2)/$B$6) * SQRT(  (D154*D154*D154) / ($E$11 * $F$11 * $G$11 ) )</f>
        <v>67.834168601557892</v>
      </c>
      <c r="F154" s="47">
        <v>1</v>
      </c>
      <c r="G154" s="3">
        <f t="shared" ref="G154:G171" si="32" xml:space="preserve"> ( (2*$B$2*$E$2*$A$2*D154)/($C$2*$C$2) )^(1.5) * ($A$2*D154) /$F$83</f>
        <v>6259758.5507779624</v>
      </c>
      <c r="H154" s="3">
        <f t="shared" ref="H154:H171" si="33">(EXP((-$C$2*$D$54)/(2*$A$2*D154))/(1 - EXP((-$C$2*$D$54)/($A$2*D154))))</f>
        <v>5.6092920461512173E-2</v>
      </c>
      <c r="I154" s="8">
        <f>PRODUCT(E154:H154)</f>
        <v>23818485.347560667</v>
      </c>
      <c r="M154" s="60"/>
    </row>
    <row r="155" spans="4:13" ht="15.6" x14ac:dyDescent="0.3">
      <c r="D155" s="56">
        <f t="shared" ref="D155:D171" si="34">D154+100</f>
        <v>500</v>
      </c>
      <c r="E155" s="116">
        <f t="shared" si="31"/>
        <v>94.801132618915815</v>
      </c>
      <c r="F155" s="47">
        <v>1</v>
      </c>
      <c r="G155" s="3">
        <f t="shared" si="32"/>
        <v>10935348.158027323</v>
      </c>
      <c r="H155" s="3">
        <f t="shared" si="33"/>
        <v>0.10054575638214951</v>
      </c>
      <c r="I155" s="8">
        <f t="shared" ref="I155:I171" si="35">PRODUCT(E155:H155)</f>
        <v>104234115.67320305</v>
      </c>
      <c r="J155" s="2" t="s">
        <v>92</v>
      </c>
    </row>
    <row r="156" spans="4:13" ht="16.2" thickBot="1" x14ac:dyDescent="0.35">
      <c r="D156" s="56">
        <f t="shared" si="34"/>
        <v>600</v>
      </c>
      <c r="E156" s="116">
        <f t="shared" si="31"/>
        <v>124.61932514980558</v>
      </c>
      <c r="F156" s="47">
        <v>1</v>
      </c>
      <c r="G156" s="3">
        <f t="shared" si="32"/>
        <v>17249866.157733537</v>
      </c>
      <c r="H156" s="3">
        <f t="shared" si="33"/>
        <v>0.1494235784433855</v>
      </c>
      <c r="I156" s="8">
        <f t="shared" si="35"/>
        <v>321210887.71158302</v>
      </c>
    </row>
    <row r="157" spans="4:13" ht="16.2" thickBot="1" x14ac:dyDescent="0.35">
      <c r="D157" s="56">
        <f t="shared" si="34"/>
        <v>700</v>
      </c>
      <c r="E157" s="116">
        <f t="shared" si="31"/>
        <v>157.03829794847974</v>
      </c>
      <c r="F157" s="47">
        <v>1</v>
      </c>
      <c r="G157" s="3">
        <f t="shared" si="32"/>
        <v>25360201.72627395</v>
      </c>
      <c r="H157" s="3">
        <f t="shared" si="33"/>
        <v>0.19984954666347327</v>
      </c>
      <c r="I157" s="8">
        <f t="shared" si="35"/>
        <v>795905399.08451736</v>
      </c>
      <c r="L157" s="37" t="s">
        <v>45</v>
      </c>
    </row>
    <row r="158" spans="4:13" ht="15.6" x14ac:dyDescent="0.3">
      <c r="D158" s="56">
        <f t="shared" si="34"/>
        <v>800</v>
      </c>
      <c r="E158" s="116">
        <f t="shared" si="31"/>
        <v>191.86400245725267</v>
      </c>
      <c r="F158" s="47">
        <v>1</v>
      </c>
      <c r="G158" s="3">
        <f t="shared" si="32"/>
        <v>35410541.758764677</v>
      </c>
      <c r="H158" s="3">
        <f t="shared" si="33"/>
        <v>0.2504748121264021</v>
      </c>
      <c r="I158" s="8">
        <f t="shared" si="35"/>
        <v>1701727945.2680233</v>
      </c>
      <c r="J158" s="40" t="s">
        <v>48</v>
      </c>
      <c r="K158" s="18" t="s">
        <v>91</v>
      </c>
      <c r="L158" s="42">
        <f>I153</f>
        <v>2874178.5084882444</v>
      </c>
    </row>
    <row r="159" spans="4:13" ht="16.2" thickBot="1" x14ac:dyDescent="0.35">
      <c r="D159" s="56">
        <f t="shared" si="34"/>
        <v>900</v>
      </c>
      <c r="E159" s="116">
        <f t="shared" si="31"/>
        <v>228.94031903025791</v>
      </c>
      <c r="F159" s="47">
        <v>1</v>
      </c>
      <c r="G159" s="3">
        <f t="shared" si="32"/>
        <v>47535041.494970217</v>
      </c>
      <c r="H159" s="3">
        <f t="shared" si="33"/>
        <v>0.30072615405655428</v>
      </c>
      <c r="I159" s="8">
        <f t="shared" si="35"/>
        <v>3272708777.2140284</v>
      </c>
      <c r="J159" s="41" t="s">
        <v>49</v>
      </c>
      <c r="K159" s="16" t="s">
        <v>91</v>
      </c>
      <c r="L159" s="43">
        <v>131204000</v>
      </c>
    </row>
    <row r="160" spans="4:13" ht="15.6" x14ac:dyDescent="0.3">
      <c r="D160" s="56">
        <f t="shared" si="34"/>
        <v>1000</v>
      </c>
      <c r="E160" s="116">
        <f t="shared" si="31"/>
        <v>268.13809495600231</v>
      </c>
      <c r="F160" s="47">
        <v>1</v>
      </c>
      <c r="G160" s="3">
        <f t="shared" si="32"/>
        <v>61859670.697415695</v>
      </c>
      <c r="H160" s="3">
        <f t="shared" si="33"/>
        <v>0.35039610817943545</v>
      </c>
      <c r="I160" s="8">
        <f t="shared" si="35"/>
        <v>5811997209.7240648</v>
      </c>
      <c r="L160" s="1" t="s">
        <v>90</v>
      </c>
    </row>
    <row r="161" spans="1:12" ht="15.6" x14ac:dyDescent="0.3">
      <c r="D161" s="56">
        <f t="shared" si="34"/>
        <v>1100</v>
      </c>
      <c r="E161" s="116">
        <f t="shared" si="31"/>
        <v>309.34816717347786</v>
      </c>
      <c r="F161" s="47">
        <v>1</v>
      </c>
      <c r="G161" s="3">
        <f t="shared" si="32"/>
        <v>78503553.666533649</v>
      </c>
      <c r="H161" s="3">
        <f t="shared" si="33"/>
        <v>0.39944236478548611</v>
      </c>
      <c r="I161" s="8">
        <f t="shared" si="35"/>
        <v>9700430044.9415474</v>
      </c>
      <c r="L161" s="112">
        <f>ABS(L158-L159)/L159</f>
        <v>0.9780938194834895</v>
      </c>
    </row>
    <row r="162" spans="1:12" ht="15.6" x14ac:dyDescent="0.3">
      <c r="D162" s="56">
        <f t="shared" si="34"/>
        <v>1200</v>
      </c>
      <c r="E162" s="116">
        <f t="shared" si="31"/>
        <v>352.47667952127517</v>
      </c>
      <c r="F162" s="47">
        <v>1</v>
      </c>
      <c r="G162" s="3">
        <f t="shared" si="32"/>
        <v>97579978.677550033</v>
      </c>
      <c r="H162" s="3">
        <f t="shared" si="33"/>
        <v>0.4478930627144716</v>
      </c>
      <c r="I162" s="8">
        <f t="shared" si="35"/>
        <v>15405132686.352863</v>
      </c>
      <c r="J162" s="2" t="s">
        <v>64</v>
      </c>
    </row>
    <row r="163" spans="1:12" ht="15.6" x14ac:dyDescent="0.3">
      <c r="D163" s="56">
        <f t="shared" si="34"/>
        <v>1300</v>
      </c>
      <c r="E163" s="116">
        <f t="shared" si="31"/>
        <v>397.44180632225283</v>
      </c>
      <c r="F163" s="47">
        <v>1</v>
      </c>
      <c r="G163" s="3">
        <f t="shared" si="32"/>
        <v>119197181.00432284</v>
      </c>
      <c r="H163" s="3">
        <f t="shared" si="33"/>
        <v>0.49580283424457749</v>
      </c>
      <c r="I163" s="8">
        <f t="shared" si="35"/>
        <v>23488135172.487263</v>
      </c>
      <c r="J163" s="57">
        <f>L158/L159</f>
        <v>2.1906180516510505E-2</v>
      </c>
    </row>
    <row r="164" spans="1:12" ht="15.6" x14ac:dyDescent="0.3">
      <c r="D164" s="56">
        <f t="shared" si="34"/>
        <v>1400</v>
      </c>
      <c r="E164" s="116">
        <f t="shared" si="31"/>
        <v>444.17138154145414</v>
      </c>
      <c r="F164" s="47">
        <v>1</v>
      </c>
      <c r="G164" s="3">
        <f t="shared" si="32"/>
        <v>143458964.90325516</v>
      </c>
      <c r="H164" s="3">
        <f t="shared" si="33"/>
        <v>0.54323282757558877</v>
      </c>
      <c r="I164" s="8">
        <f t="shared" si="35"/>
        <v>34614994941.602501</v>
      </c>
    </row>
    <row r="165" spans="1:12" ht="15.6" x14ac:dyDescent="0.3">
      <c r="D165" s="56">
        <f t="shared" si="34"/>
        <v>1500</v>
      </c>
      <c r="E165" s="116">
        <f t="shared" si="31"/>
        <v>492.60113493311212</v>
      </c>
      <c r="F165" s="47">
        <v>1</v>
      </c>
      <c r="G165" s="3">
        <f t="shared" si="32"/>
        <v>170465207.47342435</v>
      </c>
      <c r="H165" s="3">
        <f t="shared" si="33"/>
        <v>0.5902420271423745</v>
      </c>
      <c r="I165" s="8">
        <f t="shared" si="35"/>
        <v>49563422601.1418</v>
      </c>
    </row>
    <row r="166" spans="1:12" ht="15.6" x14ac:dyDescent="0.3">
      <c r="D166" s="56">
        <f t="shared" si="34"/>
        <v>1600</v>
      </c>
      <c r="E166" s="116">
        <f t="shared" si="31"/>
        <v>542.67334881246313</v>
      </c>
      <c r="F166" s="47">
        <v>1</v>
      </c>
      <c r="G166" s="3">
        <f t="shared" si="32"/>
        <v>200312273.62489587</v>
      </c>
      <c r="H166" s="3">
        <f t="shared" si="33"/>
        <v>0.63688387477461472</v>
      </c>
      <c r="I166" s="8">
        <f t="shared" si="35"/>
        <v>69231909006.3302</v>
      </c>
    </row>
    <row r="167" spans="1:12" ht="15.6" x14ac:dyDescent="0.3">
      <c r="D167" s="56">
        <f t="shared" si="34"/>
        <v>1700</v>
      </c>
      <c r="E167" s="116">
        <f t="shared" si="31"/>
        <v>594.33581461163294</v>
      </c>
      <c r="F167" s="47">
        <v>1</v>
      </c>
      <c r="G167" s="3">
        <f t="shared" si="32"/>
        <v>233093362.68947875</v>
      </c>
      <c r="H167" s="3">
        <f t="shared" si="33"/>
        <v>0.68320533930266358</v>
      </c>
      <c r="I167" s="8">
        <f t="shared" si="35"/>
        <v>94648352876.053131</v>
      </c>
    </row>
    <row r="168" spans="1:12" ht="15.6" x14ac:dyDescent="0.3">
      <c r="D168" s="56">
        <f t="shared" si="34"/>
        <v>1800</v>
      </c>
      <c r="E168" s="116">
        <f t="shared" si="31"/>
        <v>647.54100829322783</v>
      </c>
      <c r="F168" s="47">
        <v>1</v>
      </c>
      <c r="G168" s="3">
        <f t="shared" si="32"/>
        <v>268898801.48061585</v>
      </c>
      <c r="H168" s="3">
        <f t="shared" si="33"/>
        <v>0.72924707154880708</v>
      </c>
      <c r="I168" s="8">
        <f t="shared" si="35"/>
        <v>126978688597.4171</v>
      </c>
    </row>
    <row r="169" spans="1:12" ht="15.6" x14ac:dyDescent="0.3">
      <c r="D169" s="56">
        <f t="shared" si="34"/>
        <v>1900</v>
      </c>
      <c r="E169" s="116">
        <f t="shared" si="31"/>
        <v>702.24542890156522</v>
      </c>
      <c r="F169" s="47">
        <v>1</v>
      </c>
      <c r="G169" s="3">
        <f t="shared" si="32"/>
        <v>307816294.72199845</v>
      </c>
      <c r="H169" s="3">
        <f t="shared" si="33"/>
        <v>0.77504399459510609</v>
      </c>
      <c r="I169" s="8">
        <f t="shared" si="35"/>
        <v>167535514065.64801</v>
      </c>
    </row>
    <row r="170" spans="1:12" ht="15.6" x14ac:dyDescent="0.3">
      <c r="D170" s="56">
        <f t="shared" si="34"/>
        <v>2000</v>
      </c>
      <c r="E170" s="116">
        <f t="shared" si="31"/>
        <v>758.40906095132652</v>
      </c>
      <c r="F170" s="47">
        <v>1</v>
      </c>
      <c r="G170" s="3">
        <f t="shared" si="32"/>
        <v>349931141.05687624</v>
      </c>
      <c r="H170" s="3">
        <f t="shared" si="33"/>
        <v>0.82062602385787131</v>
      </c>
      <c r="I170" s="8">
        <f t="shared" si="35"/>
        <v>217786718496.15405</v>
      </c>
    </row>
    <row r="171" spans="1:12" ht="16.2" thickBot="1" x14ac:dyDescent="0.35">
      <c r="D171" s="31">
        <f t="shared" si="34"/>
        <v>2100</v>
      </c>
      <c r="E171" s="117">
        <f t="shared" si="31"/>
        <v>815.99493234271893</v>
      </c>
      <c r="F171" s="47">
        <v>1</v>
      </c>
      <c r="G171" s="9">
        <f t="shared" si="32"/>
        <v>395326420.92092055</v>
      </c>
      <c r="H171" s="9">
        <f t="shared" si="33"/>
        <v>0.8660187789970345</v>
      </c>
      <c r="I171" s="10">
        <f t="shared" si="35"/>
        <v>279364110186.90631</v>
      </c>
    </row>
    <row r="174" spans="1:12" ht="15" thickBot="1" x14ac:dyDescent="0.35">
      <c r="A174" s="2" t="s">
        <v>72</v>
      </c>
      <c r="B174" s="139" t="s">
        <v>86</v>
      </c>
      <c r="C174" s="139"/>
      <c r="D174" s="139"/>
      <c r="E174" s="139"/>
      <c r="F174" s="139"/>
      <c r="G174" s="61"/>
      <c r="H174" s="139" t="s">
        <v>87</v>
      </c>
      <c r="I174" s="139"/>
      <c r="J174" s="139"/>
      <c r="K174" s="139"/>
    </row>
    <row r="175" spans="1:12" ht="18" x14ac:dyDescent="0.3">
      <c r="A175" s="2" t="s">
        <v>85</v>
      </c>
      <c r="B175" s="62" t="s">
        <v>23</v>
      </c>
      <c r="C175" s="37" t="s">
        <v>73</v>
      </c>
      <c r="D175" s="37" t="s">
        <v>10</v>
      </c>
      <c r="E175" s="37" t="s">
        <v>11</v>
      </c>
      <c r="F175" s="37" t="s">
        <v>74</v>
      </c>
      <c r="G175" s="61" t="s">
        <v>75</v>
      </c>
      <c r="H175" s="62" t="s">
        <v>23</v>
      </c>
      <c r="I175" s="37" t="s">
        <v>73</v>
      </c>
      <c r="J175" s="37" t="s">
        <v>10</v>
      </c>
      <c r="K175" s="37" t="s">
        <v>11</v>
      </c>
      <c r="L175" s="37" t="s">
        <v>74</v>
      </c>
    </row>
    <row r="176" spans="1:12" ht="15" thickBot="1" x14ac:dyDescent="0.35">
      <c r="B176" s="14">
        <f>300</f>
        <v>300</v>
      </c>
      <c r="C176" s="63">
        <f>3/2*$D$2*B176</f>
        <v>3741.5124000000001</v>
      </c>
      <c r="D176" s="63">
        <f t="shared" ref="D176:D194" si="36">3/2*$D$2*B176</f>
        <v>3741.5124000000001</v>
      </c>
      <c r="E176" s="63" cm="1">
        <f t="array" ref="E176">$D$2*SUM( ($B$12:$B$14)/(EXP($B$12:$B$14/B176)-1) + 0.5*$B$12:$B$14)</f>
        <v>55878.703845994576</v>
      </c>
      <c r="F176" s="64">
        <v>0</v>
      </c>
      <c r="H176" s="73">
        <f>300</f>
        <v>300</v>
      </c>
      <c r="I176" s="86">
        <f>3/2*$D$2*H176 /4184</f>
        <v>0.89424292543021033</v>
      </c>
      <c r="J176" s="86">
        <f>3/2*$D$2*H176 / 4184</f>
        <v>0.89424292543021033</v>
      </c>
      <c r="K176" s="86" cm="1">
        <f t="array" ref="K176">$D$2*SUM( ($B$12:$B$14)/(EXP($B$12:$B$14/B176)-1) + 0.5*$B$12:$B$14)/ 4184</f>
        <v>13.355330747130635</v>
      </c>
      <c r="L176" s="87">
        <f xml:space="preserve"> F176/4184</f>
        <v>0</v>
      </c>
    </row>
    <row r="177" spans="2:14" x14ac:dyDescent="0.3">
      <c r="B177" s="14">
        <f>B176+100</f>
        <v>400</v>
      </c>
      <c r="C177" s="63">
        <f t="shared" ref="C177:C194" si="37">3/2*$D$2*B177</f>
        <v>4988.6831999999995</v>
      </c>
      <c r="D177" s="63">
        <f t="shared" si="36"/>
        <v>4988.6831999999995</v>
      </c>
      <c r="E177" s="63" cm="1">
        <f t="array" ref="E177">$D$2*SUM( ($B$12:$B$14)/(EXP($B$12:$B$14/B177)-1) + 0.5*$B$12:$B$14)</f>
        <v>55930.189906745189</v>
      </c>
      <c r="H177" s="14">
        <f>H176+100</f>
        <v>400</v>
      </c>
      <c r="I177" s="63">
        <f t="shared" ref="I177:I194" si="38">3/2*$D$2*H177 /4184</f>
        <v>1.1923239005736137</v>
      </c>
      <c r="J177" s="63">
        <f t="shared" ref="J177:J194" si="39">3/2*$D$2*H177 / 4184</f>
        <v>1.1923239005736137</v>
      </c>
      <c r="K177" s="63" cm="1">
        <f t="array" ref="K177">$D$2*SUM( ($B$12:$B$14)/(EXP($B$12:$B$14/B177)-1) + 0.5*$B$12:$B$14)/ 4184</f>
        <v>13.367636210981164</v>
      </c>
      <c r="M177" s="144" t="s">
        <v>93</v>
      </c>
      <c r="N177" s="144"/>
    </row>
    <row r="178" spans="2:14" ht="18.600000000000001" thickBot="1" x14ac:dyDescent="0.35">
      <c r="B178" s="14">
        <f t="shared" ref="B178:B194" si="40">B177+100</f>
        <v>500</v>
      </c>
      <c r="C178" s="63">
        <f t="shared" si="37"/>
        <v>6235.8539999999994</v>
      </c>
      <c r="D178" s="63">
        <f t="shared" si="36"/>
        <v>6235.8539999999994</v>
      </c>
      <c r="E178" s="63" cm="1">
        <f t="array" ref="E178">$D$2*SUM( ($B$12:$B$14)/(EXP($B$12:$B$14/B178)-1) + 0.5*$B$12:$B$14)</f>
        <v>56063.326747854997</v>
      </c>
      <c r="H178" s="14">
        <f t="shared" ref="H178:H194" si="41">H177+100</f>
        <v>500</v>
      </c>
      <c r="I178" s="63">
        <f t="shared" si="38"/>
        <v>1.490404875717017</v>
      </c>
      <c r="J178" s="63">
        <f t="shared" si="39"/>
        <v>1.490404875717017</v>
      </c>
      <c r="K178" s="63" cm="1">
        <f t="array" ref="K178">$D$2*SUM( ($B$12:$B$14)/(EXP($B$12:$B$14/B178)-1) + 0.5*$B$12:$B$14)/ 4184</f>
        <v>13.399456679697657</v>
      </c>
      <c r="M178" s="143" t="s">
        <v>88</v>
      </c>
      <c r="N178" s="143"/>
    </row>
    <row r="179" spans="2:14" x14ac:dyDescent="0.3">
      <c r="B179" s="14">
        <f t="shared" si="40"/>
        <v>600</v>
      </c>
      <c r="C179" s="63">
        <f t="shared" si="37"/>
        <v>7483.0248000000001</v>
      </c>
      <c r="D179" s="63">
        <f t="shared" si="36"/>
        <v>7483.0248000000001</v>
      </c>
      <c r="E179" s="63" cm="1">
        <f t="array" ref="E179">$D$2*SUM( ($B$12:$B$14)/(EXP($B$12:$B$14/B179)-1) + 0.5*$B$12:$B$14)</f>
        <v>56297.842861397825</v>
      </c>
      <c r="H179" s="14">
        <f t="shared" si="41"/>
        <v>600</v>
      </c>
      <c r="I179" s="63">
        <f t="shared" si="38"/>
        <v>1.7884858508604207</v>
      </c>
      <c r="J179" s="63">
        <f t="shared" si="39"/>
        <v>1.7884858508604207</v>
      </c>
      <c r="K179" s="63" cm="1">
        <f t="array" ref="K179">$D$2*SUM( ($B$12:$B$14)/(EXP($B$12:$B$14/B179)-1) + 0.5*$B$12:$B$14)/ 4184</f>
        <v>13.455507376051106</v>
      </c>
      <c r="M179" s="72"/>
      <c r="N179" s="68" t="s">
        <v>21</v>
      </c>
    </row>
    <row r="180" spans="2:14" x14ac:dyDescent="0.3">
      <c r="B180" s="14">
        <f t="shared" si="40"/>
        <v>700</v>
      </c>
      <c r="C180" s="63">
        <f t="shared" si="37"/>
        <v>8730.1955999999991</v>
      </c>
      <c r="D180" s="63">
        <f t="shared" si="36"/>
        <v>8730.1955999999991</v>
      </c>
      <c r="E180" s="63" cm="1">
        <f t="array" ref="E180">$D$2*SUM( ($B$12:$B$14)/(EXP($B$12:$B$14/B180)-1) + 0.5*$B$12:$B$14)</f>
        <v>56640.556588857129</v>
      </c>
      <c r="H180" s="14">
        <f t="shared" si="41"/>
        <v>700</v>
      </c>
      <c r="I180" s="63">
        <f t="shared" si="38"/>
        <v>2.0865668260038239</v>
      </c>
      <c r="J180" s="63">
        <f t="shared" si="39"/>
        <v>2.0865668260038239</v>
      </c>
      <c r="K180" s="63" cm="1">
        <f t="array" ref="K180">$D$2*SUM( ($B$12:$B$14)/(EXP($B$12:$B$14/B180)-1) + 0.5*$B$12:$B$14)/ 4184</f>
        <v>13.537417922767</v>
      </c>
      <c r="M180" s="73"/>
      <c r="N180" s="78" t="s">
        <v>4</v>
      </c>
    </row>
    <row r="181" spans="2:14" x14ac:dyDescent="0.3">
      <c r="B181" s="14">
        <f t="shared" si="40"/>
        <v>800</v>
      </c>
      <c r="C181" s="63">
        <f t="shared" si="37"/>
        <v>9977.366399999999</v>
      </c>
      <c r="D181" s="63">
        <f t="shared" si="36"/>
        <v>9977.366399999999</v>
      </c>
      <c r="E181" s="63" cm="1">
        <f t="array" ref="E181">$D$2*SUM( ($B$12:$B$14)/(EXP($B$12:$B$14/B181)-1) + 0.5*$B$12:$B$14)</f>
        <v>57094.699377097044</v>
      </c>
      <c r="H181" s="14">
        <f t="shared" si="41"/>
        <v>800</v>
      </c>
      <c r="I181" s="63">
        <f t="shared" si="38"/>
        <v>2.3846478011472274</v>
      </c>
      <c r="J181" s="63">
        <f t="shared" si="39"/>
        <v>2.3846478011472274</v>
      </c>
      <c r="K181" s="63" cm="1">
        <f t="array" ref="K181">$D$2*SUM( ($B$12:$B$14)/(EXP($B$12:$B$14/B181)-1) + 0.5*$B$12:$B$14)/ 4184</f>
        <v>13.645960654181893</v>
      </c>
      <c r="M181" s="73" t="s">
        <v>6</v>
      </c>
      <c r="N181" s="79">
        <v>15.132999999999999</v>
      </c>
    </row>
    <row r="182" spans="2:14" x14ac:dyDescent="0.3">
      <c r="B182" s="14">
        <f t="shared" si="40"/>
        <v>900</v>
      </c>
      <c r="C182" s="63">
        <f t="shared" si="37"/>
        <v>11224.537199999999</v>
      </c>
      <c r="D182" s="63">
        <f t="shared" si="36"/>
        <v>11224.537199999999</v>
      </c>
      <c r="E182" s="63" cm="1">
        <f t="array" ref="E182">$D$2*SUM( ($B$12:$B$14)/(EXP($B$12:$B$14/B182)-1) + 0.5*$B$12:$B$14)</f>
        <v>57662.952834576943</v>
      </c>
      <c r="H182" s="14">
        <f t="shared" si="41"/>
        <v>900</v>
      </c>
      <c r="I182" s="63">
        <f t="shared" si="38"/>
        <v>2.6827287762906309</v>
      </c>
      <c r="J182" s="63">
        <f t="shared" si="39"/>
        <v>2.6827287762906309</v>
      </c>
      <c r="K182" s="63" cm="1">
        <f t="array" ref="K182">$D$2*SUM( ($B$12:$B$14)/(EXP($B$12:$B$14/B182)-1) + 0.5*$B$12:$B$14)/ 4184</f>
        <v>13.781776490099652</v>
      </c>
      <c r="M182" s="73" t="s">
        <v>7</v>
      </c>
      <c r="N182" s="79" t="s">
        <v>8</v>
      </c>
    </row>
    <row r="183" spans="2:14" x14ac:dyDescent="0.3">
      <c r="B183" s="14">
        <f t="shared" si="40"/>
        <v>1000</v>
      </c>
      <c r="C183" s="63">
        <f t="shared" si="37"/>
        <v>12471.707999999999</v>
      </c>
      <c r="D183" s="63">
        <f t="shared" si="36"/>
        <v>12471.707999999999</v>
      </c>
      <c r="E183" s="63" cm="1">
        <f t="array" ref="E183">$D$2*SUM( ($B$12:$B$14)/(EXP($B$12:$B$14/B183)-1) + 0.5*$B$12:$B$14)</f>
        <v>58347.085480012043</v>
      </c>
      <c r="H183" s="14">
        <f t="shared" si="41"/>
        <v>1000</v>
      </c>
      <c r="I183" s="63">
        <f t="shared" si="38"/>
        <v>2.9808097514340339</v>
      </c>
      <c r="J183" s="63">
        <f t="shared" si="39"/>
        <v>2.9808097514340339</v>
      </c>
      <c r="K183" s="63" cm="1">
        <f t="array" ref="K183">$D$2*SUM( ($B$12:$B$14)/(EXP($B$12:$B$14/B183)-1) + 0.5*$B$12:$B$14)/ 4184</f>
        <v>13.945288116637677</v>
      </c>
      <c r="M183" s="73" t="s">
        <v>9</v>
      </c>
      <c r="N183" s="79">
        <v>0.88900000000000001</v>
      </c>
    </row>
    <row r="184" spans="2:14" x14ac:dyDescent="0.3">
      <c r="B184" s="14">
        <f t="shared" si="40"/>
        <v>1100</v>
      </c>
      <c r="C184" s="63">
        <f t="shared" si="37"/>
        <v>13718.8788</v>
      </c>
      <c r="D184" s="63">
        <f t="shared" si="36"/>
        <v>13718.8788</v>
      </c>
      <c r="E184" s="63" cm="1">
        <f t="array" ref="E184">$D$2*SUM( ($B$12:$B$14)/(EXP($B$12:$B$14/B184)-1) + 0.5*$B$12:$B$14)</f>
        <v>59147.12042337114</v>
      </c>
      <c r="H184" s="14">
        <f t="shared" si="41"/>
        <v>1100</v>
      </c>
      <c r="I184" s="63">
        <f t="shared" si="38"/>
        <v>3.2788907265774379</v>
      </c>
      <c r="J184" s="63">
        <f t="shared" si="39"/>
        <v>3.2788907265774379</v>
      </c>
      <c r="K184" s="63" cm="1">
        <f t="array" ref="K184">$D$2*SUM( ($B$12:$B$14)/(EXP($B$12:$B$14/B184)-1) + 0.5*$B$12:$B$14)/ 4184</f>
        <v>14.136501057211076</v>
      </c>
      <c r="M184" s="73" t="s">
        <v>10</v>
      </c>
      <c r="N184" s="79">
        <v>0.88900000000000001</v>
      </c>
    </row>
    <row r="185" spans="2:14" ht="15" thickBot="1" x14ac:dyDescent="0.35">
      <c r="B185" s="14">
        <f t="shared" si="40"/>
        <v>1200</v>
      </c>
      <c r="C185" s="63">
        <f t="shared" si="37"/>
        <v>14966.0496</v>
      </c>
      <c r="D185" s="63">
        <f t="shared" si="36"/>
        <v>14966.0496</v>
      </c>
      <c r="E185" s="63" cm="1">
        <f t="array" ref="E185">$D$2*SUM( ($B$12:$B$14)/(EXP($B$12:$B$14/B185)-1) + 0.5*$B$12:$B$14)</f>
        <v>60061.021360107843</v>
      </c>
      <c r="H185" s="14">
        <f t="shared" si="41"/>
        <v>1200</v>
      </c>
      <c r="I185" s="63">
        <f t="shared" si="38"/>
        <v>3.5769717017208413</v>
      </c>
      <c r="J185" s="63">
        <f t="shared" si="39"/>
        <v>3.5769717017208413</v>
      </c>
      <c r="K185" s="63" cm="1">
        <f t="array" ref="K185">$D$2*SUM( ($B$12:$B$14)/(EXP($B$12:$B$14/B185)-1) + 0.5*$B$12:$B$14)/ 4184</f>
        <v>14.354928623352736</v>
      </c>
      <c r="M185" s="74" t="s">
        <v>11</v>
      </c>
      <c r="N185" s="81">
        <v>13.355</v>
      </c>
    </row>
    <row r="186" spans="2:14" x14ac:dyDescent="0.3">
      <c r="B186" s="14">
        <f t="shared" si="40"/>
        <v>1300</v>
      </c>
      <c r="C186" s="63">
        <f t="shared" si="37"/>
        <v>16213.2204</v>
      </c>
      <c r="D186" s="63">
        <f t="shared" si="36"/>
        <v>16213.2204</v>
      </c>
      <c r="E186" s="63" cm="1">
        <f t="array" ref="E186">$D$2*SUM( ($B$12:$B$14)/(EXP($B$12:$B$14/B186)-1) + 0.5*$B$12:$B$14)</f>
        <v>61084.886074874034</v>
      </c>
      <c r="H186" s="14">
        <f t="shared" si="41"/>
        <v>1300</v>
      </c>
      <c r="I186" s="63">
        <f t="shared" si="38"/>
        <v>3.8750526768642448</v>
      </c>
      <c r="J186" s="63">
        <f t="shared" si="39"/>
        <v>3.8750526768642448</v>
      </c>
      <c r="K186" s="63" cm="1">
        <f t="array" ref="K186">$D$2*SUM( ($B$12:$B$14)/(EXP($B$12:$B$14/B186)-1) + 0.5*$B$12:$B$14)/ 4184</f>
        <v>14.599638163210811</v>
      </c>
      <c r="N186" s="83"/>
    </row>
    <row r="187" spans="2:14" x14ac:dyDescent="0.3">
      <c r="B187" s="14">
        <f t="shared" si="40"/>
        <v>1400</v>
      </c>
      <c r="C187" s="63">
        <f t="shared" si="37"/>
        <v>17460.391199999998</v>
      </c>
      <c r="D187" s="63">
        <f t="shared" si="36"/>
        <v>17460.391199999998</v>
      </c>
      <c r="E187" s="63" cm="1">
        <f t="array" ref="E187">$D$2*SUM( ($B$12:$B$14)/(EXP($B$12:$B$14/B187)-1) + 0.5*$B$12:$B$14)</f>
        <v>62213.396798358292</v>
      </c>
      <c r="H187" s="14">
        <f t="shared" si="41"/>
        <v>1400</v>
      </c>
      <c r="I187" s="63">
        <f t="shared" si="38"/>
        <v>4.1731336520076479</v>
      </c>
      <c r="J187" s="63">
        <f t="shared" si="39"/>
        <v>4.1731336520076479</v>
      </c>
      <c r="K187" s="63" cm="1">
        <f t="array" ref="K187">$D$2*SUM( ($B$12:$B$14)/(EXP($B$12:$B$14/B187)-1) + 0.5*$B$12:$B$14)/ 4184</f>
        <v>14.869358699416418</v>
      </c>
    </row>
    <row r="188" spans="2:14" ht="15" thickBot="1" x14ac:dyDescent="0.35">
      <c r="B188" s="14">
        <f t="shared" si="40"/>
        <v>1500</v>
      </c>
      <c r="C188" s="63">
        <f t="shared" si="37"/>
        <v>18707.561999999998</v>
      </c>
      <c r="D188" s="63">
        <f t="shared" si="36"/>
        <v>18707.561999999998</v>
      </c>
      <c r="E188" s="63" cm="1">
        <f t="array" ref="E188">$D$2*SUM( ($B$12:$B$14)/(EXP($B$12:$B$14/B188)-1) + 0.5*$B$12:$B$14)</f>
        <v>63440.322672191229</v>
      </c>
      <c r="H188" s="14">
        <f t="shared" si="41"/>
        <v>1500</v>
      </c>
      <c r="I188" s="63">
        <f t="shared" si="38"/>
        <v>4.4712146271510509</v>
      </c>
      <c r="J188" s="63">
        <f t="shared" si="39"/>
        <v>4.4712146271510509</v>
      </c>
      <c r="K188" s="63" cm="1">
        <f t="array" ref="K188">$D$2*SUM( ($B$12:$B$14)/(EXP($B$12:$B$14/B188)-1) + 0.5*$B$12:$B$14)/ 4184</f>
        <v>15.16260102107821</v>
      </c>
    </row>
    <row r="189" spans="2:14" ht="15" thickBot="1" x14ac:dyDescent="0.35">
      <c r="B189" s="14">
        <f t="shared" si="40"/>
        <v>1600</v>
      </c>
      <c r="C189" s="63">
        <f t="shared" si="37"/>
        <v>19954.732799999998</v>
      </c>
      <c r="D189" s="63">
        <f t="shared" si="36"/>
        <v>19954.732799999998</v>
      </c>
      <c r="E189" s="63" cm="1">
        <f t="array" ref="E189">$D$2*SUM( ($B$12:$B$14)/(EXP($B$12:$B$14/B189)-1) + 0.5*$B$12:$B$14)</f>
        <v>64758.964063291773</v>
      </c>
      <c r="H189" s="14">
        <f t="shared" si="41"/>
        <v>1600</v>
      </c>
      <c r="I189" s="63">
        <f t="shared" si="38"/>
        <v>4.7692956022944548</v>
      </c>
      <c r="J189" s="63">
        <f t="shared" si="39"/>
        <v>4.7692956022944548</v>
      </c>
      <c r="K189" s="63" cm="1">
        <f t="array" ref="K189">$D$2*SUM( ($B$12:$B$14)/(EXP($B$12:$B$14/B189)-1) + 0.5*$B$12:$B$14)/ 4184</f>
        <v>15.477763877459793</v>
      </c>
      <c r="M189" s="32" t="s">
        <v>99</v>
      </c>
      <c r="N189" s="128">
        <f>SUM(I176:L176)</f>
        <v>15.143816597991055</v>
      </c>
    </row>
    <row r="190" spans="2:14" x14ac:dyDescent="0.3">
      <c r="B190" s="14">
        <f t="shared" si="40"/>
        <v>1700</v>
      </c>
      <c r="C190" s="63">
        <f t="shared" si="37"/>
        <v>21201.903599999998</v>
      </c>
      <c r="D190" s="63">
        <f t="shared" si="36"/>
        <v>21201.903599999998</v>
      </c>
      <c r="E190" s="63" cm="1">
        <f t="array" ref="E190">$D$2*SUM( ($B$12:$B$14)/(EXP($B$12:$B$14/B190)-1) + 0.5*$B$12:$B$14)</f>
        <v>66162.498664288607</v>
      </c>
      <c r="H190" s="14">
        <f t="shared" si="41"/>
        <v>1700</v>
      </c>
      <c r="I190" s="63">
        <f t="shared" si="38"/>
        <v>5.0673765774378579</v>
      </c>
      <c r="J190" s="63">
        <f t="shared" si="39"/>
        <v>5.0673765774378579</v>
      </c>
      <c r="K190" s="63" cm="1">
        <f t="array" ref="K190">$D$2*SUM( ($B$12:$B$14)/(EXP($B$12:$B$14/B190)-1) + 0.5*$B$12:$B$14)/ 4184</f>
        <v>15.813216697965728</v>
      </c>
    </row>
    <row r="191" spans="2:14" x14ac:dyDescent="0.3">
      <c r="B191" s="14">
        <f t="shared" si="40"/>
        <v>1800</v>
      </c>
      <c r="C191" s="63">
        <f t="shared" si="37"/>
        <v>22449.074399999998</v>
      </c>
      <c r="D191" s="63">
        <f t="shared" si="36"/>
        <v>22449.074399999998</v>
      </c>
      <c r="E191" s="63" cm="1">
        <f t="array" ref="E191">$D$2*SUM( ($B$12:$B$14)/(EXP($B$12:$B$14/B191)-1) + 0.5*$B$12:$B$14)</f>
        <v>67644.227866566333</v>
      </c>
      <c r="H191" s="14">
        <f t="shared" si="41"/>
        <v>1800</v>
      </c>
      <c r="I191" s="63">
        <f t="shared" si="38"/>
        <v>5.3654575525812618</v>
      </c>
      <c r="J191" s="63">
        <f t="shared" si="39"/>
        <v>5.3654575525812618</v>
      </c>
      <c r="K191" s="63" cm="1">
        <f t="array" ref="K191">$D$2*SUM( ($B$12:$B$14)/(EXP($B$12:$B$14/B191)-1) + 0.5*$B$12:$B$14)/ 4184</f>
        <v>16.167358476712796</v>
      </c>
    </row>
    <row r="192" spans="2:14" x14ac:dyDescent="0.3">
      <c r="B192" s="14">
        <f t="shared" si="40"/>
        <v>1900</v>
      </c>
      <c r="C192" s="63">
        <f t="shared" si="37"/>
        <v>23696.245199999998</v>
      </c>
      <c r="D192" s="63">
        <f t="shared" si="36"/>
        <v>23696.245199999998</v>
      </c>
      <c r="E192" s="63" cm="1">
        <f t="array" ref="E192">$D$2*SUM( ($B$12:$B$14)/(EXP($B$12:$B$14/B192)-1) + 0.5*$B$12:$B$14)</f>
        <v>69197.738390340193</v>
      </c>
      <c r="H192" s="14">
        <f t="shared" si="41"/>
        <v>1900</v>
      </c>
      <c r="I192" s="63">
        <f t="shared" si="38"/>
        <v>5.6635385277246648</v>
      </c>
      <c r="J192" s="63">
        <f t="shared" si="39"/>
        <v>5.6635385277246648</v>
      </c>
      <c r="K192" s="63" cm="1">
        <f t="array" ref="K192">$D$2*SUM( ($B$12:$B$14)/(EXP($B$12:$B$14/B192)-1) + 0.5*$B$12:$B$14)/ 4184</f>
        <v>16.538656403044978</v>
      </c>
    </row>
    <row r="193" spans="1:15" x14ac:dyDescent="0.3">
      <c r="B193" s="14">
        <f t="shared" si="40"/>
        <v>2000</v>
      </c>
      <c r="C193" s="63">
        <f t="shared" si="37"/>
        <v>24943.415999999997</v>
      </c>
      <c r="D193" s="63">
        <f t="shared" si="36"/>
        <v>24943.415999999997</v>
      </c>
      <c r="E193" s="63" cm="1">
        <f t="array" ref="E193">$D$2*SUM( ($B$12:$B$14)/(EXP($B$12:$B$14/B193)-1) + 0.5*$B$12:$B$14)</f>
        <v>70816.998482850919</v>
      </c>
      <c r="H193" s="14">
        <f t="shared" si="41"/>
        <v>2000</v>
      </c>
      <c r="I193" s="63">
        <f t="shared" si="38"/>
        <v>5.9616195028680679</v>
      </c>
      <c r="J193" s="63">
        <f t="shared" si="39"/>
        <v>5.9616195028680679</v>
      </c>
      <c r="K193" s="63" cm="1">
        <f t="array" ref="K193">$D$2*SUM( ($B$12:$B$14)/(EXP($B$12:$B$14/B193)-1) + 0.5*$B$12:$B$14)/ 4184</f>
        <v>16.925668853453853</v>
      </c>
    </row>
    <row r="194" spans="1:15" ht="15" thickBot="1" x14ac:dyDescent="0.35">
      <c r="B194" s="16">
        <f t="shared" si="40"/>
        <v>2100</v>
      </c>
      <c r="C194" s="64">
        <f t="shared" si="37"/>
        <v>26190.586799999997</v>
      </c>
      <c r="D194" s="64">
        <f t="shared" si="36"/>
        <v>26190.586799999997</v>
      </c>
      <c r="E194" s="64" cm="1">
        <f t="array" ref="E194">$D$2*SUM( ($B$12:$B$14)/(EXP($B$12:$B$14/B194)-1) + 0.5*$B$12:$B$14)</f>
        <v>72496.40671361881</v>
      </c>
      <c r="F194" s="3"/>
      <c r="H194" s="16">
        <f t="shared" si="41"/>
        <v>2100</v>
      </c>
      <c r="I194" s="64">
        <f t="shared" si="38"/>
        <v>6.2597004780114718</v>
      </c>
      <c r="J194" s="64">
        <f t="shared" si="39"/>
        <v>6.2597004780114718</v>
      </c>
      <c r="K194" s="64" cm="1">
        <f t="array" ref="K194">$D$2*SUM( ($B$12:$B$14)/(EXP($B$12:$B$14/B194)-1) + 0.5*$B$12:$B$14)/ 4184</f>
        <v>17.327057053924189</v>
      </c>
      <c r="L194" s="3"/>
    </row>
    <row r="196" spans="1:15" ht="15" thickBot="1" x14ac:dyDescent="0.35"/>
    <row r="197" spans="1:15" ht="15" thickBot="1" x14ac:dyDescent="0.35">
      <c r="F197" s="18"/>
      <c r="G197" s="21"/>
      <c r="H197" s="21"/>
      <c r="I197" s="19"/>
      <c r="K197" s="54" t="s">
        <v>83</v>
      </c>
    </row>
    <row r="198" spans="1:15" ht="16.8" thickBot="1" x14ac:dyDescent="0.35">
      <c r="B198" s="93" t="s">
        <v>79</v>
      </c>
      <c r="C198" s="94">
        <f xml:space="preserve"> ($C$2*$C$2) /(8*$B$2*$B$2*$A$2*$H$198)</f>
        <v>3.0267479704242706</v>
      </c>
      <c r="F198" s="14"/>
      <c r="H198" s="2">
        <f>SQRT(E6*E6+F6*F6+G6*G6)</f>
        <v>1.330695380993429E-46</v>
      </c>
      <c r="I198" s="15" t="s">
        <v>78</v>
      </c>
      <c r="K198" s="115">
        <v>1</v>
      </c>
      <c r="L198" s="2" t="s">
        <v>101</v>
      </c>
    </row>
    <row r="199" spans="1:15" ht="15" thickBot="1" x14ac:dyDescent="0.35">
      <c r="F199" s="16"/>
      <c r="G199" s="23"/>
      <c r="H199" s="23"/>
      <c r="I199" s="17"/>
    </row>
    <row r="200" spans="1:15" ht="15" thickBot="1" x14ac:dyDescent="0.35">
      <c r="A200" s="2" t="s">
        <v>76</v>
      </c>
      <c r="B200" s="139" t="s">
        <v>77</v>
      </c>
      <c r="C200" s="139"/>
      <c r="D200" s="139"/>
      <c r="E200" s="139"/>
      <c r="F200" s="139"/>
      <c r="H200" s="139" t="s">
        <v>95</v>
      </c>
      <c r="I200" s="139"/>
      <c r="J200" s="139"/>
      <c r="K200" s="139"/>
      <c r="L200" s="139"/>
    </row>
    <row r="201" spans="1:15" ht="18" x14ac:dyDescent="0.3">
      <c r="A201" s="2" t="s">
        <v>77</v>
      </c>
      <c r="B201" s="58" t="s">
        <v>23</v>
      </c>
      <c r="C201" s="37" t="s">
        <v>94</v>
      </c>
      <c r="D201" s="37" t="s">
        <v>73</v>
      </c>
      <c r="E201" s="37" t="s">
        <v>10</v>
      </c>
      <c r="F201" s="37" t="s">
        <v>11</v>
      </c>
      <c r="G201" s="37" t="s">
        <v>74</v>
      </c>
      <c r="H201" s="58" t="s">
        <v>23</v>
      </c>
      <c r="I201" s="37" t="s">
        <v>73</v>
      </c>
      <c r="J201" s="37" t="s">
        <v>10</v>
      </c>
      <c r="K201" s="37" t="s">
        <v>11</v>
      </c>
      <c r="L201" s="37" t="s">
        <v>74</v>
      </c>
      <c r="O201" s="1"/>
    </row>
    <row r="202" spans="1:15" ht="15" thickBot="1" x14ac:dyDescent="0.35">
      <c r="B202" s="56">
        <f>300</f>
        <v>300</v>
      </c>
      <c r="C202" s="63">
        <f>($A$2*B202)/$J$2</f>
        <v>4.0876387860843815E-26</v>
      </c>
      <c r="D202" s="92">
        <f xml:space="preserve"> $D$2 *( 5/2  +   LN(  ((2*$B$2*$E$2*$A$2*B202)/($C$2*$C$2) )^1.5  * ($D$2*B202 )/($F$2*$J$2)  ) )</f>
        <v>144.92526792680266</v>
      </c>
      <c r="E202" s="63">
        <f t="shared" ref="E202:E220" si="42">$D$2 *LN( (EXP(1)*B202) / ($B$6 * $C$198))</f>
        <v>40.767074519260632</v>
      </c>
      <c r="F202" s="63" cm="1">
        <f t="array" ref="F202">$D$2*SUM( (($B$12:$B$14)/B202)/(EXP($B$12:$B$14/B176)-1) - LN( 1 - EXP( (-1 * $B$12:$B$14)/B202 ) ) )</f>
        <v>3.3063068976378042E-2</v>
      </c>
      <c r="G202" s="64">
        <f>$D$2*LN(K198)</f>
        <v>0</v>
      </c>
      <c r="H202" s="84">
        <f>300</f>
        <v>300</v>
      </c>
      <c r="I202" s="86">
        <f xml:space="preserve"> $D$2 *( 5/2  +   LN(  ((2*$B$2*$E$2*$A$2*B202)/($C$2*$C$2) )^1.5  * ($D$2*B202 )/($F$2*$J$2)  ) ) / 4.184</f>
        <v>34.63797034579413</v>
      </c>
      <c r="J202" s="86">
        <f>$D$2 *LN( (EXP(1)*H202) / ($B$6 * $C$198)) / 4.184</f>
        <v>9.7435646556550264</v>
      </c>
      <c r="K202" s="86" cm="1">
        <f t="array" ref="K202">$D$2*SUM( (($B$12:$B$14)/B202)/(EXP($B$12:$B$14/B176)-1) - LN( 1 - EXP( (-1 * $B$12:$B$14)/B202 ) ) ) / 4.184</f>
        <v>7.9022631396697043E-3</v>
      </c>
      <c r="L202" s="89">
        <f>$D$2*LN(K198)</f>
        <v>0</v>
      </c>
      <c r="O202" s="1"/>
    </row>
    <row r="203" spans="1:15" x14ac:dyDescent="0.3">
      <c r="B203" s="56">
        <f>B202+100</f>
        <v>400</v>
      </c>
      <c r="C203" s="63">
        <f t="shared" ref="C203:C220" si="43">($A$2*B203)/$J$2</f>
        <v>5.4501850481125095E-26</v>
      </c>
      <c r="D203" s="92">
        <f t="shared" ref="D203:D220" si="44" xml:space="preserve"> $D$2 *( 5/2  +   LN(  ((2*$B$2*$E$2*$A$2*B203)/($C$2*$C$2) )^1.5  * ($D$2*B203 )/($F$2*$J$2)  ) )</f>
        <v>150.90507926755848</v>
      </c>
      <c r="E203" s="63">
        <f t="shared" si="42"/>
        <v>43.158999055562937</v>
      </c>
      <c r="F203" s="63" cm="1">
        <f t="array" ref="F203">$D$2*SUM( (($B$12:$B$14)/B203)/(EXP($B$12:$B$14/B177)-1) - LN( 1 - EXP( (-1 * $B$12:$B$14)/B203 ) ) )</f>
        <v>0.17671921700246473</v>
      </c>
      <c r="H203" s="56">
        <f>H202+100</f>
        <v>400</v>
      </c>
      <c r="I203" s="92">
        <f xml:space="preserve"> $D$2 *( 5/2  +   LN(  ((2*$B$2*$E$2*$A$2*B203)/($C$2*$C$2) )^1.5  * ($D$2*B203 )/($F$2*$J$2)  ) )/ 4.184</f>
        <v>36.067179557255848</v>
      </c>
      <c r="J203" s="63">
        <f t="shared" ref="J203:J220" si="45">$D$2 *LN( (EXP(1)*H203) / ($B$6 * $C$198)) / 4.184</f>
        <v>10.315248340239707</v>
      </c>
      <c r="K203" s="63" cm="1">
        <f t="array" ref="K203">$D$2*SUM( (($B$12:$B$14)/B203)/(EXP($B$12:$B$14/B176)-1) - LN( 1 - EXP( (-1 * $B$12:$B$14)/B203 ) ) )/ 4.184</f>
        <v>1.1473246923022234E-2</v>
      </c>
      <c r="O203" s="83"/>
    </row>
    <row r="204" spans="1:15" ht="18" x14ac:dyDescent="0.3">
      <c r="B204" s="56">
        <f t="shared" ref="B204:B220" si="46">B203+100</f>
        <v>500</v>
      </c>
      <c r="C204" s="63">
        <f t="shared" si="43"/>
        <v>6.8127313101406362E-26</v>
      </c>
      <c r="D204" s="92">
        <f t="shared" si="44"/>
        <v>155.54338129101484</v>
      </c>
      <c r="E204" s="63">
        <f t="shared" si="42"/>
        <v>45.014319864945506</v>
      </c>
      <c r="F204" s="63" cm="1">
        <f t="array" ref="F204">$D$2*SUM( (($B$12:$B$14)/B204)/(EXP($B$12:$B$14/B178)-1) - LN( 1 - EXP( (-1 * $B$12:$B$14)/B204 ) ) )</f>
        <v>0.46987180303295689</v>
      </c>
      <c r="H204" s="56">
        <f t="shared" ref="H204:H220" si="47">H203+100</f>
        <v>500</v>
      </c>
      <c r="I204" s="92">
        <f t="shared" ref="I204:I220" si="48" xml:space="preserve"> $D$2 *( 5/2  +   LN(  ((2*$B$2*$E$2*$A$2*B204)/($C$2*$C$2) )^1.5  * ($D$2*B204 )/($F$2*$J$2)  ) )/ 4.184</f>
        <v>37.175760346800871</v>
      </c>
      <c r="J204" s="63">
        <f t="shared" si="45"/>
        <v>10.75868065605772</v>
      </c>
      <c r="K204" s="63" cm="1">
        <f t="array" ref="K204">$D$2*SUM( (($B$12:$B$14)/B204)/(EXP($B$12:$B$14/B177)-1) - LN( 1 - EXP( (-1 * $B$12:$B$14)/B204 ) ) )/ 4.184</f>
        <v>4.8661118741238144E-2</v>
      </c>
      <c r="M204" s="145"/>
      <c r="N204" s="145"/>
      <c r="O204" s="83"/>
    </row>
    <row r="205" spans="1:15" ht="18.600000000000001" thickBot="1" x14ac:dyDescent="0.35">
      <c r="B205" s="56">
        <f t="shared" si="46"/>
        <v>600</v>
      </c>
      <c r="C205" s="63">
        <f t="shared" si="43"/>
        <v>8.175277572168763E-26</v>
      </c>
      <c r="D205" s="92">
        <f t="shared" si="44"/>
        <v>159.33314998841422</v>
      </c>
      <c r="E205" s="63">
        <f t="shared" si="42"/>
        <v>46.530227343905246</v>
      </c>
      <c r="F205" s="63" cm="1">
        <f t="array" ref="F205">$D$2*SUM( (($B$12:$B$14)/B205)/(EXP($B$12:$B$14/B179)-1) - LN( 1 - EXP( (-1 * $B$12:$B$14)/B205 ) ) )</f>
        <v>0.89450999162120937</v>
      </c>
      <c r="H205" s="56">
        <f t="shared" si="47"/>
        <v>600</v>
      </c>
      <c r="I205" s="92">
        <f t="shared" si="48"/>
        <v>38.081536804114293</v>
      </c>
      <c r="J205" s="63">
        <f t="shared" si="45"/>
        <v>11.120991238983089</v>
      </c>
      <c r="K205" s="63" cm="1">
        <f t="array" ref="K205">$D$2*SUM( (($B$12:$B$14)/B205)/(EXP($B$12:$B$14/B178)-1) - LN( 1 - EXP( (-1 * $B$12:$B$14)/B205 ) ) )/ 4.184</f>
        <v>0.12037519177418096</v>
      </c>
      <c r="M205" s="145" t="s">
        <v>88</v>
      </c>
      <c r="N205" s="145"/>
      <c r="O205" s="83"/>
    </row>
    <row r="206" spans="1:15" x14ac:dyDescent="0.3">
      <c r="B206" s="56">
        <f t="shared" si="46"/>
        <v>700</v>
      </c>
      <c r="C206" s="63">
        <f t="shared" si="43"/>
        <v>9.5378238341968898E-26</v>
      </c>
      <c r="D206" s="92">
        <f t="shared" si="44"/>
        <v>162.53735376642609</v>
      </c>
      <c r="E206" s="63">
        <f t="shared" si="42"/>
        <v>47.811908855109955</v>
      </c>
      <c r="F206" s="63" cm="1">
        <f t="array" ref="F206">$D$2*SUM( (($B$12:$B$14)/B206)/(EXP($B$12:$B$14/B180)-1) - LN( 1 - EXP( (-1 * $B$12:$B$14)/B206 ) ) )</f>
        <v>1.4206287747731561</v>
      </c>
      <c r="H206" s="56">
        <f t="shared" si="47"/>
        <v>700</v>
      </c>
      <c r="I206" s="92">
        <f t="shared" si="48"/>
        <v>38.847359886813116</v>
      </c>
      <c r="J206" s="63">
        <f t="shared" si="45"/>
        <v>11.427320472062608</v>
      </c>
      <c r="K206" s="63" cm="1">
        <f t="array" ref="K206">$D$2*SUM( (($B$12:$B$14)/B206)/(EXP($B$12:$B$14/B179)-1) - LN( 1 - EXP( (-1 * $B$12:$B$14)/B206 ) ) )/ 4.184</f>
        <v>0.22252335935601708</v>
      </c>
      <c r="M206" s="72"/>
      <c r="N206" s="68" t="s">
        <v>3</v>
      </c>
      <c r="O206" s="83"/>
    </row>
    <row r="207" spans="1:15" x14ac:dyDescent="0.3">
      <c r="B207" s="56">
        <f t="shared" si="46"/>
        <v>800</v>
      </c>
      <c r="C207" s="63">
        <f t="shared" si="43"/>
        <v>1.0900370096225019E-25</v>
      </c>
      <c r="D207" s="92">
        <f t="shared" si="44"/>
        <v>165.31296132917004</v>
      </c>
      <c r="E207" s="63">
        <f t="shared" si="42"/>
        <v>48.922151880207551</v>
      </c>
      <c r="F207" s="63" cm="1">
        <f t="array" ref="F207">$D$2*SUM( (($B$12:$B$14)/B207)/(EXP($B$12:$B$14/B181)-1) - LN( 1 - EXP( (-1 * $B$12:$B$14)/B207 ) ) )</f>
        <v>2.0253758322217243</v>
      </c>
      <c r="H207" s="56">
        <f t="shared" si="47"/>
        <v>800</v>
      </c>
      <c r="I207" s="92">
        <f t="shared" si="48"/>
        <v>39.510746015576011</v>
      </c>
      <c r="J207" s="63">
        <f t="shared" si="45"/>
        <v>11.69267492356777</v>
      </c>
      <c r="K207" s="63" cm="1">
        <f t="array" ref="K207">$D$2*SUM( (($B$12:$B$14)/B207)/(EXP($B$12:$B$14/B180)-1) - LN( 1 - EXP( (-1 * $B$12:$B$14)/B207 ) ) )/ 4.184</f>
        <v>0.34839802746697696</v>
      </c>
      <c r="M207" s="73"/>
      <c r="N207" s="78" t="s">
        <v>5</v>
      </c>
      <c r="O207" s="83"/>
    </row>
    <row r="208" spans="1:15" x14ac:dyDescent="0.3">
      <c r="B208" s="56">
        <f t="shared" si="46"/>
        <v>900</v>
      </c>
      <c r="C208" s="63">
        <f t="shared" si="43"/>
        <v>1.2262916358253145E-25</v>
      </c>
      <c r="D208" s="92">
        <f t="shared" si="44"/>
        <v>167.76122070927005</v>
      </c>
      <c r="E208" s="63">
        <f t="shared" si="42"/>
        <v>49.901455632247554</v>
      </c>
      <c r="F208" s="63" cm="1">
        <f t="array" ref="F208">$D$2*SUM( (($B$12:$B$14)/B208)/(EXP($B$12:$B$14/B182)-1) - LN( 1 - EXP( (-1 * $B$12:$B$14)/B208 ) ) )</f>
        <v>2.6933500004267947</v>
      </c>
      <c r="H208" s="56">
        <f t="shared" si="47"/>
        <v>900</v>
      </c>
      <c r="I208" s="92">
        <f t="shared" si="48"/>
        <v>40.095894050972767</v>
      </c>
      <c r="J208" s="63">
        <f t="shared" si="45"/>
        <v>11.92673413772647</v>
      </c>
      <c r="K208" s="63" cm="1">
        <f t="array" ref="K208">$D$2*SUM( (($B$12:$B$14)/B208)/(EXP($B$12:$B$14/B181)-1) - LN( 1 - EXP( (-1 * $B$12:$B$14)/B208 ) ) )/ 4.184</f>
        <v>0.49281961517533057</v>
      </c>
      <c r="M208" s="73" t="s">
        <v>6</v>
      </c>
      <c r="N208" s="80">
        <v>45.100999999999999</v>
      </c>
      <c r="O208" s="83"/>
    </row>
    <row r="209" spans="1:14" x14ac:dyDescent="0.3">
      <c r="B209" s="56">
        <f t="shared" si="46"/>
        <v>1000</v>
      </c>
      <c r="C209" s="63">
        <f t="shared" si="43"/>
        <v>1.3625462620281272E-25</v>
      </c>
      <c r="D209" s="92">
        <f t="shared" si="44"/>
        <v>169.95126335262637</v>
      </c>
      <c r="E209" s="63">
        <f t="shared" si="42"/>
        <v>50.777472689590105</v>
      </c>
      <c r="F209" s="63" cm="1">
        <f t="array" ref="F209">$D$2*SUM( (($B$12:$B$14)/B209)/(EXP($B$12:$B$14/B183)-1) - LN( 1 - EXP( (-1 * $B$12:$B$14)/B209 ) ) )</f>
        <v>3.4130803704516848</v>
      </c>
      <c r="H209" s="56">
        <f t="shared" si="47"/>
        <v>1000</v>
      </c>
      <c r="I209" s="92">
        <f t="shared" si="48"/>
        <v>40.619326805121027</v>
      </c>
      <c r="J209" s="63">
        <f t="shared" si="45"/>
        <v>12.13610723938578</v>
      </c>
      <c r="K209" s="63" cm="1">
        <f t="array" ref="K209">$D$2*SUM( (($B$12:$B$14)/B209)/(EXP($B$12:$B$14/B182)-1) - LN( 1 - EXP( (-1 * $B$12:$B$14)/B209 ) ) )/ 4.184</f>
        <v>0.65223415989879918</v>
      </c>
      <c r="M209" s="73" t="s">
        <v>7</v>
      </c>
      <c r="N209" s="80">
        <v>0</v>
      </c>
    </row>
    <row r="210" spans="1:14" x14ac:dyDescent="0.3">
      <c r="B210" s="56">
        <f t="shared" si="46"/>
        <v>1100</v>
      </c>
      <c r="C210" s="63">
        <f t="shared" si="43"/>
        <v>1.4988008882309398E-25</v>
      </c>
      <c r="D210" s="92">
        <f t="shared" si="44"/>
        <v>171.93239790587148</v>
      </c>
      <c r="E210" s="63">
        <f t="shared" si="42"/>
        <v>51.569926510888138</v>
      </c>
      <c r="F210" s="63" cm="1">
        <f t="array" ref="F210">$D$2*SUM( (($B$12:$B$14)/B210)/(EXP($B$12:$B$14/B184)-1) - LN( 1 - EXP( (-1 * $B$12:$B$14)/B210 ) ) )</f>
        <v>4.1747226855913668</v>
      </c>
      <c r="H210" s="56">
        <f t="shared" si="47"/>
        <v>1100</v>
      </c>
      <c r="I210" s="92">
        <f t="shared" si="48"/>
        <v>41.092829327407138</v>
      </c>
      <c r="J210" s="63">
        <f t="shared" si="45"/>
        <v>12.325508248300224</v>
      </c>
      <c r="K210" s="63" cm="1">
        <f t="array" ref="K210">$D$2*SUM( (($B$12:$B$14)/B210)/(EXP($B$12:$B$14/B183)-1) - LN( 1 - EXP( (-1 * $B$12:$B$14)/B210 ) ) )/ 4.184</f>
        <v>0.82395272266456709</v>
      </c>
      <c r="M210" s="73" t="s">
        <v>9</v>
      </c>
      <c r="N210" s="80">
        <v>34.607999999999997</v>
      </c>
    </row>
    <row r="211" spans="1:14" x14ac:dyDescent="0.3">
      <c r="A211" s="3"/>
      <c r="B211" s="56">
        <f t="shared" si="46"/>
        <v>1200</v>
      </c>
      <c r="C211" s="63">
        <f t="shared" si="43"/>
        <v>1.6350555144337526E-25</v>
      </c>
      <c r="D211" s="92">
        <f t="shared" si="44"/>
        <v>173.74103205002575</v>
      </c>
      <c r="E211" s="63">
        <f t="shared" si="42"/>
        <v>52.293380168549852</v>
      </c>
      <c r="F211" s="63" cm="1">
        <f t="array" ref="F211">$D$2*SUM( (($B$12:$B$14)/B211)/(EXP($B$12:$B$14/B185)-1) - LN( 1 - EXP( (-1 * $B$12:$B$14)/B211 ) ) )</f>
        <v>4.969212474642462</v>
      </c>
      <c r="H211" s="56">
        <f t="shared" si="47"/>
        <v>1200</v>
      </c>
      <c r="I211" s="92">
        <f t="shared" si="48"/>
        <v>41.525103262434449</v>
      </c>
      <c r="J211" s="63">
        <f t="shared" si="45"/>
        <v>12.498417822311149</v>
      </c>
      <c r="K211" s="63" cm="1">
        <f t="array" ref="K211">$D$2*SUM( (($B$12:$B$14)/B211)/(EXP($B$12:$B$14/B184)-1) - LN( 1 - EXP( (-1 * $B$12:$B$14)/B211 ) ) )/ 4.184</f>
        <v>1.0056473137416866</v>
      </c>
      <c r="M211" s="73" t="s">
        <v>10</v>
      </c>
      <c r="N211" s="80">
        <v>10.484999999999999</v>
      </c>
    </row>
    <row r="212" spans="1:14" ht="15" thickBot="1" x14ac:dyDescent="0.35">
      <c r="B212" s="56">
        <f t="shared" si="46"/>
        <v>1300</v>
      </c>
      <c r="C212" s="63">
        <f t="shared" si="43"/>
        <v>1.7713101406365654E-25</v>
      </c>
      <c r="D212" s="92">
        <f t="shared" si="44"/>
        <v>175.40481417941527</v>
      </c>
      <c r="E212" s="63">
        <f t="shared" si="42"/>
        <v>52.958893020305659</v>
      </c>
      <c r="F212" s="63" cm="1">
        <f t="array" ref="F212">$D$2*SUM( (($B$12:$B$14)/B212)/(EXP($B$12:$B$14/B186)-1) - LN( 1 - EXP( (-1 * $B$12:$B$14)/B212 ) ) )</f>
        <v>5.7881674608993325</v>
      </c>
      <c r="H212" s="56">
        <f t="shared" si="47"/>
        <v>1300</v>
      </c>
      <c r="I212" s="92">
        <f t="shared" si="48"/>
        <v>41.922756735041887</v>
      </c>
      <c r="J212" s="63">
        <f t="shared" si="45"/>
        <v>12.657479211354124</v>
      </c>
      <c r="K212" s="63" cm="1">
        <f t="array" ref="K212">$D$2*SUM( (($B$12:$B$14)/B212)/(EXP($B$12:$B$14/B185)-1) - LN( 1 - EXP( (-1 * $B$12:$B$14)/B212 ) ) )/ 4.184</f>
        <v>1.1951671172972007</v>
      </c>
      <c r="M212" s="74" t="s">
        <v>11</v>
      </c>
      <c r="N212" s="82">
        <v>8.0000000000000002E-3</v>
      </c>
    </row>
    <row r="213" spans="1:14" x14ac:dyDescent="0.3">
      <c r="B213" s="56">
        <f t="shared" si="46"/>
        <v>1400</v>
      </c>
      <c r="C213" s="63">
        <f t="shared" si="43"/>
        <v>1.907564766839378E-25</v>
      </c>
      <c r="D213" s="92">
        <f t="shared" si="44"/>
        <v>176.94523582803751</v>
      </c>
      <c r="E213" s="63">
        <f t="shared" si="42"/>
        <v>53.575061679754555</v>
      </c>
      <c r="F213" s="63" cm="1">
        <f t="array" ref="F213">$D$2*SUM( (($B$12:$B$14)/B213)/(EXP($B$12:$B$14/B187)-1) - LN( 1 - EXP( (-1 * $B$12:$B$14)/B213 ) ) )</f>
        <v>6.6240186101486414</v>
      </c>
      <c r="H213" s="56">
        <f t="shared" si="47"/>
        <v>1400</v>
      </c>
      <c r="I213" s="92">
        <f t="shared" si="48"/>
        <v>42.290926345133244</v>
      </c>
      <c r="J213" s="63">
        <f t="shared" si="45"/>
        <v>12.804747055390667</v>
      </c>
      <c r="K213" s="63" cm="1">
        <f t="array" ref="K213">$D$2*SUM( (($B$12:$B$14)/B213)/(EXP($B$12:$B$14/B186)-1) - LN( 1 - EXP( (-1 * $B$12:$B$14)/B213 ) ) )/ 4.184</f>
        <v>1.3905209182470366</v>
      </c>
    </row>
    <row r="214" spans="1:14" ht="15" thickBot="1" x14ac:dyDescent="0.35">
      <c r="B214" s="56">
        <f t="shared" si="46"/>
        <v>1500</v>
      </c>
      <c r="C214" s="63">
        <f t="shared" si="43"/>
        <v>2.0438193930421908E-25</v>
      </c>
      <c r="D214" s="92">
        <f t="shared" si="44"/>
        <v>178.3793340734822</v>
      </c>
      <c r="E214" s="63">
        <f t="shared" si="42"/>
        <v>54.148700977932414</v>
      </c>
      <c r="F214" s="63" cm="1">
        <f t="array" ref="F214">$D$2*SUM( (($B$12:$B$14)/B214)/(EXP($B$12:$B$14/B188)-1) - LN( 1 - EXP( (-1 * $B$12:$B$14)/B214 ) ) )</f>
        <v>7.4701326768644138</v>
      </c>
      <c r="H214" s="56">
        <f t="shared" si="47"/>
        <v>1500</v>
      </c>
      <c r="I214" s="92">
        <f t="shared" si="48"/>
        <v>42.633684051979493</v>
      </c>
      <c r="J214" s="63">
        <f t="shared" si="45"/>
        <v>12.941850138129162</v>
      </c>
      <c r="K214" s="63" cm="1">
        <f t="array" ref="K214">$D$2*SUM( (($B$12:$B$14)/B214)/(EXP($B$12:$B$14/B187)-1) - LN( 1 - EXP( (-1 * $B$12:$B$14)/B214 ) ) )/ 4.184</f>
        <v>1.5899096783721629</v>
      </c>
    </row>
    <row r="215" spans="1:14" ht="15" thickBot="1" x14ac:dyDescent="0.35">
      <c r="B215" s="56">
        <f t="shared" si="46"/>
        <v>1600</v>
      </c>
      <c r="C215" s="63">
        <f t="shared" si="43"/>
        <v>2.1800740192450038E-25</v>
      </c>
      <c r="D215" s="92">
        <f t="shared" si="44"/>
        <v>179.72084339078157</v>
      </c>
      <c r="E215" s="63">
        <f t="shared" si="42"/>
        <v>54.685304704852157</v>
      </c>
      <c r="F215" s="63" cm="1">
        <f t="array" ref="F215">$D$2*SUM( (($B$12:$B$14)/B215)/(EXP($B$12:$B$14/B189)-1) - LN( 1 - EXP( (-1 * $B$12:$B$14)/B215 ) ) )</f>
        <v>8.32085780666592</v>
      </c>
      <c r="H215" s="56">
        <f t="shared" si="47"/>
        <v>1600</v>
      </c>
      <c r="I215" s="92">
        <f t="shared" si="48"/>
        <v>42.954312473896167</v>
      </c>
      <c r="J215" s="63">
        <f t="shared" si="45"/>
        <v>13.070101506895831</v>
      </c>
      <c r="K215" s="63" cm="1">
        <f t="array" ref="K215">$D$2*SUM( (($B$12:$B$14)/B215)/(EXP($B$12:$B$14/B188)-1) - LN( 1 - EXP( (-1 * $B$12:$B$14)/B215 ) ) )/ 4.184</f>
        <v>1.7917559601405535</v>
      </c>
      <c r="M215" s="32" t="s">
        <v>99</v>
      </c>
      <c r="N215" s="129">
        <f>SUM(I202:L202)</f>
        <v>44.389437264588828</v>
      </c>
    </row>
    <row r="216" spans="1:14" x14ac:dyDescent="0.3">
      <c r="B216" s="56">
        <f t="shared" si="46"/>
        <v>1700</v>
      </c>
      <c r="C216" s="63">
        <f t="shared" si="43"/>
        <v>2.3163286454478159E-25</v>
      </c>
      <c r="D216" s="92">
        <f t="shared" si="44"/>
        <v>180.98099769228989</v>
      </c>
      <c r="E216" s="63">
        <f t="shared" si="42"/>
        <v>55.189366425455503</v>
      </c>
      <c r="F216" s="63" cm="1">
        <f t="array" ref="F216">$D$2*SUM( (($B$12:$B$14)/B216)/(EXP($B$12:$B$14/B190)-1) - LN( 1 - EXP( (-1 * $B$12:$B$14)/B216 ) ) )</f>
        <v>9.1714956962353025</v>
      </c>
      <c r="H216" s="56">
        <f t="shared" si="47"/>
        <v>1700</v>
      </c>
      <c r="I216" s="92">
        <f t="shared" si="48"/>
        <v>43.255496580375208</v>
      </c>
      <c r="J216" s="63">
        <f t="shared" si="45"/>
        <v>13.190575149487453</v>
      </c>
      <c r="K216" s="63" cm="1">
        <f t="array" ref="K216">$D$2*SUM( (($B$12:$B$14)/B216)/(EXP($B$12:$B$14/B189)-1) - LN( 1 - EXP( (-1 * $B$12:$B$14)/B216 ) ) )/ 4.184</f>
        <v>1.9947148918292625</v>
      </c>
    </row>
    <row r="217" spans="1:14" x14ac:dyDescent="0.3">
      <c r="B217" s="56">
        <f t="shared" si="46"/>
        <v>1800</v>
      </c>
      <c r="C217" s="63">
        <f t="shared" si="43"/>
        <v>2.4525832716506289E-25</v>
      </c>
      <c r="D217" s="92">
        <f t="shared" si="44"/>
        <v>182.16910277088147</v>
      </c>
      <c r="E217" s="63">
        <f t="shared" si="42"/>
        <v>55.664608456892161</v>
      </c>
      <c r="F217" s="63" cm="1">
        <f t="array" ref="F217">$D$2*SUM( (($B$12:$B$14)/B217)/(EXP($B$12:$B$14/B191)-1) - LN( 1 - EXP( (-1 * $B$12:$B$14)/B217 ) ) )</f>
        <v>10.018224595642351</v>
      </c>
      <c r="H217" s="56">
        <f t="shared" si="47"/>
        <v>1800</v>
      </c>
      <c r="I217" s="92">
        <f t="shared" si="48"/>
        <v>43.539460509292894</v>
      </c>
      <c r="J217" s="63">
        <f t="shared" si="45"/>
        <v>13.304160721054531</v>
      </c>
      <c r="K217" s="63" cm="1">
        <f t="array" ref="K217">$D$2*SUM( (($B$12:$B$14)/B217)/(EXP($B$12:$B$14/B190)-1) - LN( 1 - EXP( (-1 * $B$12:$B$14)/B217 ) ) )/ 4.184</f>
        <v>2.1976677116367243</v>
      </c>
    </row>
    <row r="218" spans="1:14" x14ac:dyDescent="0.3">
      <c r="B218" s="56">
        <f t="shared" si="46"/>
        <v>1900</v>
      </c>
      <c r="C218" s="63">
        <f t="shared" si="43"/>
        <v>2.5888378978534419E-25</v>
      </c>
      <c r="D218" s="92">
        <f t="shared" si="44"/>
        <v>183.29295376430539</v>
      </c>
      <c r="E218" s="63">
        <f t="shared" si="42"/>
        <v>56.114148854261678</v>
      </c>
      <c r="F218" s="63" cm="1">
        <f t="array" ref="F218">$D$2*SUM( (($B$12:$B$14)/B218)/(EXP($B$12:$B$14/B192)-1) - LN( 1 - EXP( (-1 * $B$12:$B$14)/B218 ) ) )</f>
        <v>10.857997218233521</v>
      </c>
      <c r="H218" s="56">
        <f t="shared" si="47"/>
        <v>1900</v>
      </c>
      <c r="I218" s="92">
        <f t="shared" si="48"/>
        <v>43.808067343285224</v>
      </c>
      <c r="J218" s="63">
        <f t="shared" si="45"/>
        <v>13.411603454651452</v>
      </c>
      <c r="K218" s="63" cm="1">
        <f t="array" ref="K218">$D$2*SUM( (($B$12:$B$14)/B218)/(EXP($B$12:$B$14/B191)-1) - LN( 1 - EXP( (-1 * $B$12:$B$14)/B218 ) ) )/ 4.184</f>
        <v>2.3997036568971803</v>
      </c>
    </row>
    <row r="219" spans="1:14" x14ac:dyDescent="0.3">
      <c r="B219" s="56">
        <f t="shared" si="46"/>
        <v>2000</v>
      </c>
      <c r="C219" s="63">
        <f t="shared" si="43"/>
        <v>2.7250925240562545E-25</v>
      </c>
      <c r="D219" s="92">
        <f t="shared" si="44"/>
        <v>184.35914541423793</v>
      </c>
      <c r="E219" s="63">
        <f t="shared" si="42"/>
        <v>56.540625514234719</v>
      </c>
      <c r="F219" s="63" cm="1">
        <f t="array" ref="F219">$D$2*SUM( (($B$12:$B$14)/B219)/(EXP($B$12:$B$14/B193)-1) - LN( 1 - EXP( (-1 * $B$12:$B$14)/B219 ) ) )</f>
        <v>11.688431212358532</v>
      </c>
      <c r="H219" s="56">
        <f t="shared" si="47"/>
        <v>2000</v>
      </c>
      <c r="I219" s="92">
        <f t="shared" si="48"/>
        <v>44.062893263441183</v>
      </c>
      <c r="J219" s="63">
        <f t="shared" si="45"/>
        <v>13.513533822713843</v>
      </c>
      <c r="K219" s="63" cm="1">
        <f t="array" ref="K219">$D$2*SUM( (($B$12:$B$14)/B219)/(EXP($B$12:$B$14/B192)-1) - LN( 1 - EXP( (-1 * $B$12:$B$14)/B219 ) ) )/ 4.184</f>
        <v>2.6000958809998016</v>
      </c>
    </row>
    <row r="220" spans="1:14" ht="15" thickBot="1" x14ac:dyDescent="0.35">
      <c r="B220" s="31">
        <f t="shared" si="46"/>
        <v>2100</v>
      </c>
      <c r="C220" s="64">
        <f t="shared" si="43"/>
        <v>2.8613471502590675E-25</v>
      </c>
      <c r="D220" s="95">
        <f t="shared" si="44"/>
        <v>185.37330654889334</v>
      </c>
      <c r="E220" s="64">
        <f t="shared" si="42"/>
        <v>56.946289968096863</v>
      </c>
      <c r="F220" s="64" cm="1">
        <f t="array" ref="F220">$D$2*SUM( (($B$12:$B$14)/B220)/(EXP($B$12:$B$14/B194)-1) - LN( 1 - EXP( (-1 * $B$12:$B$14)/B220 ) ) )</f>
        <v>12.507703190955558</v>
      </c>
      <c r="G220" s="3"/>
      <c r="H220" s="31">
        <f t="shared" si="47"/>
        <v>2100</v>
      </c>
      <c r="I220" s="95">
        <f t="shared" si="48"/>
        <v>44.305283591991717</v>
      </c>
      <c r="J220" s="64">
        <f t="shared" si="45"/>
        <v>13.610489954134049</v>
      </c>
      <c r="K220" s="64" cm="1">
        <f t="array" ref="K220">$D$2*SUM( (($B$12:$B$14)/B220)/(EXP($B$12:$B$14/B193)-1) - LN( 1 - EXP( (-1 * $B$12:$B$14)/B220 ) ) )/ 4.184</f>
        <v>2.7982755702265751</v>
      </c>
      <c r="L220" s="3"/>
    </row>
    <row r="224" spans="1:14" ht="15" thickBot="1" x14ac:dyDescent="0.35">
      <c r="A224" s="2" t="s">
        <v>80</v>
      </c>
      <c r="B224" s="139" t="s">
        <v>96</v>
      </c>
      <c r="C224" s="139"/>
      <c r="D224" s="139"/>
      <c r="E224" s="139"/>
      <c r="F224" s="139"/>
      <c r="H224" s="139" t="s">
        <v>97</v>
      </c>
      <c r="I224" s="139"/>
      <c r="J224" s="139"/>
      <c r="K224" s="139"/>
      <c r="L224" s="139"/>
    </row>
    <row r="225" spans="1:15" ht="18" x14ac:dyDescent="0.3">
      <c r="A225" s="2" t="s">
        <v>77</v>
      </c>
      <c r="B225" s="58" t="s">
        <v>23</v>
      </c>
      <c r="C225" s="37" t="s">
        <v>73</v>
      </c>
      <c r="D225" s="37" t="s">
        <v>10</v>
      </c>
      <c r="E225" s="37" t="s">
        <v>11</v>
      </c>
      <c r="F225" s="37" t="s">
        <v>74</v>
      </c>
      <c r="H225" s="58" t="s">
        <v>23</v>
      </c>
      <c r="I225" s="37" t="s">
        <v>73</v>
      </c>
      <c r="J225" s="37" t="s">
        <v>10</v>
      </c>
      <c r="K225" s="37" t="s">
        <v>11</v>
      </c>
      <c r="L225" s="37" t="s">
        <v>74</v>
      </c>
    </row>
    <row r="226" spans="1:15" ht="15" thickBot="1" x14ac:dyDescent="0.35">
      <c r="B226" s="56">
        <f>300</f>
        <v>300</v>
      </c>
      <c r="C226" s="63">
        <f>3/2*$D$2</f>
        <v>12.471708</v>
      </c>
      <c r="D226" s="63">
        <f>3/2*$D$2</f>
        <v>12.471708</v>
      </c>
      <c r="E226" s="63" cm="1">
        <f t="array" ref="E226">$D$2*SUM( ( ($B$12:$B$14) * ($B$12:$B$14)* EXP($B$12:$B$14/B226) ) / ( B226*B226* ( EXP(( $B$12:$B$14)/B226 )  -1)^2 ) )</f>
        <v>0.22513831328953074</v>
      </c>
      <c r="F226" s="64">
        <v>0</v>
      </c>
      <c r="H226" s="56">
        <f>300</f>
        <v>300</v>
      </c>
      <c r="I226" s="86">
        <f>3/2*$D$2 / 4.184</f>
        <v>2.9808097514340344</v>
      </c>
      <c r="J226" s="86">
        <f>3/2*$D$2 / 4.184</f>
        <v>2.9808097514340344</v>
      </c>
      <c r="K226" s="86" cm="1">
        <f t="array" ref="K226">$D$2*SUM( ( ($B$12:$B$14) * ($B$12:$B$14)* EXP($B$12:$B$14/B226) ) / ( B226*B226* ( EXP(( $B$12:$B$14)/B226 )  -1)^2 ) )/ 4.184</f>
        <v>5.3809348300557058E-2</v>
      </c>
      <c r="L226" s="89">
        <v>0</v>
      </c>
    </row>
    <row r="227" spans="1:15" x14ac:dyDescent="0.3">
      <c r="B227" s="56">
        <f>B226+100</f>
        <v>400</v>
      </c>
      <c r="C227" s="63">
        <f t="shared" ref="C227:D244" si="49">3/2*$D$2</f>
        <v>12.471708</v>
      </c>
      <c r="D227" s="63">
        <f t="shared" si="49"/>
        <v>12.471708</v>
      </c>
      <c r="E227" s="63" cm="1">
        <f t="array" ref="E227">$D$2*SUM( ( ($B$12:$B$14) * ($B$12:$B$14)* EXP($B$12:$B$14/B227) ) / ( B227*B227* ( EXP(( $B$12:$B$14)/B227 )  -1)^2 ) )</f>
        <v>0.87338779206971073</v>
      </c>
      <c r="H227" s="56">
        <f>H226+100</f>
        <v>400</v>
      </c>
      <c r="I227" s="63">
        <f t="shared" ref="I227:J244" si="50">3/2*$D$2 / 4.184</f>
        <v>2.9808097514340344</v>
      </c>
      <c r="J227" s="63">
        <f t="shared" si="50"/>
        <v>2.9808097514340344</v>
      </c>
      <c r="K227" s="63" cm="1">
        <f t="array" ref="K227">$D$2*SUM( ( ($B$12:$B$14) * ($B$12:$B$14)* EXP($B$12:$B$14/B227) ) / ( B227*B227* ( EXP(( $B$12:$B$14)/B227 )  -1)^2 ) )/ 4.184</f>
        <v>0.20874469217727312</v>
      </c>
    </row>
    <row r="228" spans="1:15" ht="18.600000000000001" thickBot="1" x14ac:dyDescent="0.35">
      <c r="B228" s="56">
        <f t="shared" ref="B228:B244" si="51">B227+100</f>
        <v>500</v>
      </c>
      <c r="C228" s="63">
        <f t="shared" si="49"/>
        <v>12.471708</v>
      </c>
      <c r="D228" s="63">
        <f t="shared" si="49"/>
        <v>12.471708</v>
      </c>
      <c r="E228" s="63" cm="1">
        <f t="array" ref="E228">$D$2*SUM( ( ($B$12:$B$14) * ($B$12:$B$14)* EXP($B$12:$B$14/B228) ) / ( B228*B228* ( EXP(( $B$12:$B$14)/B228 )  -1)^2 ) )</f>
        <v>1.8202551570468131</v>
      </c>
      <c r="H228" s="56">
        <f t="shared" ref="H228:H244" si="52">H227+100</f>
        <v>500</v>
      </c>
      <c r="I228" s="63">
        <f t="shared" si="50"/>
        <v>2.9808097514340344</v>
      </c>
      <c r="J228" s="63">
        <f t="shared" si="50"/>
        <v>2.9808097514340344</v>
      </c>
      <c r="K228" s="63" cm="1">
        <f t="array" ref="K228">$D$2*SUM( ( ($B$12:$B$14) * ($B$12:$B$14)* EXP($B$12:$B$14/B228) ) / ( B228*B228* ( EXP(( $B$12:$B$14)/B228 )  -1)^2 ) )/ 4.184</f>
        <v>0.43505142376835876</v>
      </c>
      <c r="M228" s="145" t="s">
        <v>88</v>
      </c>
      <c r="N228" s="145"/>
    </row>
    <row r="229" spans="1:15" x14ac:dyDescent="0.3">
      <c r="B229" s="56">
        <f t="shared" si="51"/>
        <v>600</v>
      </c>
      <c r="C229" s="63">
        <f t="shared" si="49"/>
        <v>12.471708</v>
      </c>
      <c r="D229" s="63">
        <f t="shared" si="49"/>
        <v>12.471708</v>
      </c>
      <c r="E229" s="63" cm="1">
        <f t="array" ref="E229">$D$2*SUM( ( ($B$12:$B$14) * ($B$12:$B$14)* EXP($B$12:$B$14/B229) ) / ( B229*B229* ( EXP(( $B$12:$B$14)/B229 )  -1)^2 ) )</f>
        <v>2.8797568070772144</v>
      </c>
      <c r="H229" s="56">
        <f t="shared" si="52"/>
        <v>600</v>
      </c>
      <c r="I229" s="63">
        <f t="shared" si="50"/>
        <v>2.9808097514340344</v>
      </c>
      <c r="J229" s="63">
        <f t="shared" si="50"/>
        <v>2.9808097514340344</v>
      </c>
      <c r="K229" s="63" cm="1">
        <f t="array" ref="K229">$D$2*SUM( ( ($B$12:$B$14) * ($B$12:$B$14)* EXP($B$12:$B$14/B229) ) / ( B229*B229* ( EXP(( $B$12:$B$14)/B229 )  -1)^2 ) )/ 4.184</f>
        <v>0.68827839557294801</v>
      </c>
      <c r="M229" s="72"/>
      <c r="N229" s="68" t="s">
        <v>82</v>
      </c>
      <c r="O229" s="1"/>
    </row>
    <row r="230" spans="1:15" x14ac:dyDescent="0.3">
      <c r="B230" s="56">
        <f t="shared" si="51"/>
        <v>700</v>
      </c>
      <c r="C230" s="63">
        <f t="shared" si="49"/>
        <v>12.471708</v>
      </c>
      <c r="D230" s="63">
        <f t="shared" si="49"/>
        <v>12.471708</v>
      </c>
      <c r="E230" s="63" cm="1">
        <f t="array" ref="E230">$D$2*SUM( ( ($B$12:$B$14) * ($B$12:$B$14)* EXP($B$12:$B$14/B230) ) / ( B230*B230* ( EXP(( $B$12:$B$14)/B230 )  -1)^2 ) )</f>
        <v>3.979511139768968</v>
      </c>
      <c r="H230" s="56">
        <f t="shared" si="52"/>
        <v>700</v>
      </c>
      <c r="I230" s="63">
        <f t="shared" si="50"/>
        <v>2.9808097514340344</v>
      </c>
      <c r="J230" s="63">
        <f t="shared" si="50"/>
        <v>2.9808097514340344</v>
      </c>
      <c r="K230" s="63" cm="1">
        <f t="array" ref="K230">$D$2*SUM( ( ($B$12:$B$14) * ($B$12:$B$14)* EXP($B$12:$B$14/B230) ) / ( B230*B230* ( EXP(( $B$12:$B$14)/B230 )  -1)^2 ) )/ 4.184</f>
        <v>0.95112598942852955</v>
      </c>
      <c r="M230" s="73"/>
      <c r="N230" s="78" t="s">
        <v>5</v>
      </c>
      <c r="O230" s="1"/>
    </row>
    <row r="231" spans="1:15" x14ac:dyDescent="0.3">
      <c r="B231" s="56">
        <f t="shared" si="51"/>
        <v>800</v>
      </c>
      <c r="C231" s="63">
        <f t="shared" si="49"/>
        <v>12.471708</v>
      </c>
      <c r="D231" s="63">
        <f t="shared" si="49"/>
        <v>12.471708</v>
      </c>
      <c r="E231" s="63" cm="1">
        <f t="array" ref="E231">$D$2*SUM( ( ($B$12:$B$14) * ($B$12:$B$14)* EXP($B$12:$B$14/B231) ) / ( B231*B231* ( EXP(( $B$12:$B$14)/B231 )  -1)^2 ) )</f>
        <v>5.1079453678020474</v>
      </c>
      <c r="H231" s="56">
        <f t="shared" si="52"/>
        <v>800</v>
      </c>
      <c r="I231" s="63">
        <f t="shared" si="50"/>
        <v>2.9808097514340344</v>
      </c>
      <c r="J231" s="63">
        <f t="shared" si="50"/>
        <v>2.9808097514340344</v>
      </c>
      <c r="K231" s="63" cm="1">
        <f t="array" ref="K231">$D$2*SUM( ( ($B$12:$B$14) * ($B$12:$B$14)* EXP($B$12:$B$14/B231) ) / ( B231*B231* ( EXP(( $B$12:$B$14)/B231 )  -1)^2 ) )/ 4.184</f>
        <v>1.2208282427825161</v>
      </c>
      <c r="M231" s="73" t="s">
        <v>6</v>
      </c>
      <c r="N231" s="80">
        <v>6.0140000000000002</v>
      </c>
      <c r="O231" s="83"/>
    </row>
    <row r="232" spans="1:15" x14ac:dyDescent="0.3">
      <c r="B232" s="56">
        <f t="shared" si="51"/>
        <v>900</v>
      </c>
      <c r="C232" s="63">
        <f t="shared" si="49"/>
        <v>12.471708</v>
      </c>
      <c r="D232" s="63">
        <f t="shared" si="49"/>
        <v>12.471708</v>
      </c>
      <c r="E232" s="63" cm="1">
        <f t="array" ref="E232">$D$2*SUM( ( ($B$12:$B$14) * ($B$12:$B$14)* EXP($B$12:$B$14/B232) ) / ( B232*B232* ( EXP(( $B$12:$B$14)/B232 )  -1)^2 ) )</f>
        <v>6.2602282504492619</v>
      </c>
      <c r="H232" s="56">
        <f t="shared" si="52"/>
        <v>900</v>
      </c>
      <c r="I232" s="63">
        <f t="shared" si="50"/>
        <v>2.9808097514340344</v>
      </c>
      <c r="J232" s="63">
        <f t="shared" si="50"/>
        <v>2.9808097514340344</v>
      </c>
      <c r="K232" s="63" cm="1">
        <f t="array" ref="K232">$D$2*SUM( ( ($B$12:$B$14) * ($B$12:$B$14)* EXP($B$12:$B$14/B232) ) / ( B232*B232* ( EXP(( $B$12:$B$14)/B232 )  -1)^2 ) )/ 4.184</f>
        <v>1.496230461388447</v>
      </c>
      <c r="M232" s="73" t="s">
        <v>7</v>
      </c>
      <c r="N232" s="80" t="s">
        <v>8</v>
      </c>
      <c r="O232" s="83"/>
    </row>
    <row r="233" spans="1:15" x14ac:dyDescent="0.3">
      <c r="B233" s="56">
        <f t="shared" si="51"/>
        <v>1000</v>
      </c>
      <c r="C233" s="63">
        <f t="shared" si="49"/>
        <v>12.471708</v>
      </c>
      <c r="D233" s="63">
        <f t="shared" si="49"/>
        <v>12.471708</v>
      </c>
      <c r="E233" s="63" cm="1">
        <f t="array" ref="E233">$D$2*SUM( ( ($B$12:$B$14) * ($B$12:$B$14)* EXP($B$12:$B$14/B233) ) / ( B233*B233* ( EXP(( $B$12:$B$14)/B233 )  -1)^2 ) )</f>
        <v>7.4225123167053502</v>
      </c>
      <c r="H233" s="56">
        <f t="shared" si="52"/>
        <v>1000</v>
      </c>
      <c r="I233" s="63">
        <f t="shared" si="50"/>
        <v>2.9808097514340344</v>
      </c>
      <c r="J233" s="63">
        <f t="shared" si="50"/>
        <v>2.9808097514340344</v>
      </c>
      <c r="K233" s="63" cm="1">
        <f t="array" ref="K233">$D$2*SUM( ( ($B$12:$B$14) * ($B$12:$B$14)* EXP($B$12:$B$14/B233) ) / ( B233*B233* ( EXP(( $B$12:$B$14)/B233 )  -1)^2 ) )/ 4.184</f>
        <v>1.7740230202450644</v>
      </c>
      <c r="M233" s="73" t="s">
        <v>9</v>
      </c>
      <c r="N233" s="80">
        <v>2.9809999999999999</v>
      </c>
      <c r="O233" s="83"/>
    </row>
    <row r="234" spans="1:15" x14ac:dyDescent="0.3">
      <c r="B234" s="56">
        <f t="shared" si="51"/>
        <v>1100</v>
      </c>
      <c r="C234" s="63">
        <f t="shared" si="49"/>
        <v>12.471708</v>
      </c>
      <c r="D234" s="63">
        <f t="shared" si="49"/>
        <v>12.471708</v>
      </c>
      <c r="E234" s="63" cm="1">
        <f t="array" ref="E234">$D$2*SUM( ( ($B$12:$B$14) * ($B$12:$B$14)* EXP($B$12:$B$14/B234) ) / ( B234*B234* ( EXP(( $B$12:$B$14)/B234 )  -1)^2 ) )</f>
        <v>8.5747535725413542</v>
      </c>
      <c r="H234" s="56">
        <f t="shared" si="52"/>
        <v>1100</v>
      </c>
      <c r="I234" s="63">
        <f t="shared" si="50"/>
        <v>2.9808097514340344</v>
      </c>
      <c r="J234" s="63">
        <f t="shared" si="50"/>
        <v>2.9808097514340344</v>
      </c>
      <c r="K234" s="63" cm="1">
        <f t="array" ref="K234">$D$2*SUM( ( ($B$12:$B$14) * ($B$12:$B$14)* EXP($B$12:$B$14/B234) ) / ( B234*B234* ( EXP(( $B$12:$B$14)/B234 )  -1)^2 ) )/ 4.184</f>
        <v>2.049415289804339</v>
      </c>
      <c r="M234" s="73" t="s">
        <v>10</v>
      </c>
      <c r="N234" s="80">
        <v>2.9809999999999999</v>
      </c>
      <c r="O234" s="83"/>
    </row>
    <row r="235" spans="1:15" ht="15" thickBot="1" x14ac:dyDescent="0.35">
      <c r="B235" s="56">
        <f t="shared" si="51"/>
        <v>1200</v>
      </c>
      <c r="C235" s="63">
        <f t="shared" si="49"/>
        <v>12.471708</v>
      </c>
      <c r="D235" s="63">
        <f t="shared" si="49"/>
        <v>12.471708</v>
      </c>
      <c r="E235" s="63" cm="1">
        <f t="array" ref="E235">$D$2*SUM( ( ($B$12:$B$14) * ($B$12:$B$14)* EXP($B$12:$B$14/B235) ) / ( B235*B235* ( EXP(( $B$12:$B$14)/B235 )  -1)^2 ) )</f>
        <v>9.6966814554826026</v>
      </c>
      <c r="H235" s="56">
        <f t="shared" si="52"/>
        <v>1200</v>
      </c>
      <c r="I235" s="63">
        <f t="shared" si="50"/>
        <v>2.9808097514340344</v>
      </c>
      <c r="J235" s="63">
        <f t="shared" si="50"/>
        <v>2.9808097514340344</v>
      </c>
      <c r="K235" s="63" cm="1">
        <f t="array" ref="K235">$D$2*SUM( ( ($B$12:$B$14) * ($B$12:$B$14)* EXP($B$12:$B$14/B235) ) / ( B235*B235* ( EXP(( $B$12:$B$14)/B235 )  -1)^2 ) )/ 4.184</f>
        <v>2.3175624893600868</v>
      </c>
      <c r="M235" s="74" t="s">
        <v>11</v>
      </c>
      <c r="N235" s="82">
        <v>5.1999999999999998E-2</v>
      </c>
      <c r="O235" s="83"/>
    </row>
    <row r="236" spans="1:15" x14ac:dyDescent="0.3">
      <c r="B236" s="56">
        <f t="shared" si="51"/>
        <v>1300</v>
      </c>
      <c r="C236" s="63">
        <f t="shared" si="49"/>
        <v>12.471708</v>
      </c>
      <c r="D236" s="63">
        <f t="shared" si="49"/>
        <v>12.471708</v>
      </c>
      <c r="E236" s="63" cm="1">
        <f t="array" ref="E236">$D$2*SUM( ( ($B$12:$B$14) * ($B$12:$B$14)* EXP($B$12:$B$14/B236) ) / ( B236*B236* ( EXP(( $B$12:$B$14)/B236 )  -1)^2 ) )</f>
        <v>10.771663657071949</v>
      </c>
      <c r="H236" s="56">
        <f t="shared" si="52"/>
        <v>1300</v>
      </c>
      <c r="I236" s="63">
        <f t="shared" si="50"/>
        <v>2.9808097514340344</v>
      </c>
      <c r="J236" s="63">
        <f t="shared" si="50"/>
        <v>2.9808097514340344</v>
      </c>
      <c r="K236" s="63" cm="1">
        <f t="array" ref="K236">$D$2*SUM( ( ($B$12:$B$14) * ($B$12:$B$14)* EXP($B$12:$B$14/B236) ) / ( B236*B236* ( EXP(( $B$12:$B$14)/B236 )  -1)^2 ) )/ 4.184</f>
        <v>2.5744894017858386</v>
      </c>
      <c r="N236" s="83"/>
      <c r="O236" s="83"/>
    </row>
    <row r="237" spans="1:15" x14ac:dyDescent="0.3">
      <c r="B237" s="56">
        <f t="shared" si="51"/>
        <v>1400</v>
      </c>
      <c r="C237" s="63">
        <f t="shared" si="49"/>
        <v>12.471708</v>
      </c>
      <c r="D237" s="63">
        <f t="shared" si="49"/>
        <v>12.471708</v>
      </c>
      <c r="E237" s="63" cm="1">
        <f t="array" ref="E237">$D$2*SUM( ( ($B$12:$B$14) * ($B$12:$B$14)* EXP($B$12:$B$14/B237) ) / ( B237*B237* ( EXP(( $B$12:$B$14)/B237 )  -1)^2 ) )</f>
        <v>11.788091176062798</v>
      </c>
      <c r="H237" s="56">
        <f t="shared" si="52"/>
        <v>1400</v>
      </c>
      <c r="I237" s="63">
        <f t="shared" si="50"/>
        <v>2.9808097514340344</v>
      </c>
      <c r="J237" s="63">
        <f t="shared" si="50"/>
        <v>2.9808097514340344</v>
      </c>
      <c r="K237" s="63" cm="1">
        <f t="array" ref="K237">$D$2*SUM( ( ($B$12:$B$14) * ($B$12:$B$14)* EXP($B$12:$B$14/B237) ) / ( B237*B237* ( EXP(( $B$12:$B$14)/B237 )  -1)^2 ) )/ 4.184</f>
        <v>2.8174214091928294</v>
      </c>
    </row>
    <row r="238" spans="1:15" ht="15" thickBot="1" x14ac:dyDescent="0.35">
      <c r="B238" s="56">
        <f t="shared" si="51"/>
        <v>1500</v>
      </c>
      <c r="C238" s="63">
        <f t="shared" si="49"/>
        <v>12.471708</v>
      </c>
      <c r="D238" s="63">
        <f t="shared" si="49"/>
        <v>12.471708</v>
      </c>
      <c r="E238" s="63" cm="1">
        <f t="array" ref="E238">$D$2*SUM( ( ($B$12:$B$14) * ($B$12:$B$14)* EXP($B$12:$B$14/B238) ) / ( B238*B238* ( EXP(( $B$12:$B$14)/B238 )  -1)^2 ) )</f>
        <v>12.739202612229832</v>
      </c>
      <c r="H238" s="56">
        <f t="shared" si="52"/>
        <v>1500</v>
      </c>
      <c r="I238" s="63">
        <f t="shared" si="50"/>
        <v>2.9808097514340344</v>
      </c>
      <c r="J238" s="63">
        <f t="shared" si="50"/>
        <v>2.9808097514340344</v>
      </c>
      <c r="K238" s="63" cm="1">
        <f t="array" ref="K238">$D$2*SUM( ( ($B$12:$B$14) * ($B$12:$B$14)* EXP($B$12:$B$14/B238) ) / ( B238*B238* ( EXP(( $B$12:$B$14)/B238 )  -1)^2 ) )/ 4.184</f>
        <v>3.044742498142885</v>
      </c>
    </row>
    <row r="239" spans="1:15" ht="15" thickBot="1" x14ac:dyDescent="0.35">
      <c r="B239" s="56">
        <f t="shared" si="51"/>
        <v>1600</v>
      </c>
      <c r="C239" s="63">
        <f t="shared" si="49"/>
        <v>12.471708</v>
      </c>
      <c r="D239" s="63">
        <f t="shared" si="49"/>
        <v>12.471708</v>
      </c>
      <c r="E239" s="63" cm="1">
        <f t="array" ref="E239">$D$2*SUM( ( ($B$12:$B$14) * ($B$12:$B$14)* EXP($B$12:$B$14/B239) ) / ( B239*B239* ( EXP(( $B$12:$B$14)/B239 )  -1)^2 ) )</f>
        <v>13.622214037591579</v>
      </c>
      <c r="H239" s="56">
        <f t="shared" si="52"/>
        <v>1600</v>
      </c>
      <c r="I239" s="63">
        <f t="shared" si="50"/>
        <v>2.9808097514340344</v>
      </c>
      <c r="J239" s="63">
        <f t="shared" si="50"/>
        <v>2.9808097514340344</v>
      </c>
      <c r="K239" s="63" cm="1">
        <f t="array" ref="K239">$D$2*SUM( ( ($B$12:$B$14) * ($B$12:$B$14)* EXP($B$12:$B$14/B239) ) / ( B239*B239* ( EXP(( $B$12:$B$14)/B239 )  -1)^2 ) )/ 4.184</f>
        <v>3.2557872938794405</v>
      </c>
      <c r="M239" s="32" t="s">
        <v>99</v>
      </c>
      <c r="N239" s="128">
        <f>SUM(I226:L226)</f>
        <v>6.0154288511686254</v>
      </c>
    </row>
    <row r="240" spans="1:15" x14ac:dyDescent="0.3">
      <c r="B240" s="56">
        <f t="shared" si="51"/>
        <v>1700</v>
      </c>
      <c r="C240" s="63">
        <f t="shared" si="49"/>
        <v>12.471708</v>
      </c>
      <c r="D240" s="63">
        <f t="shared" si="49"/>
        <v>12.471708</v>
      </c>
      <c r="E240" s="63" cm="1">
        <f t="array" ref="E240">$D$2*SUM( ( ($B$12:$B$14) * ($B$12:$B$14)* EXP($B$12:$B$14/B240) ) / ( B240*B240* ( EXP(( $B$12:$B$14)/B240 )  -1)^2 ) )</f>
        <v>14.437287176187583</v>
      </c>
      <c r="H240" s="56">
        <f t="shared" si="52"/>
        <v>1700</v>
      </c>
      <c r="I240" s="63">
        <f t="shared" si="50"/>
        <v>2.9808097514340344</v>
      </c>
      <c r="J240" s="63">
        <f t="shared" si="50"/>
        <v>2.9808097514340344</v>
      </c>
      <c r="K240" s="63" cm="1">
        <f t="array" ref="K240">$D$2*SUM( ( ($B$12:$B$14) * ($B$12:$B$14)* EXP($B$12:$B$14/B240) ) / ( B240*B240* ( EXP(( $B$12:$B$14)/B240 )  -1)^2 ) )/ 4.184</f>
        <v>3.4505944493756173</v>
      </c>
    </row>
    <row r="241" spans="1:12" x14ac:dyDescent="0.3">
      <c r="B241" s="56">
        <f t="shared" si="51"/>
        <v>1800</v>
      </c>
      <c r="C241" s="63">
        <f t="shared" si="49"/>
        <v>12.471708</v>
      </c>
      <c r="D241" s="63">
        <f t="shared" si="49"/>
        <v>12.471708</v>
      </c>
      <c r="E241" s="63" cm="1">
        <f t="array" ref="E241">$D$2*SUM( ( ($B$12:$B$14) * ($B$12:$B$14)* EXP($B$12:$B$14/B241) ) / ( B241*B241* ( EXP(( $B$12:$B$14)/B241 )  -1)^2 ) )</f>
        <v>15.186592472543255</v>
      </c>
      <c r="H241" s="56">
        <f t="shared" si="52"/>
        <v>1800</v>
      </c>
      <c r="I241" s="63">
        <f t="shared" si="50"/>
        <v>2.9808097514340344</v>
      </c>
      <c r="J241" s="63">
        <f t="shared" si="50"/>
        <v>2.9808097514340344</v>
      </c>
      <c r="K241" s="63" cm="1">
        <f t="array" ref="K241">$D$2*SUM( ( ($B$12:$B$14) * ($B$12:$B$14)* EXP($B$12:$B$14/B241) ) / ( B241*B241* ( EXP(( $B$12:$B$14)/B241 )  -1)^2 ) )/ 4.184</f>
        <v>3.6296827133229574</v>
      </c>
    </row>
    <row r="242" spans="1:12" x14ac:dyDescent="0.3">
      <c r="B242" s="56">
        <f t="shared" si="51"/>
        <v>1900</v>
      </c>
      <c r="C242" s="63">
        <f t="shared" si="49"/>
        <v>12.471708</v>
      </c>
      <c r="D242" s="63">
        <f t="shared" si="49"/>
        <v>12.471708</v>
      </c>
      <c r="E242" s="63" cm="1">
        <f t="array" ref="E242">$D$2*SUM( ( ($B$12:$B$14) * ($B$12:$B$14)* EXP($B$12:$B$14/B242) ) / ( B242*B242* ( EXP(( $B$12:$B$14)/B242 )  -1)^2 ) )</f>
        <v>15.873557300769063</v>
      </c>
      <c r="H242" s="56">
        <f t="shared" si="52"/>
        <v>1900</v>
      </c>
      <c r="I242" s="63">
        <f t="shared" si="50"/>
        <v>2.9808097514340344</v>
      </c>
      <c r="J242" s="63">
        <f t="shared" si="50"/>
        <v>2.9808097514340344</v>
      </c>
      <c r="K242" s="63" cm="1">
        <f t="array" ref="K242">$D$2*SUM( ( ($B$12:$B$14) * ($B$12:$B$14)* EXP($B$12:$B$14/B242) ) / ( B242*B242* ( EXP(( $B$12:$B$14)/B242 )  -1)^2 ) )/ 4.184</f>
        <v>3.7938712477937528</v>
      </c>
    </row>
    <row r="243" spans="1:12" x14ac:dyDescent="0.3">
      <c r="B243" s="56">
        <f t="shared" si="51"/>
        <v>2000</v>
      </c>
      <c r="C243" s="63">
        <f t="shared" si="49"/>
        <v>12.471708</v>
      </c>
      <c r="D243" s="63">
        <f t="shared" si="49"/>
        <v>12.471708</v>
      </c>
      <c r="E243" s="63" cm="1">
        <f t="array" ref="E243">$D$2*SUM( ( ($B$12:$B$14) * ($B$12:$B$14)* EXP($B$12:$B$14/B243) ) / ( B243*B243* ( EXP(( $B$12:$B$14)/B243 )  -1)^2 ) )</f>
        <v>16.502306405847243</v>
      </c>
      <c r="H243" s="56">
        <f t="shared" si="52"/>
        <v>2000</v>
      </c>
      <c r="I243" s="63">
        <f t="shared" si="50"/>
        <v>2.9808097514340344</v>
      </c>
      <c r="J243" s="63">
        <f t="shared" si="50"/>
        <v>2.9808097514340344</v>
      </c>
      <c r="K243" s="63" cm="1">
        <f t="array" ref="K243">$D$2*SUM( ( ($B$12:$B$14) * ($B$12:$B$14)* EXP($B$12:$B$14/B243) ) / ( B243*B243* ( EXP(( $B$12:$B$14)/B243 )  -1)^2 ) )/ 4.184</f>
        <v>3.9441458904988629</v>
      </c>
    </row>
    <row r="244" spans="1:12" ht="15" thickBot="1" x14ac:dyDescent="0.35">
      <c r="B244" s="31">
        <f t="shared" si="51"/>
        <v>2100</v>
      </c>
      <c r="C244" s="64">
        <f t="shared" si="49"/>
        <v>12.471708</v>
      </c>
      <c r="D244" s="64">
        <f t="shared" si="49"/>
        <v>12.471708</v>
      </c>
      <c r="E244" s="64" cm="1">
        <f t="array" ref="E244">$D$2*SUM( ( ($B$12:$B$14) * ($B$12:$B$14)* EXP($B$12:$B$14/B244) ) / ( B244*B244* ( EXP(( $B$12:$B$14)/B244 )  -1)^2 ) )</f>
        <v>17.077267679112744</v>
      </c>
      <c r="F244" s="3"/>
      <c r="H244" s="31">
        <f t="shared" si="52"/>
        <v>2100</v>
      </c>
      <c r="I244" s="64">
        <f t="shared" si="50"/>
        <v>2.9808097514340344</v>
      </c>
      <c r="J244" s="64">
        <f t="shared" si="50"/>
        <v>2.9808097514340344</v>
      </c>
      <c r="K244" s="64" cm="1">
        <f t="array" ref="K244">$D$2*SUM( ( ($B$12:$B$14) * ($B$12:$B$14)* EXP($B$12:$B$14/B244) ) / ( B244*B244* ( EXP(( $B$12:$B$14)/B244 )  -1)^2 ) )/ 4.184</f>
        <v>4.0815649328663346</v>
      </c>
      <c r="L244" s="3"/>
    </row>
    <row r="247" spans="1:12" ht="15" thickBot="1" x14ac:dyDescent="0.35">
      <c r="A247" s="2" t="s">
        <v>84</v>
      </c>
    </row>
    <row r="248" spans="1:12" ht="18" x14ac:dyDescent="0.3">
      <c r="A248" s="2" t="s">
        <v>85</v>
      </c>
      <c r="B248" s="58" t="s">
        <v>23</v>
      </c>
      <c r="C248" s="37" t="s">
        <v>73</v>
      </c>
      <c r="D248" s="37" t="s">
        <v>10</v>
      </c>
      <c r="E248" s="37" t="s">
        <v>11</v>
      </c>
      <c r="F248" s="37" t="s">
        <v>74</v>
      </c>
    </row>
    <row r="249" spans="1:12" ht="15" thickBot="1" x14ac:dyDescent="0.35">
      <c r="B249" s="56">
        <f>300</f>
        <v>300</v>
      </c>
      <c r="C249" s="63">
        <f xml:space="preserve"> -1 * $D$2 * LN( (($A$2 *B249) / $F$83 ) /$F$2 * EXP(1) * $G$2 )</f>
        <v>322.88197396501528</v>
      </c>
      <c r="D249" s="63">
        <f>$D$2 * B249*LN( (B249) / ($B$6 * $C$198))</f>
        <v>9735.7807557781925</v>
      </c>
      <c r="E249" s="63" cm="1">
        <f t="array" ref="E249">$D$2*SUM( ( 0.5 * ($B$12:$B$14)  - B249 * LN( 1 - EXP( - ($B$12:$B$14) / B249 ) ) ) )</f>
        <v>55871.067177098346</v>
      </c>
      <c r="F249" s="64">
        <f>$F$2*$B$134 + 0.5*$D$2*SUM(B12:B29)</f>
        <v>-538268607.20378661</v>
      </c>
    </row>
    <row r="250" spans="1:12" x14ac:dyDescent="0.3">
      <c r="B250" s="56">
        <f>B249+100</f>
        <v>400</v>
      </c>
      <c r="C250" s="63">
        <f t="shared" ref="C250:C267" si="53" xml:space="preserve"> -1 * $D$2 * LN( (($A$2 *B250) / $F$83 ) /$F$2 * EXP(1) * $G$2 )</f>
        <v>320.49004942871295</v>
      </c>
      <c r="D250" s="63">
        <f t="shared" ref="D250:D267" si="54">$D$2 * B250*LN( (B250) / ($B$6 * $C$198))</f>
        <v>13937.810822225178</v>
      </c>
      <c r="E250" s="63" cm="1">
        <f t="array" ref="E250">$D$2*SUM( ( 0.5 * ($B$12:$B$14)  - B250 * LN( 1 - EXP( - ($B$12:$B$14) / B250 ) ) ) )</f>
        <v>55880.349882455797</v>
      </c>
    </row>
    <row r="251" spans="1:12" x14ac:dyDescent="0.3">
      <c r="B251" s="56">
        <f t="shared" ref="B251:B267" si="55">B250+100</f>
        <v>500</v>
      </c>
      <c r="C251" s="63">
        <f t="shared" si="53"/>
        <v>318.63472861933042</v>
      </c>
      <c r="D251" s="63">
        <f t="shared" si="54"/>
        <v>18349.92393247275</v>
      </c>
      <c r="E251" s="63" cm="1">
        <f t="array" ref="E251">$D$2*SUM( ( 0.5 * ($B$12:$B$14)  - B251 * LN( 1 - EXP( - ($B$12:$B$14) / B251 ) ) ) )</f>
        <v>55911.461256061484</v>
      </c>
    </row>
    <row r="252" spans="1:12" x14ac:dyDescent="0.3">
      <c r="B252" s="56">
        <f t="shared" si="55"/>
        <v>600</v>
      </c>
      <c r="C252" s="63">
        <f t="shared" si="53"/>
        <v>317.11882114037064</v>
      </c>
      <c r="D252" s="63">
        <f t="shared" si="54"/>
        <v>22929.453206343147</v>
      </c>
      <c r="E252" s="63" cm="1">
        <f t="array" ref="E252">$D$2*SUM( ( 0.5 * ($B$12:$B$14)  - B252 * LN( 1 - EXP( - ($B$12:$B$14) / B252 ) ) ) )</f>
        <v>55978.715235974909</v>
      </c>
    </row>
    <row r="253" spans="1:12" x14ac:dyDescent="0.3">
      <c r="B253" s="56">
        <f t="shared" si="55"/>
        <v>700</v>
      </c>
      <c r="C253" s="63">
        <f t="shared" si="53"/>
        <v>315.83713962916596</v>
      </c>
      <c r="D253" s="63">
        <f t="shared" si="54"/>
        <v>27648.205798576968</v>
      </c>
      <c r="E253" s="63" cm="1">
        <f t="array" ref="E253">$D$2*SUM( ( 0.5 * ($B$12:$B$14)  - B253 * LN( 1 - EXP( - ($B$12:$B$14) / B253 ) ) ) )</f>
        <v>56093.735655884084</v>
      </c>
    </row>
    <row r="254" spans="1:12" x14ac:dyDescent="0.3">
      <c r="B254" s="56">
        <f t="shared" si="55"/>
        <v>800</v>
      </c>
      <c r="C254" s="63">
        <f t="shared" si="53"/>
        <v>314.72689660406837</v>
      </c>
      <c r="D254" s="63">
        <f t="shared" si="54"/>
        <v>32486.143904166045</v>
      </c>
      <c r="E254" s="63" cm="1">
        <f t="array" ref="E254">$D$2*SUM( ( 0.5 * ($B$12:$B$14)  - B254 * LN( 1 - EXP( - ($B$12:$B$14) / B254 ) ) ) )</f>
        <v>56265.453391080344</v>
      </c>
    </row>
    <row r="255" spans="1:12" x14ac:dyDescent="0.3">
      <c r="B255" s="56">
        <f t="shared" si="55"/>
        <v>900</v>
      </c>
      <c r="C255" s="63">
        <f t="shared" si="53"/>
        <v>313.74759285202839</v>
      </c>
      <c r="D255" s="63">
        <f t="shared" si="54"/>
        <v>37428.285269022796</v>
      </c>
      <c r="E255" s="63" cm="1">
        <f t="array" ref="E255">$D$2*SUM( ( 0.5 * ($B$12:$B$14)  - B255 * LN( 1 - EXP( - ($B$12:$B$14) / B255 ) ) ) )</f>
        <v>56500.914268207191</v>
      </c>
    </row>
    <row r="256" spans="1:12" x14ac:dyDescent="0.3">
      <c r="B256" s="56">
        <f t="shared" si="55"/>
        <v>1000</v>
      </c>
      <c r="C256" s="63">
        <f t="shared" si="53"/>
        <v>312.87157579468578</v>
      </c>
      <c r="D256" s="63">
        <f t="shared" si="54"/>
        <v>42463.00068959011</v>
      </c>
      <c r="E256" s="63" cm="1">
        <f t="array" ref="E256">$D$2*SUM( ( 0.5 * ($B$12:$B$14)  - B256 * LN( 1 - EXP( - ($B$12:$B$14) / B256 ) ) ) )</f>
        <v>56805.846992839644</v>
      </c>
    </row>
    <row r="257" spans="1:12" x14ac:dyDescent="0.3">
      <c r="B257" s="56">
        <f t="shared" si="55"/>
        <v>1100</v>
      </c>
      <c r="C257" s="63">
        <f t="shared" si="53"/>
        <v>312.07912197338777</v>
      </c>
      <c r="D257" s="63">
        <f t="shared" si="54"/>
        <v>47580.999961976951</v>
      </c>
      <c r="E257" s="63" cm="1">
        <f t="array" ref="E257">$D$2*SUM( ( 0.5 * ($B$12:$B$14)  - B257 * LN( 1 - EXP( - ($B$12:$B$14) / B257 ) ) ) )</f>
        <v>57184.92663317937</v>
      </c>
    </row>
    <row r="258" spans="1:12" x14ac:dyDescent="0.3">
      <c r="B258" s="56">
        <f t="shared" si="55"/>
        <v>1200</v>
      </c>
      <c r="C258" s="63">
        <f t="shared" si="53"/>
        <v>311.35566831572606</v>
      </c>
      <c r="D258" s="63">
        <f t="shared" si="54"/>
        <v>52774.689802259825</v>
      </c>
      <c r="E258" s="63" cm="1">
        <f t="array" ref="E258">$D$2*SUM( ( 0.5 * ($B$12:$B$14)  - B258 * LN( 1 - EXP( - ($B$12:$B$14) / B258 ) ) ) )</f>
        <v>57641.88571186312</v>
      </c>
    </row>
    <row r="259" spans="1:12" x14ac:dyDescent="0.3">
      <c r="B259" s="56">
        <f t="shared" si="55"/>
        <v>1300</v>
      </c>
      <c r="C259" s="63">
        <f t="shared" si="53"/>
        <v>310.69015546397026</v>
      </c>
      <c r="D259" s="63">
        <f t="shared" si="54"/>
        <v>58037.747326397352</v>
      </c>
      <c r="E259" s="63" cm="1">
        <f t="array" ref="E259">$D$2*SUM( ( 0.5 * ($B$12:$B$14)  - B259 * LN( 1 - EXP( - ($B$12:$B$14) / B259 ) ) ) )</f>
        <v>58179.583726695091</v>
      </c>
    </row>
    <row r="260" spans="1:12" x14ac:dyDescent="0.3">
      <c r="B260" s="56">
        <f t="shared" si="55"/>
        <v>1400</v>
      </c>
      <c r="C260" s="63">
        <f t="shared" si="53"/>
        <v>310.07398680452133</v>
      </c>
      <c r="D260" s="63">
        <f t="shared" si="54"/>
        <v>63364.825551656388</v>
      </c>
      <c r="E260" s="63" cm="1">
        <f t="array" ref="E260">$D$2*SUM( ( 0.5 * ($B$12:$B$14)  - B260 * LN( 1 - EXP( - ($B$12:$B$14) / B260 ) ) ) )</f>
        <v>58800.081358249809</v>
      </c>
    </row>
    <row r="261" spans="1:12" x14ac:dyDescent="0.3">
      <c r="B261" s="56">
        <f t="shared" si="55"/>
        <v>1500</v>
      </c>
      <c r="C261" s="63">
        <f t="shared" si="53"/>
        <v>309.50034750634353</v>
      </c>
      <c r="D261" s="63">
        <f t="shared" si="54"/>
        <v>68751.34346689863</v>
      </c>
      <c r="E261" s="63" cm="1">
        <f t="array" ref="E261">$D$2*SUM( ( 0.5 * ($B$12:$B$14)  - B261 * LN( 1 - EXP( - ($B$12:$B$14) / B261 ) ) ) )</f>
        <v>59504.728445505403</v>
      </c>
    </row>
    <row r="262" spans="1:12" x14ac:dyDescent="0.3">
      <c r="B262" s="56">
        <f t="shared" si="55"/>
        <v>1600</v>
      </c>
      <c r="C262" s="63">
        <f t="shared" si="53"/>
        <v>308.96374377942379</v>
      </c>
      <c r="D262" s="63">
        <f t="shared" si="54"/>
        <v>74193.332327763463</v>
      </c>
      <c r="E262" s="63" cm="1">
        <f t="array" ref="E262">$D$2*SUM( ( 0.5 * ($B$12:$B$14)  - B262 * LN( 1 - EXP( - ($B$12:$B$14) / B262 ) ) ) )</f>
        <v>60294.26052977371</v>
      </c>
    </row>
    <row r="263" spans="1:12" x14ac:dyDescent="0.3">
      <c r="B263" s="56">
        <f t="shared" si="55"/>
        <v>1700</v>
      </c>
      <c r="C263" s="63">
        <f t="shared" si="53"/>
        <v>308.45968205882042</v>
      </c>
      <c r="D263" s="63">
        <f t="shared" si="54"/>
        <v>79687.320523274349</v>
      </c>
      <c r="E263" s="63" cm="1">
        <f t="array" ref="E263">$D$2*SUM( ( 0.5 * ($B$12:$B$14)  - B263 * LN( 1 - EXP( - ($B$12:$B$14) / B263 ) ) ) )</f>
        <v>61168.896121711412</v>
      </c>
    </row>
    <row r="264" spans="1:12" x14ac:dyDescent="0.3">
      <c r="B264" s="56">
        <f t="shared" si="55"/>
        <v>1800</v>
      </c>
      <c r="C264" s="63">
        <f t="shared" si="53"/>
        <v>307.98444002738376</v>
      </c>
      <c r="D264" s="63">
        <f t="shared" si="54"/>
        <v>85230.245622405899</v>
      </c>
      <c r="E264" s="63" cm="1">
        <f t="array" ref="E264">$D$2*SUM( ( 0.5 * ($B$12:$B$14)  - B264 * LN( 1 - EXP( - ($B$12:$B$14) / B264 ) ) ) )</f>
        <v>62128.428507989898</v>
      </c>
    </row>
    <row r="265" spans="1:12" x14ac:dyDescent="0.3">
      <c r="B265" s="56">
        <f t="shared" si="55"/>
        <v>1900</v>
      </c>
      <c r="C265" s="63">
        <f t="shared" si="53"/>
        <v>307.53489963001425</v>
      </c>
      <c r="D265" s="63">
        <f t="shared" si="54"/>
        <v>90819.386023097177</v>
      </c>
      <c r="E265" s="63" cm="1">
        <f t="array" ref="E265">$D$2*SUM( ( 0.5 * ($B$12:$B$14)  - B265 * LN( 1 - EXP( - ($B$12:$B$14) / B265 ) ) ) )</f>
        <v>63172.308426703501</v>
      </c>
    </row>
    <row r="266" spans="1:12" x14ac:dyDescent="0.3">
      <c r="B266" s="56">
        <f t="shared" si="55"/>
        <v>2000</v>
      </c>
      <c r="C266" s="63">
        <f t="shared" si="53"/>
        <v>307.10842297004115</v>
      </c>
      <c r="D266" s="63">
        <f t="shared" si="54"/>
        <v>96452.307028469426</v>
      </c>
      <c r="E266" s="63" cm="1">
        <f t="array" ref="E266">$D$2*SUM( ( 0.5 * ($B$12:$B$14)  - B266 * LN( 1 - EXP( - ($B$12:$B$14) / B266 ) ) ) )</f>
        <v>64299.716044266141</v>
      </c>
    </row>
    <row r="267" spans="1:12" ht="15" thickBot="1" x14ac:dyDescent="0.35">
      <c r="B267" s="31">
        <f t="shared" si="55"/>
        <v>2100</v>
      </c>
      <c r="C267" s="64">
        <f t="shared" si="53"/>
        <v>306.70275851617902</v>
      </c>
      <c r="D267" s="64">
        <f t="shared" si="54"/>
        <v>102126.81773300342</v>
      </c>
      <c r="E267" s="64" cm="1">
        <f t="array" ref="E267">$D$2*SUM( ( 0.5 * ($B$12:$B$14)  - B267 * LN( 1 - EXP( - ($B$12:$B$14) / B267 ) ) ) )</f>
        <v>65509.622089787874</v>
      </c>
      <c r="F267" s="3"/>
    </row>
    <row r="272" spans="1:12" ht="15" thickBot="1" x14ac:dyDescent="0.35">
      <c r="A272" s="2" t="s">
        <v>98</v>
      </c>
      <c r="B272" s="139" t="s">
        <v>96</v>
      </c>
      <c r="C272" s="139"/>
      <c r="D272" s="139"/>
      <c r="E272" s="139"/>
      <c r="F272" s="139"/>
      <c r="H272" s="139" t="s">
        <v>97</v>
      </c>
      <c r="I272" s="139"/>
      <c r="J272" s="139"/>
      <c r="K272" s="139"/>
      <c r="L272" s="139"/>
    </row>
    <row r="273" spans="1:12" ht="18" x14ac:dyDescent="0.3">
      <c r="A273" s="2" t="s">
        <v>77</v>
      </c>
      <c r="B273" s="58" t="s">
        <v>23</v>
      </c>
      <c r="C273" s="37" t="s">
        <v>73</v>
      </c>
      <c r="D273" s="37" t="s">
        <v>10</v>
      </c>
      <c r="E273" s="37" t="s">
        <v>11</v>
      </c>
      <c r="F273" s="37" t="s">
        <v>74</v>
      </c>
      <c r="H273" s="58" t="s">
        <v>23</v>
      </c>
      <c r="I273" s="96" t="s">
        <v>73</v>
      </c>
      <c r="J273" s="96" t="s">
        <v>10</v>
      </c>
      <c r="K273" s="96" t="s">
        <v>11</v>
      </c>
      <c r="L273" s="37" t="s">
        <v>74</v>
      </c>
    </row>
    <row r="274" spans="1:12" ht="15" thickBot="1" x14ac:dyDescent="0.35">
      <c r="B274" s="56">
        <f>300</f>
        <v>300</v>
      </c>
      <c r="C274" s="63">
        <f>3/2*$D$2 + $D$2</f>
        <v>20.786180000000002</v>
      </c>
      <c r="D274" s="63">
        <f>3/2*$D$2  + $D$2</f>
        <v>20.786180000000002</v>
      </c>
      <c r="E274" s="63" cm="1">
        <f t="array" ref="E274">$D$2*SUM( ( ($B$12:$B$14) * ($B$12:$B$14)* EXP($B$12:$B$14/B274) ) / ( B274*B274* ( EXP(( $B$12:$B$14)/B274 )  -1)^2 ) ) +   $D$2</f>
        <v>8.5396103132895309</v>
      </c>
      <c r="F274" s="64" t="s">
        <v>81</v>
      </c>
      <c r="H274" s="56">
        <f>300</f>
        <v>300</v>
      </c>
      <c r="I274" s="86">
        <f>(3/2*$D$2  + $D$2)/ 4.184</f>
        <v>4.9680162523900577</v>
      </c>
      <c r="J274" s="86">
        <f>(3/2*$D$2 + $D$2) / 4.184</f>
        <v>4.9680162523900577</v>
      </c>
      <c r="K274" s="86" cm="1">
        <f t="array" ref="K274">$D$2*SUM( ( ($B$12:$B$14) * ($B$12:$B$14)* EXP($B$12:$B$14/B274) ) / ( B274*B274* ( EXP(( $B$12:$B$14)/B274 )  -1)^2 ) ) +   $D$2/ 4.184</f>
        <v>2.2123448142455535</v>
      </c>
      <c r="L274" s="88" t="s">
        <v>81</v>
      </c>
    </row>
    <row r="275" spans="1:12" x14ac:dyDescent="0.3">
      <c r="B275" s="56">
        <f>B274+100</f>
        <v>400</v>
      </c>
      <c r="C275" s="63">
        <f t="shared" ref="C275:C292" si="56">3/2*$D$2 + $D$2</f>
        <v>20.786180000000002</v>
      </c>
      <c r="D275" s="63">
        <f t="shared" ref="D275:D292" si="57">3/2*$D$2  + $D$2</f>
        <v>20.786180000000002</v>
      </c>
      <c r="E275" s="63" cm="1">
        <f t="array" ref="E275">$D$2*SUM( ( ($B$12:$B$14) * ($B$12:$B$14)* EXP($B$12:$B$14/B275) ) / ( B275*B275* ( EXP(( $B$12:$B$14)/B275 )  -1)^2 ) ) +   $D$2</f>
        <v>9.1878597920697107</v>
      </c>
      <c r="H275" s="56">
        <f>H274+100</f>
        <v>400</v>
      </c>
      <c r="I275" s="63">
        <f t="shared" ref="I275:I292" si="58">(3/2*$D$2  + $D$2)/ 4.184</f>
        <v>4.9680162523900577</v>
      </c>
      <c r="J275" s="63">
        <f t="shared" ref="J275:J292" si="59">(3/2*$D$2 + $D$2) / 4.184</f>
        <v>4.9680162523900577</v>
      </c>
      <c r="K275" s="63" cm="1">
        <f t="array" ref="K275">$D$2*SUM( ( ($B$12:$B$14) * ($B$12:$B$14)* EXP($B$12:$B$14/B275) ) / ( B275*B275* ( EXP(( $B$12:$B$14)/B275)  -1)^2 ) ) +   $D$2 / 4.184</f>
        <v>2.8605942930257338</v>
      </c>
    </row>
    <row r="276" spans="1:12" x14ac:dyDescent="0.3">
      <c r="B276" s="56">
        <f t="shared" ref="B276:B292" si="60">B275+100</f>
        <v>500</v>
      </c>
      <c r="C276" s="63">
        <f t="shared" si="56"/>
        <v>20.786180000000002</v>
      </c>
      <c r="D276" s="63">
        <f t="shared" si="57"/>
        <v>20.786180000000002</v>
      </c>
      <c r="E276" s="63" cm="1">
        <f t="array" ref="E276">$D$2*SUM( ( ($B$12:$B$14) * ($B$12:$B$14)* EXP($B$12:$B$14/B276) ) / ( B276*B276* ( EXP(( $B$12:$B$14)/B276 )  -1)^2 ) ) +   $D$2</f>
        <v>10.134727157046813</v>
      </c>
      <c r="H276" s="56">
        <f t="shared" ref="H276:H292" si="61">H275+100</f>
        <v>500</v>
      </c>
      <c r="I276" s="63">
        <f t="shared" si="58"/>
        <v>4.9680162523900577</v>
      </c>
      <c r="J276" s="63">
        <f t="shared" si="59"/>
        <v>4.9680162523900577</v>
      </c>
      <c r="K276" s="63" cm="1">
        <f t="array" ref="K276">$D$2*SUM( ( ($B$12:$B$14) * ($B$12:$B$14)* EXP($B$12:$B$14/B276) ) / ( B276*B276* ( EXP(( $B$12:$B$14)/B276)  -1)^2 ) ) +   $D$2 / 4.184</f>
        <v>3.8074616580028362</v>
      </c>
    </row>
    <row r="277" spans="1:12" x14ac:dyDescent="0.3">
      <c r="B277" s="56">
        <f t="shared" si="60"/>
        <v>600</v>
      </c>
      <c r="C277" s="63">
        <f t="shared" si="56"/>
        <v>20.786180000000002</v>
      </c>
      <c r="D277" s="63">
        <f t="shared" si="57"/>
        <v>20.786180000000002</v>
      </c>
      <c r="E277" s="63" cm="1">
        <f t="array" ref="E277">$D$2*SUM( ( ($B$12:$B$14) * ($B$12:$B$14)* EXP($B$12:$B$14/B277) ) / ( B277*B277* ( EXP(( $B$12:$B$14)/B277 )  -1)^2 ) ) +   $D$2</f>
        <v>11.194228807077215</v>
      </c>
      <c r="H277" s="56">
        <f t="shared" si="61"/>
        <v>600</v>
      </c>
      <c r="I277" s="63">
        <f t="shared" si="58"/>
        <v>4.9680162523900577</v>
      </c>
      <c r="J277" s="63">
        <f t="shared" si="59"/>
        <v>4.9680162523900577</v>
      </c>
      <c r="K277" s="63" cm="1">
        <f t="array" ref="K277">$D$2*SUM( ( ($B$12:$B$14) * ($B$12:$B$14)* EXP($B$12:$B$14/B277) ) / ( B277*B277* ( EXP(( $B$12:$B$14)/B277)  -1)^2 ) ) +   $D$2 / 4.184</f>
        <v>4.8669633080332373</v>
      </c>
    </row>
    <row r="278" spans="1:12" x14ac:dyDescent="0.3">
      <c r="B278" s="56">
        <f t="shared" si="60"/>
        <v>700</v>
      </c>
      <c r="C278" s="63">
        <f t="shared" si="56"/>
        <v>20.786180000000002</v>
      </c>
      <c r="D278" s="63">
        <f t="shared" si="57"/>
        <v>20.786180000000002</v>
      </c>
      <c r="E278" s="63" cm="1">
        <f t="array" ref="E278">$D$2*SUM( ( ($B$12:$B$14) * ($B$12:$B$14)* EXP($B$12:$B$14/B278) ) / ( B278*B278* ( EXP(( $B$12:$B$14)/B278 )  -1)^2 ) ) +   $D$2</f>
        <v>12.293983139768969</v>
      </c>
      <c r="H278" s="56">
        <f t="shared" si="61"/>
        <v>700</v>
      </c>
      <c r="I278" s="63">
        <f t="shared" si="58"/>
        <v>4.9680162523900577</v>
      </c>
      <c r="J278" s="63">
        <f t="shared" si="59"/>
        <v>4.9680162523900577</v>
      </c>
      <c r="K278" s="63" cm="1">
        <f t="array" ref="K278">$D$2*SUM( ( ($B$12:$B$14) * ($B$12:$B$14)* EXP($B$12:$B$14/B278) ) / ( B278*B278* ( EXP(( $B$12:$B$14)/B278)  -1)^2 ) ) +   $D$2 / 4.184</f>
        <v>5.9667176407249904</v>
      </c>
    </row>
    <row r="279" spans="1:12" x14ac:dyDescent="0.3">
      <c r="B279" s="56">
        <f t="shared" si="60"/>
        <v>800</v>
      </c>
      <c r="C279" s="63">
        <f t="shared" si="56"/>
        <v>20.786180000000002</v>
      </c>
      <c r="D279" s="63">
        <f t="shared" si="57"/>
        <v>20.786180000000002</v>
      </c>
      <c r="E279" s="63" cm="1">
        <f t="array" ref="E279">$D$2*SUM( ( ($B$12:$B$14) * ($B$12:$B$14)* EXP($B$12:$B$14/B279) ) / ( B279*B279* ( EXP(( $B$12:$B$14)/B279 )  -1)^2 ) ) +   $D$2</f>
        <v>13.422417367802048</v>
      </c>
      <c r="H279" s="56">
        <f t="shared" si="61"/>
        <v>800</v>
      </c>
      <c r="I279" s="63">
        <f t="shared" si="58"/>
        <v>4.9680162523900577</v>
      </c>
      <c r="J279" s="63">
        <f t="shared" si="59"/>
        <v>4.9680162523900577</v>
      </c>
      <c r="K279" s="63" cm="1">
        <f t="array" ref="K279">$D$2*SUM( ( ($B$12:$B$14) * ($B$12:$B$14)* EXP($B$12:$B$14/B279) ) / ( B279*B279* ( EXP(( $B$12:$B$14)/B279)  -1)^2 ) ) +   $D$2 / 4.184</f>
        <v>7.0951518687580704</v>
      </c>
    </row>
    <row r="280" spans="1:12" x14ac:dyDescent="0.3">
      <c r="B280" s="56">
        <f t="shared" si="60"/>
        <v>900</v>
      </c>
      <c r="C280" s="63">
        <f t="shared" si="56"/>
        <v>20.786180000000002</v>
      </c>
      <c r="D280" s="63">
        <f t="shared" si="57"/>
        <v>20.786180000000002</v>
      </c>
      <c r="E280" s="63" cm="1">
        <f t="array" ref="E280">$D$2*SUM( ( ($B$12:$B$14) * ($B$12:$B$14)* EXP($B$12:$B$14/B280) ) / ( B280*B280* ( EXP(( $B$12:$B$14)/B280 )  -1)^2 ) ) +   $D$2</f>
        <v>14.574700250449261</v>
      </c>
      <c r="H280" s="56">
        <f t="shared" si="61"/>
        <v>900</v>
      </c>
      <c r="I280" s="63">
        <f t="shared" si="58"/>
        <v>4.9680162523900577</v>
      </c>
      <c r="J280" s="63">
        <f t="shared" si="59"/>
        <v>4.9680162523900577</v>
      </c>
      <c r="K280" s="63" cm="1">
        <f t="array" ref="K280">$D$2*SUM( ( ($B$12:$B$14) * ($B$12:$B$14)* EXP($B$12:$B$14/B280) ) / ( B280*B280* ( EXP(( $B$12:$B$14)/B280)  -1)^2 ) ) +   $D$2 / 4.184</f>
        <v>8.2474347514052848</v>
      </c>
    </row>
    <row r="281" spans="1:12" x14ac:dyDescent="0.3">
      <c r="B281" s="56">
        <f t="shared" si="60"/>
        <v>1000</v>
      </c>
      <c r="C281" s="63">
        <f t="shared" si="56"/>
        <v>20.786180000000002</v>
      </c>
      <c r="D281" s="63">
        <f t="shared" si="57"/>
        <v>20.786180000000002</v>
      </c>
      <c r="E281" s="63" cm="1">
        <f t="array" ref="E281">$D$2*SUM( ( ($B$12:$B$14) * ($B$12:$B$14)* EXP($B$12:$B$14/B281) ) / ( B281*B281* ( EXP(( $B$12:$B$14)/B281 )  -1)^2 ) ) +   $D$2</f>
        <v>15.73698431670535</v>
      </c>
      <c r="H281" s="56">
        <f t="shared" si="61"/>
        <v>1000</v>
      </c>
      <c r="I281" s="63">
        <f t="shared" si="58"/>
        <v>4.9680162523900577</v>
      </c>
      <c r="J281" s="63">
        <f t="shared" si="59"/>
        <v>4.9680162523900577</v>
      </c>
      <c r="K281" s="63" cm="1">
        <f t="array" ref="K281">$D$2*SUM( ( ($B$12:$B$14) * ($B$12:$B$14)* EXP($B$12:$B$14/B281) ) / ( B281*B281* ( EXP(( $B$12:$B$14)/B281)  -1)^2 ) ) +   $D$2 / 4.184</f>
        <v>9.4097188176613731</v>
      </c>
    </row>
    <row r="282" spans="1:12" x14ac:dyDescent="0.3">
      <c r="B282" s="56">
        <f t="shared" si="60"/>
        <v>1100</v>
      </c>
      <c r="C282" s="63">
        <f t="shared" si="56"/>
        <v>20.786180000000002</v>
      </c>
      <c r="D282" s="63">
        <f t="shared" si="57"/>
        <v>20.786180000000002</v>
      </c>
      <c r="E282" s="63" cm="1">
        <f t="array" ref="E282">$D$2*SUM( ( ($B$12:$B$14) * ($B$12:$B$14)* EXP($B$12:$B$14/B282) ) / ( B282*B282* ( EXP(( $B$12:$B$14)/B282 )  -1)^2 ) ) +   $D$2</f>
        <v>16.889225572541356</v>
      </c>
      <c r="H282" s="56">
        <f t="shared" si="61"/>
        <v>1100</v>
      </c>
      <c r="I282" s="63">
        <f t="shared" si="58"/>
        <v>4.9680162523900577</v>
      </c>
      <c r="J282" s="63">
        <f t="shared" si="59"/>
        <v>4.9680162523900577</v>
      </c>
      <c r="K282" s="63" cm="1">
        <f t="array" ref="K282">$D$2*SUM( ( ($B$12:$B$14) * ($B$12:$B$14)* EXP($B$12:$B$14/B282) ) / ( B282*B282* ( EXP(( $B$12:$B$14)/B282)  -1)^2 ) ) +   $D$2 / 4.184</f>
        <v>10.561960073497378</v>
      </c>
    </row>
    <row r="283" spans="1:12" x14ac:dyDescent="0.3">
      <c r="B283" s="56">
        <f t="shared" si="60"/>
        <v>1200</v>
      </c>
      <c r="C283" s="63">
        <f t="shared" si="56"/>
        <v>20.786180000000002</v>
      </c>
      <c r="D283" s="63">
        <f t="shared" si="57"/>
        <v>20.786180000000002</v>
      </c>
      <c r="E283" s="63" cm="1">
        <f t="array" ref="E283">$D$2*SUM( ( ($B$12:$B$14) * ($B$12:$B$14)* EXP($B$12:$B$14/B283) ) / ( B283*B283* ( EXP(( $B$12:$B$14)/B283 )  -1)^2 ) ) +   $D$2</f>
        <v>18.011153455482603</v>
      </c>
      <c r="H283" s="56">
        <f t="shared" si="61"/>
        <v>1200</v>
      </c>
      <c r="I283" s="63">
        <f t="shared" si="58"/>
        <v>4.9680162523900577</v>
      </c>
      <c r="J283" s="63">
        <f t="shared" si="59"/>
        <v>4.9680162523900577</v>
      </c>
      <c r="K283" s="63" cm="1">
        <f t="array" ref="K283">$D$2*SUM( ( ($B$12:$B$14) * ($B$12:$B$14)* EXP($B$12:$B$14/B283) ) / ( B283*B283* ( EXP(( $B$12:$B$14)/B283)  -1)^2 ) ) +   $D$2 / 4.184</f>
        <v>11.683887956438625</v>
      </c>
    </row>
    <row r="284" spans="1:12" x14ac:dyDescent="0.3">
      <c r="B284" s="56">
        <f t="shared" si="60"/>
        <v>1300</v>
      </c>
      <c r="C284" s="63">
        <f t="shared" si="56"/>
        <v>20.786180000000002</v>
      </c>
      <c r="D284" s="63">
        <f t="shared" si="57"/>
        <v>20.786180000000002</v>
      </c>
      <c r="E284" s="63" cm="1">
        <f t="array" ref="E284">$D$2*SUM( ( ($B$12:$B$14) * ($B$12:$B$14)* EXP($B$12:$B$14/B284) ) / ( B284*B284* ( EXP(( $B$12:$B$14)/B284 )  -1)^2 ) ) +   $D$2</f>
        <v>19.086135657071949</v>
      </c>
      <c r="H284" s="56">
        <f t="shared" si="61"/>
        <v>1300</v>
      </c>
      <c r="I284" s="63">
        <f t="shared" si="58"/>
        <v>4.9680162523900577</v>
      </c>
      <c r="J284" s="63">
        <f t="shared" si="59"/>
        <v>4.9680162523900577</v>
      </c>
      <c r="K284" s="63" cm="1">
        <f t="array" ref="K284">$D$2*SUM( ( ($B$12:$B$14) * ($B$12:$B$14)* EXP($B$12:$B$14/B284) ) / ( B284*B284* ( EXP(( $B$12:$B$14)/B284)  -1)^2 ) ) +   $D$2 / 4.184</f>
        <v>12.758870158027971</v>
      </c>
    </row>
    <row r="285" spans="1:12" x14ac:dyDescent="0.3">
      <c r="B285" s="56">
        <f t="shared" si="60"/>
        <v>1400</v>
      </c>
      <c r="C285" s="63">
        <f t="shared" si="56"/>
        <v>20.786180000000002</v>
      </c>
      <c r="D285" s="63">
        <f t="shared" si="57"/>
        <v>20.786180000000002</v>
      </c>
      <c r="E285" s="63" cm="1">
        <f t="array" ref="E285">$D$2*SUM( ( ($B$12:$B$14) * ($B$12:$B$14)* EXP($B$12:$B$14/B285) ) / ( B285*B285* ( EXP(( $B$12:$B$14)/B285 )  -1)^2 ) ) +   $D$2</f>
        <v>20.102563176062798</v>
      </c>
      <c r="H285" s="56">
        <f t="shared" si="61"/>
        <v>1400</v>
      </c>
      <c r="I285" s="63">
        <f t="shared" si="58"/>
        <v>4.9680162523900577</v>
      </c>
      <c r="J285" s="63">
        <f t="shared" si="59"/>
        <v>4.9680162523900577</v>
      </c>
      <c r="K285" s="63" cm="1">
        <f t="array" ref="K285">$D$2*SUM( ( ($B$12:$B$14) * ($B$12:$B$14)* EXP($B$12:$B$14/B285) ) / ( B285*B285* ( EXP(( $B$12:$B$14)/B285)  -1)^2 ) ) +   $D$2 / 4.184</f>
        <v>13.77529767701882</v>
      </c>
    </row>
    <row r="286" spans="1:12" x14ac:dyDescent="0.3">
      <c r="B286" s="56">
        <f t="shared" si="60"/>
        <v>1500</v>
      </c>
      <c r="C286" s="63">
        <f t="shared" si="56"/>
        <v>20.786180000000002</v>
      </c>
      <c r="D286" s="63">
        <f t="shared" si="57"/>
        <v>20.786180000000002</v>
      </c>
      <c r="E286" s="63" cm="1">
        <f t="array" ref="E286">$D$2*SUM( ( ($B$12:$B$14) * ($B$12:$B$14)* EXP($B$12:$B$14/B286) ) / ( B286*B286* ( EXP(( $B$12:$B$14)/B286 )  -1)^2 ) ) +   $D$2</f>
        <v>21.053674612229834</v>
      </c>
      <c r="H286" s="56">
        <f t="shared" si="61"/>
        <v>1500</v>
      </c>
      <c r="I286" s="63">
        <f t="shared" si="58"/>
        <v>4.9680162523900577</v>
      </c>
      <c r="J286" s="63">
        <f t="shared" si="59"/>
        <v>4.9680162523900577</v>
      </c>
      <c r="K286" s="63" cm="1">
        <f t="array" ref="K286">$D$2*SUM( ( ($B$12:$B$14) * ($B$12:$B$14)* EXP($B$12:$B$14/B286) ) / ( B286*B286* ( EXP(( $B$12:$B$14)/B286)  -1)^2 ) ) +   $D$2 / 4.184</f>
        <v>14.726409113185856</v>
      </c>
    </row>
    <row r="287" spans="1:12" x14ac:dyDescent="0.3">
      <c r="B287" s="56">
        <f t="shared" si="60"/>
        <v>1600</v>
      </c>
      <c r="C287" s="63">
        <f t="shared" si="56"/>
        <v>20.786180000000002</v>
      </c>
      <c r="D287" s="63">
        <f t="shared" si="57"/>
        <v>20.786180000000002</v>
      </c>
      <c r="E287" s="63" cm="1">
        <f t="array" ref="E287">$D$2*SUM( ( ($B$12:$B$14) * ($B$12:$B$14)* EXP($B$12:$B$14/B287) ) / ( B287*B287* ( EXP(( $B$12:$B$14)/B287 )  -1)^2 ) ) +   $D$2</f>
        <v>21.936686037591578</v>
      </c>
      <c r="H287" s="56">
        <f t="shared" si="61"/>
        <v>1600</v>
      </c>
      <c r="I287" s="63">
        <f t="shared" si="58"/>
        <v>4.9680162523900577</v>
      </c>
      <c r="J287" s="63">
        <f t="shared" si="59"/>
        <v>4.9680162523900577</v>
      </c>
      <c r="K287" s="63" cm="1">
        <f t="array" ref="K287">$D$2*SUM( ( ($B$12:$B$14) * ($B$12:$B$14)* EXP($B$12:$B$14/B287) ) / ( B287*B287* ( EXP(( $B$12:$B$14)/B287)  -1)^2 ) ) +   $D$2 / 4.184</f>
        <v>15.609420538547603</v>
      </c>
    </row>
    <row r="288" spans="1:12" x14ac:dyDescent="0.3">
      <c r="B288" s="56">
        <f t="shared" si="60"/>
        <v>1700</v>
      </c>
      <c r="C288" s="63">
        <f t="shared" si="56"/>
        <v>20.786180000000002</v>
      </c>
      <c r="D288" s="63">
        <f t="shared" si="57"/>
        <v>20.786180000000002</v>
      </c>
      <c r="E288" s="63" cm="1">
        <f t="array" ref="E288">$D$2*SUM( ( ($B$12:$B$14) * ($B$12:$B$14)* EXP($B$12:$B$14/B288) ) / ( B288*B288* ( EXP(( $B$12:$B$14)/B288 )  -1)^2 ) ) +   $D$2</f>
        <v>22.751759176187583</v>
      </c>
      <c r="H288" s="56">
        <f t="shared" si="61"/>
        <v>1700</v>
      </c>
      <c r="I288" s="63">
        <f t="shared" si="58"/>
        <v>4.9680162523900577</v>
      </c>
      <c r="J288" s="63">
        <f t="shared" si="59"/>
        <v>4.9680162523900577</v>
      </c>
      <c r="K288" s="63" cm="1">
        <f t="array" ref="K288">$D$2*SUM( ( ($B$12:$B$14) * ($B$12:$B$14)* EXP($B$12:$B$14/B288) ) / ( B288*B288* ( EXP(( $B$12:$B$14)/B288)  -1)^2 ) ) +   $D$2 / 4.184</f>
        <v>16.424493677143605</v>
      </c>
    </row>
    <row r="289" spans="2:12" x14ac:dyDescent="0.3">
      <c r="B289" s="56">
        <f t="shared" si="60"/>
        <v>1800</v>
      </c>
      <c r="C289" s="63">
        <f t="shared" si="56"/>
        <v>20.786180000000002</v>
      </c>
      <c r="D289" s="63">
        <f t="shared" si="57"/>
        <v>20.786180000000002</v>
      </c>
      <c r="E289" s="63" cm="1">
        <f t="array" ref="E289">$D$2*SUM( ( ($B$12:$B$14) * ($B$12:$B$14)* EXP($B$12:$B$14/B289) ) / ( B289*B289* ( EXP(( $B$12:$B$14)/B289 )  -1)^2 ) ) +   $D$2</f>
        <v>23.501064472543256</v>
      </c>
      <c r="H289" s="56">
        <f t="shared" si="61"/>
        <v>1800</v>
      </c>
      <c r="I289" s="63">
        <f t="shared" si="58"/>
        <v>4.9680162523900577</v>
      </c>
      <c r="J289" s="63">
        <f t="shared" si="59"/>
        <v>4.9680162523900577</v>
      </c>
      <c r="K289" s="63" cm="1">
        <f t="array" ref="K289">$D$2*SUM( ( ($B$12:$B$14) * ($B$12:$B$14)* EXP($B$12:$B$14/B289) ) / ( B289*B289* ( EXP(( $B$12:$B$14)/B289)  -1)^2 ) ) +   $D$2 / 4.184</f>
        <v>17.173798973499277</v>
      </c>
    </row>
    <row r="290" spans="2:12" x14ac:dyDescent="0.3">
      <c r="B290" s="56">
        <f t="shared" si="60"/>
        <v>1900</v>
      </c>
      <c r="C290" s="63">
        <f t="shared" si="56"/>
        <v>20.786180000000002</v>
      </c>
      <c r="D290" s="63">
        <f t="shared" si="57"/>
        <v>20.786180000000002</v>
      </c>
      <c r="E290" s="63" cm="1">
        <f t="array" ref="E290">$D$2*SUM( ( ($B$12:$B$14) * ($B$12:$B$14)* EXP($B$12:$B$14/B290) ) / ( B290*B290* ( EXP(( $B$12:$B$14)/B290 )  -1)^2 ) ) +   $D$2</f>
        <v>24.188029300769063</v>
      </c>
      <c r="H290" s="56">
        <f t="shared" si="61"/>
        <v>1900</v>
      </c>
      <c r="I290" s="63">
        <f t="shared" si="58"/>
        <v>4.9680162523900577</v>
      </c>
      <c r="J290" s="63">
        <f t="shared" si="59"/>
        <v>4.9680162523900577</v>
      </c>
      <c r="K290" s="63" cm="1">
        <f t="array" ref="K290">$D$2*SUM( ( ($B$12:$B$14) * ($B$12:$B$14)* EXP($B$12:$B$14/B290) ) / ( B290*B290* ( EXP(( $B$12:$B$14)/B290)  -1)^2 ) ) +   $D$2 / 4.184</f>
        <v>17.860763801725085</v>
      </c>
    </row>
    <row r="291" spans="2:12" x14ac:dyDescent="0.3">
      <c r="B291" s="56">
        <f t="shared" si="60"/>
        <v>2000</v>
      </c>
      <c r="C291" s="63">
        <f t="shared" si="56"/>
        <v>20.786180000000002</v>
      </c>
      <c r="D291" s="63">
        <f t="shared" si="57"/>
        <v>20.786180000000002</v>
      </c>
      <c r="E291" s="63" cm="1">
        <f t="array" ref="E291">$D$2*SUM( ( ($B$12:$B$14) * ($B$12:$B$14)* EXP($B$12:$B$14/B291) ) / ( B291*B291* ( EXP(( $B$12:$B$14)/B291 )  -1)^2 ) ) +   $D$2</f>
        <v>24.816778405847245</v>
      </c>
      <c r="H291" s="56">
        <f t="shared" si="61"/>
        <v>2000</v>
      </c>
      <c r="I291" s="63">
        <f t="shared" si="58"/>
        <v>4.9680162523900577</v>
      </c>
      <c r="J291" s="63">
        <f t="shared" si="59"/>
        <v>4.9680162523900577</v>
      </c>
      <c r="K291" s="63" cm="1">
        <f t="array" ref="K291">$D$2*SUM( ( ($B$12:$B$14) * ($B$12:$B$14)* EXP($B$12:$B$14/B291) ) / ( B291*B291* ( EXP(( $B$12:$B$14)/B291)  -1)^2 ) ) +   $D$2 / 4.184</f>
        <v>18.489512906803267</v>
      </c>
    </row>
    <row r="292" spans="2:12" ht="15" thickBot="1" x14ac:dyDescent="0.35">
      <c r="B292" s="31">
        <f t="shared" si="60"/>
        <v>2100</v>
      </c>
      <c r="C292" s="64">
        <f t="shared" si="56"/>
        <v>20.786180000000002</v>
      </c>
      <c r="D292" s="64">
        <f t="shared" si="57"/>
        <v>20.786180000000002</v>
      </c>
      <c r="E292" s="64" cm="1">
        <f t="array" ref="E292">$D$2*SUM( ( ($B$12:$B$14) * ($B$12:$B$14)* EXP($B$12:$B$14/B292) ) / ( B292*B292* ( EXP(( $B$12:$B$14)/B292 )  -1)^2 ) ) +   $D$2</f>
        <v>25.391739679112746</v>
      </c>
      <c r="F292" s="3"/>
      <c r="H292" s="31">
        <f t="shared" si="61"/>
        <v>2100</v>
      </c>
      <c r="I292" s="64">
        <f t="shared" si="58"/>
        <v>4.9680162523900577</v>
      </c>
      <c r="J292" s="64">
        <f t="shared" si="59"/>
        <v>4.9680162523900577</v>
      </c>
      <c r="K292" s="64" cm="1">
        <f t="array" ref="K292">$D$2*SUM( ( ($B$12:$B$14) * ($B$12:$B$14)* EXP($B$12:$B$14/B292) ) / ( B292*B292* ( EXP(( $B$12:$B$14)/B292)  -1)^2 ) ) +   $D$2 / 4.184</f>
        <v>19.064474180068768</v>
      </c>
      <c r="L292" s="3"/>
    </row>
  </sheetData>
  <mergeCells count="14">
    <mergeCell ref="B272:F272"/>
    <mergeCell ref="H272:L272"/>
    <mergeCell ref="D52:W52"/>
    <mergeCell ref="B174:F174"/>
    <mergeCell ref="H174:K174"/>
    <mergeCell ref="M177:N177"/>
    <mergeCell ref="M178:N178"/>
    <mergeCell ref="B200:F200"/>
    <mergeCell ref="H200:L200"/>
    <mergeCell ref="M204:N204"/>
    <mergeCell ref="M205:N205"/>
    <mergeCell ref="B224:F224"/>
    <mergeCell ref="H224:L224"/>
    <mergeCell ref="M228:N228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A440-968A-414E-BA45-231B6EB47910}">
  <dimension ref="A1:W292"/>
  <sheetViews>
    <sheetView topLeftCell="A53" zoomScale="88" workbookViewId="0">
      <selection activeCell="A79" sqref="A79"/>
    </sheetView>
  </sheetViews>
  <sheetFormatPr defaultRowHeight="14.4" x14ac:dyDescent="0.3"/>
  <cols>
    <col min="1" max="1" width="29.88671875" style="2" bestFit="1" customWidth="1"/>
    <col min="2" max="2" width="16.5546875" style="2" bestFit="1" customWidth="1"/>
    <col min="3" max="3" width="14.6640625" style="2" bestFit="1" customWidth="1"/>
    <col min="4" max="4" width="29.88671875" style="2" bestFit="1" customWidth="1"/>
    <col min="5" max="5" width="14.6640625" style="2" bestFit="1" customWidth="1"/>
    <col min="6" max="6" width="19.44140625" style="2" bestFit="1" customWidth="1"/>
    <col min="7" max="7" width="16" style="2" bestFit="1" customWidth="1"/>
    <col min="8" max="8" width="19.21875" style="2" bestFit="1" customWidth="1"/>
    <col min="9" max="9" width="16.77734375" style="2" bestFit="1" customWidth="1"/>
    <col min="10" max="10" width="20.33203125" style="2" bestFit="1" customWidth="1"/>
    <col min="11" max="11" width="21.109375" style="2" bestFit="1" customWidth="1"/>
    <col min="12" max="12" width="15.21875" style="2" bestFit="1" customWidth="1"/>
    <col min="13" max="14" width="20.33203125" style="2" bestFit="1" customWidth="1"/>
    <col min="15" max="15" width="14.77734375" style="2" bestFit="1" customWidth="1"/>
    <col min="16" max="16" width="8.88671875" style="2"/>
    <col min="17" max="17" width="12.33203125" style="2" customWidth="1"/>
    <col min="18" max="18" width="12.77734375" style="2" bestFit="1" customWidth="1"/>
    <col min="19" max="19" width="16" style="2" bestFit="1" customWidth="1"/>
    <col min="20" max="16384" width="8.88671875" style="2"/>
  </cols>
  <sheetData>
    <row r="1" spans="1:21" x14ac:dyDescent="0.3">
      <c r="A1" s="65" t="s">
        <v>31</v>
      </c>
      <c r="B1" s="66" t="s">
        <v>0</v>
      </c>
      <c r="C1" s="67" t="s">
        <v>1</v>
      </c>
      <c r="D1" s="67" t="s">
        <v>2</v>
      </c>
      <c r="E1" s="67" t="s">
        <v>20</v>
      </c>
      <c r="F1" s="67" t="s">
        <v>32</v>
      </c>
      <c r="G1" s="67" t="s">
        <v>22</v>
      </c>
      <c r="H1" s="67" t="s">
        <v>33</v>
      </c>
      <c r="I1" s="67" t="s">
        <v>40</v>
      </c>
      <c r="J1" s="68" t="s">
        <v>44</v>
      </c>
    </row>
    <row r="2" spans="1:21" ht="15" thickBot="1" x14ac:dyDescent="0.35">
      <c r="A2" s="69">
        <v>1.3805999999999999E-23</v>
      </c>
      <c r="B2" s="70">
        <v>3.1415899999999999</v>
      </c>
      <c r="C2" s="70">
        <v>6.626068E-34</v>
      </c>
      <c r="D2" s="70">
        <v>8.3144720000000003</v>
      </c>
      <c r="E2" s="71">
        <f>27.99491*1.66E-27</f>
        <v>4.6471550600000001E-26</v>
      </c>
      <c r="F2" s="70">
        <v>6.0221407599999999E+23</v>
      </c>
      <c r="G2" s="70">
        <f>((2*$E$2*$B$2*$A$2*$H$2)/($C$2*$C$2))^1.5</f>
        <v>1.4323077978979598E+32</v>
      </c>
      <c r="H2" s="71">
        <f>298.15</f>
        <v>298.14999999999998</v>
      </c>
      <c r="I2" s="91">
        <v>29979300000</v>
      </c>
      <c r="J2" s="90">
        <v>101325</v>
      </c>
    </row>
    <row r="3" spans="1:21" ht="15" thickBot="1" x14ac:dyDescent="0.35"/>
    <row r="4" spans="1:21" ht="15" thickBot="1" x14ac:dyDescent="0.35">
      <c r="E4" s="125" t="s">
        <v>25</v>
      </c>
      <c r="F4" s="126" t="s">
        <v>26</v>
      </c>
      <c r="G4" s="127" t="s">
        <v>27</v>
      </c>
      <c r="I4" s="12" t="s">
        <v>34</v>
      </c>
      <c r="J4" s="22" t="s">
        <v>35</v>
      </c>
      <c r="K4" s="22" t="s">
        <v>36</v>
      </c>
      <c r="L4" s="50" t="s">
        <v>37</v>
      </c>
    </row>
    <row r="5" spans="1:21" ht="16.8" thickBot="1" x14ac:dyDescent="0.35">
      <c r="B5" s="30" t="s">
        <v>29</v>
      </c>
      <c r="D5" s="37" t="s">
        <v>57</v>
      </c>
      <c r="E5" s="18">
        <v>0</v>
      </c>
      <c r="F5" s="21">
        <v>31.666409999999999</v>
      </c>
      <c r="G5" s="19">
        <v>31.666409999999999</v>
      </c>
      <c r="I5" s="51">
        <v>5.0169999999999998E-3</v>
      </c>
      <c r="J5" s="52">
        <f>I5*627.509474</f>
        <v>3.1482150310579997</v>
      </c>
      <c r="K5" s="52">
        <f>I5*4.35974E-18</f>
        <v>2.1872815579999998E-20</v>
      </c>
      <c r="L5" s="53">
        <f>(2*K5)/(C2)</f>
        <v>66020498370979.586</v>
      </c>
    </row>
    <row r="6" spans="1:21" ht="16.8" thickBot="1" x14ac:dyDescent="0.35">
      <c r="A6" s="7" t="s">
        <v>28</v>
      </c>
      <c r="B6" s="31">
        <v>1</v>
      </c>
      <c r="D6" s="31" t="s">
        <v>58</v>
      </c>
      <c r="E6" s="16">
        <f>E5*1.66E-47</f>
        <v>0</v>
      </c>
      <c r="F6" s="23">
        <f t="shared" ref="F6" si="0">F5*1.66E-47</f>
        <v>5.2566240599999996E-46</v>
      </c>
      <c r="G6" s="17">
        <f>G5 *1.66E-47</f>
        <v>5.2566240599999996E-46</v>
      </c>
      <c r="U6" s="5"/>
    </row>
    <row r="7" spans="1:21" ht="15" thickBot="1" x14ac:dyDescent="0.35">
      <c r="U7" s="5"/>
    </row>
    <row r="8" spans="1:21" ht="15" thickBot="1" x14ac:dyDescent="0.35">
      <c r="D8" s="32" t="s">
        <v>24</v>
      </c>
      <c r="E8" s="132">
        <v>56.992291999999999</v>
      </c>
      <c r="U8" s="5"/>
    </row>
    <row r="9" spans="1:21" ht="15" thickBot="1" x14ac:dyDescent="0.35">
      <c r="E9" s="64">
        <f>E8*1000000000</f>
        <v>56992292000</v>
      </c>
      <c r="F9" s="3"/>
      <c r="G9" s="3"/>
    </row>
    <row r="10" spans="1:21" ht="15" customHeight="1" thickBot="1" x14ac:dyDescent="0.35"/>
    <row r="11" spans="1:21" ht="15" customHeight="1" thickBot="1" x14ac:dyDescent="0.35">
      <c r="D11" s="32" t="s">
        <v>56</v>
      </c>
      <c r="E11" s="34">
        <v>2.7351999999999999</v>
      </c>
    </row>
    <row r="12" spans="1:21" ht="27" customHeight="1" thickBot="1" x14ac:dyDescent="0.35">
      <c r="A12" s="131" t="s">
        <v>30</v>
      </c>
      <c r="B12" s="34">
        <v>3168.7</v>
      </c>
      <c r="J12"/>
    </row>
    <row r="13" spans="1:21" ht="15" thickBot="1" x14ac:dyDescent="0.35">
      <c r="S13" s="5"/>
      <c r="T13" s="5"/>
    </row>
    <row r="14" spans="1:21" ht="15.6" x14ac:dyDescent="0.3">
      <c r="D14" s="24" t="s">
        <v>50</v>
      </c>
      <c r="E14" s="72"/>
      <c r="F14" s="67" t="s">
        <v>21</v>
      </c>
      <c r="G14" s="67" t="s">
        <v>82</v>
      </c>
      <c r="H14" s="68" t="s">
        <v>3</v>
      </c>
      <c r="J14"/>
    </row>
    <row r="15" spans="1:21" x14ac:dyDescent="0.3">
      <c r="E15" s="73"/>
      <c r="F15" s="77" t="s">
        <v>4</v>
      </c>
      <c r="G15" s="77" t="s">
        <v>5</v>
      </c>
      <c r="H15" s="78" t="s">
        <v>5</v>
      </c>
    </row>
    <row r="16" spans="1:21" x14ac:dyDescent="0.3">
      <c r="E16" s="73" t="s">
        <v>6</v>
      </c>
      <c r="F16" s="79">
        <v>4.63</v>
      </c>
      <c r="G16" s="79">
        <v>4.9729999999999999</v>
      </c>
      <c r="H16" s="80">
        <v>47.234000000000002</v>
      </c>
    </row>
    <row r="17" spans="1:10" x14ac:dyDescent="0.3">
      <c r="E17" s="73" t="s">
        <v>7</v>
      </c>
      <c r="F17" s="79" t="s">
        <v>8</v>
      </c>
      <c r="G17" s="79" t="s">
        <v>8</v>
      </c>
      <c r="H17" s="80">
        <v>0</v>
      </c>
    </row>
    <row r="18" spans="1:10" x14ac:dyDescent="0.3">
      <c r="E18" s="73" t="s">
        <v>9</v>
      </c>
      <c r="F18" s="79">
        <v>0.88900000000000001</v>
      </c>
      <c r="G18" s="79">
        <v>2.9809999999999999</v>
      </c>
      <c r="H18" s="80">
        <v>35.923000000000002</v>
      </c>
    </row>
    <row r="19" spans="1:10" x14ac:dyDescent="0.3">
      <c r="E19" s="73" t="s">
        <v>10</v>
      </c>
      <c r="F19" s="79">
        <v>0.59199999999999997</v>
      </c>
      <c r="G19" s="79">
        <v>1.9870000000000001</v>
      </c>
      <c r="H19" s="80">
        <v>11.31</v>
      </c>
    </row>
    <row r="20" spans="1:10" ht="15" thickBot="1" x14ac:dyDescent="0.35">
      <c r="E20" s="74" t="s">
        <v>11</v>
      </c>
      <c r="F20" s="81">
        <v>3.149</v>
      </c>
      <c r="G20" s="81">
        <v>5.0000000000000001E-3</v>
      </c>
      <c r="H20" s="82">
        <v>1E-3</v>
      </c>
    </row>
    <row r="21" spans="1:10" ht="15" thickBot="1" x14ac:dyDescent="0.35">
      <c r="F21" s="83"/>
      <c r="G21" s="83"/>
      <c r="H21" s="83"/>
    </row>
    <row r="22" spans="1:10" x14ac:dyDescent="0.3">
      <c r="E22" s="72"/>
      <c r="F22" s="68" t="s">
        <v>13</v>
      </c>
    </row>
    <row r="23" spans="1:10" x14ac:dyDescent="0.3">
      <c r="E23" s="73" t="s">
        <v>14</v>
      </c>
      <c r="F23" s="75">
        <v>3124030</v>
      </c>
      <c r="J23"/>
    </row>
    <row r="24" spans="1:10" x14ac:dyDescent="0.3">
      <c r="E24" s="73" t="s">
        <v>15</v>
      </c>
      <c r="F24" s="76">
        <v>634640000</v>
      </c>
    </row>
    <row r="25" spans="1:10" x14ac:dyDescent="0.3">
      <c r="E25" s="73" t="s">
        <v>16</v>
      </c>
      <c r="F25" s="75">
        <v>4.9226000000000001E-3</v>
      </c>
    </row>
    <row r="26" spans="1:10" x14ac:dyDescent="0.3">
      <c r="E26" s="73" t="s">
        <v>18</v>
      </c>
      <c r="F26" s="75">
        <v>1.00044</v>
      </c>
      <c r="G26" s="2" t="s">
        <v>51</v>
      </c>
    </row>
    <row r="27" spans="1:10" x14ac:dyDescent="0.3">
      <c r="E27" s="73" t="s">
        <v>7</v>
      </c>
      <c r="F27" s="76">
        <v>1</v>
      </c>
      <c r="G27" s="4"/>
    </row>
    <row r="28" spans="1:10" x14ac:dyDescent="0.3">
      <c r="E28" s="73" t="s">
        <v>9</v>
      </c>
      <c r="F28" s="76">
        <v>5822020</v>
      </c>
      <c r="G28" s="4"/>
    </row>
    <row r="29" spans="1:10" ht="15" thickBot="1" x14ac:dyDescent="0.35">
      <c r="E29" s="74" t="s">
        <v>10</v>
      </c>
      <c r="F29" s="100">
        <v>109.005</v>
      </c>
      <c r="G29" s="4"/>
    </row>
    <row r="30" spans="1:10" ht="15" thickBot="1" x14ac:dyDescent="0.35"/>
    <row r="31" spans="1:10" ht="16.2" x14ac:dyDescent="0.3">
      <c r="A31" s="18" t="s">
        <v>38</v>
      </c>
      <c r="B31" s="21" t="s">
        <v>39</v>
      </c>
      <c r="C31" s="54" t="s">
        <v>23</v>
      </c>
    </row>
    <row r="32" spans="1:10" ht="15" thickBot="1" x14ac:dyDescent="0.35">
      <c r="A32" s="133">
        <v>2202.3625000000002</v>
      </c>
      <c r="B32" s="9">
        <f>A32*$I$2</f>
        <v>66025286096250.008</v>
      </c>
      <c r="C32" s="56">
        <f>300</f>
        <v>300</v>
      </c>
    </row>
    <row r="33" spans="2:3" x14ac:dyDescent="0.3">
      <c r="B33" s="3"/>
      <c r="C33" s="56">
        <f>C32+100</f>
        <v>400</v>
      </c>
    </row>
    <row r="34" spans="2:3" x14ac:dyDescent="0.3">
      <c r="B34" s="3"/>
      <c r="C34" s="56">
        <f t="shared" ref="C34:C50" si="1">C33+100</f>
        <v>500</v>
      </c>
    </row>
    <row r="35" spans="2:3" x14ac:dyDescent="0.3">
      <c r="B35" s="3"/>
      <c r="C35" s="56">
        <f t="shared" si="1"/>
        <v>600</v>
      </c>
    </row>
    <row r="36" spans="2:3" x14ac:dyDescent="0.3">
      <c r="B36" s="3"/>
      <c r="C36" s="56">
        <f t="shared" si="1"/>
        <v>700</v>
      </c>
    </row>
    <row r="37" spans="2:3" x14ac:dyDescent="0.3">
      <c r="B37" s="3"/>
      <c r="C37" s="56">
        <f t="shared" si="1"/>
        <v>800</v>
      </c>
    </row>
    <row r="38" spans="2:3" x14ac:dyDescent="0.3">
      <c r="B38" s="3"/>
      <c r="C38" s="56">
        <f t="shared" si="1"/>
        <v>900</v>
      </c>
    </row>
    <row r="39" spans="2:3" x14ac:dyDescent="0.3">
      <c r="B39" s="3"/>
      <c r="C39" s="56">
        <f t="shared" si="1"/>
        <v>1000</v>
      </c>
    </row>
    <row r="40" spans="2:3" x14ac:dyDescent="0.3">
      <c r="B40" s="3"/>
      <c r="C40" s="56">
        <f t="shared" si="1"/>
        <v>1100</v>
      </c>
    </row>
    <row r="41" spans="2:3" x14ac:dyDescent="0.3">
      <c r="B41" s="3"/>
      <c r="C41" s="56">
        <f t="shared" si="1"/>
        <v>1200</v>
      </c>
    </row>
    <row r="42" spans="2:3" x14ac:dyDescent="0.3">
      <c r="B42" s="3"/>
      <c r="C42" s="56">
        <f t="shared" si="1"/>
        <v>1300</v>
      </c>
    </row>
    <row r="43" spans="2:3" x14ac:dyDescent="0.3">
      <c r="B43" s="3"/>
      <c r="C43" s="56">
        <f t="shared" si="1"/>
        <v>1400</v>
      </c>
    </row>
    <row r="44" spans="2:3" x14ac:dyDescent="0.3">
      <c r="B44" s="3"/>
      <c r="C44" s="56">
        <f t="shared" si="1"/>
        <v>1500</v>
      </c>
    </row>
    <row r="45" spans="2:3" x14ac:dyDescent="0.3">
      <c r="B45" s="3"/>
      <c r="C45" s="56">
        <f t="shared" si="1"/>
        <v>1600</v>
      </c>
    </row>
    <row r="46" spans="2:3" x14ac:dyDescent="0.3">
      <c r="B46" s="3"/>
      <c r="C46" s="56">
        <f t="shared" si="1"/>
        <v>1700</v>
      </c>
    </row>
    <row r="47" spans="2:3" x14ac:dyDescent="0.3">
      <c r="B47" s="3"/>
      <c r="C47" s="56">
        <f t="shared" si="1"/>
        <v>1800</v>
      </c>
    </row>
    <row r="48" spans="2:3" x14ac:dyDescent="0.3">
      <c r="B48" s="3"/>
      <c r="C48" s="56">
        <f t="shared" si="1"/>
        <v>1900</v>
      </c>
    </row>
    <row r="49" spans="1:23" x14ac:dyDescent="0.3">
      <c r="B49" s="3"/>
      <c r="C49" s="56">
        <f t="shared" si="1"/>
        <v>2000</v>
      </c>
    </row>
    <row r="50" spans="1:23" ht="15" thickBot="1" x14ac:dyDescent="0.35">
      <c r="C50" s="31">
        <f t="shared" si="1"/>
        <v>2100</v>
      </c>
    </row>
    <row r="51" spans="1:23" ht="15" thickBot="1" x14ac:dyDescent="0.35"/>
    <row r="52" spans="1:23" ht="19.8" thickBot="1" x14ac:dyDescent="0.35">
      <c r="D52" s="146" t="s">
        <v>41</v>
      </c>
      <c r="E52" s="147"/>
      <c r="F52" s="147"/>
      <c r="G52" s="147"/>
      <c r="H52" s="147"/>
      <c r="I52" s="147"/>
      <c r="J52" s="147"/>
      <c r="K52" s="147"/>
      <c r="L52" s="147"/>
      <c r="M52" s="147"/>
      <c r="N52" s="147"/>
      <c r="O52" s="147"/>
      <c r="P52" s="147"/>
      <c r="Q52" s="147"/>
      <c r="R52" s="147"/>
      <c r="S52" s="147"/>
      <c r="T52" s="147"/>
      <c r="U52" s="147"/>
      <c r="V52" s="147"/>
      <c r="W52" s="148"/>
    </row>
    <row r="53" spans="1:23" ht="16.2" thickBot="1" x14ac:dyDescent="0.35">
      <c r="A53" s="125" t="s">
        <v>105</v>
      </c>
      <c r="B53" s="94">
        <f t="shared" ref="B53" si="2">(EXP((-$C$2*B32)/(2*$A$2*C32))/(1 - EXP((-$C$2*B32)/($A$2*C32))))</f>
        <v>5.0855616014759113E-3</v>
      </c>
      <c r="D53" s="103" t="s">
        <v>52</v>
      </c>
      <c r="E53" s="41">
        <f>300</f>
        <v>300</v>
      </c>
      <c r="F53" s="41">
        <f t="shared" ref="F53:W53" si="3">E53+100</f>
        <v>400</v>
      </c>
      <c r="G53" s="41">
        <f t="shared" si="3"/>
        <v>500</v>
      </c>
      <c r="H53" s="41">
        <f t="shared" si="3"/>
        <v>600</v>
      </c>
      <c r="I53" s="41">
        <f t="shared" si="3"/>
        <v>700</v>
      </c>
      <c r="J53" s="41">
        <f t="shared" si="3"/>
        <v>800</v>
      </c>
      <c r="K53" s="41">
        <f t="shared" si="3"/>
        <v>900</v>
      </c>
      <c r="L53" s="41">
        <f t="shared" si="3"/>
        <v>1000</v>
      </c>
      <c r="M53" s="41">
        <f t="shared" si="3"/>
        <v>1100</v>
      </c>
      <c r="N53" s="41">
        <f t="shared" si="3"/>
        <v>1200</v>
      </c>
      <c r="O53" s="41">
        <f t="shared" si="3"/>
        <v>1300</v>
      </c>
      <c r="P53" s="41">
        <f t="shared" si="3"/>
        <v>1400</v>
      </c>
      <c r="Q53" s="41">
        <f t="shared" si="3"/>
        <v>1500</v>
      </c>
      <c r="R53" s="41">
        <f t="shared" si="3"/>
        <v>1600</v>
      </c>
      <c r="S53" s="41">
        <f t="shared" si="3"/>
        <v>1700</v>
      </c>
      <c r="T53" s="41">
        <f t="shared" si="3"/>
        <v>1800</v>
      </c>
      <c r="U53" s="41">
        <f t="shared" si="3"/>
        <v>1900</v>
      </c>
      <c r="V53" s="41">
        <f t="shared" si="3"/>
        <v>2000</v>
      </c>
      <c r="W53" s="104">
        <f t="shared" si="3"/>
        <v>2100</v>
      </c>
    </row>
    <row r="54" spans="1:23" ht="15" thickBot="1" x14ac:dyDescent="0.35">
      <c r="B54" s="3"/>
      <c r="D54" s="106">
        <f t="shared" ref="D54" si="4">A32*$I$2</f>
        <v>66025286096250.008</v>
      </c>
      <c r="E54" s="9">
        <f t="shared" ref="E54" si="5">(EXP((-$C$2*D54)/(2*$A$2*$E$53))/(1 - EXP((-$C$2*D54)/($A$2*$E$53))))</f>
        <v>5.0855616014759113E-3</v>
      </c>
      <c r="F54" s="9">
        <f t="shared" ref="F54" si="6">(EXP((-$C$2*D54)/(2*$A$2*$F$53))/(1 - EXP((-$C$2*D54)/($A$2*$F$53))))</f>
        <v>1.905036462695776E-2</v>
      </c>
      <c r="G54" s="9">
        <f t="shared" ref="G54" si="7">(EXP((-$C$2*D54)/(2*$A$2*$G$53))/(1 - EXP((-$C$2*D54)/($A$2*$G$53))))</f>
        <v>4.2127464502958852E-2</v>
      </c>
      <c r="H54" s="9">
        <f t="shared" ref="H54" si="8">(EXP((-$C$2*D54)/(2*$A$2*$H$53))/(1 - EXP((-$C$2*D54)/($A$2*$H$53))))</f>
        <v>7.1676708374438527E-2</v>
      </c>
      <c r="I54" s="9">
        <f t="shared" ref="I54" si="9">(EXP((-$C$2*D54)/(2*$A$2*$I$53))/(1 - EXP((-$C$2*D54)/($A$2*$I$53))))</f>
        <v>0.10512831786402568</v>
      </c>
      <c r="J54" s="9">
        <f t="shared" ref="J54" si="10">(EXP((-$C$2*D54)/(2*$A$2*$J$53))/(1 - EXP((-$C$2*D54)/($A$2*$J$53))))</f>
        <v>0.14067700514463524</v>
      </c>
      <c r="K54" s="9">
        <f t="shared" ref="K54" si="11">(EXP((-$C$2*D54)/(2*$A$2*$E$53))/(1 - EXP((-$C$2*D54)/($A$2*$E$53))))</f>
        <v>5.0855616014759113E-3</v>
      </c>
      <c r="L54" s="9">
        <f t="shared" ref="L54" si="12">(EXP((-$C$2*D54)/(2*$A$2*$L$53))/(1 - EXP((-$C$2*D54)/($A$2*$L$53))))</f>
        <v>0.21407049255196167</v>
      </c>
      <c r="M54" s="9">
        <f t="shared" ref="M54" si="13">(EXP((-$C$2*D54)/(2*$A$2*$M$53))/(1 - EXP((-$C$2*D54)/($A$2*$M$53))))</f>
        <v>0.25091327615760312</v>
      </c>
      <c r="N54" s="9">
        <f t="shared" ref="N54" si="14">(EXP((-$C$2*D54)/(2*$A$2*$N$53))/(1 - EXP((-$C$2*D54)/($A$2*$N$53))))</f>
        <v>0.28754921230523389</v>
      </c>
      <c r="O54" s="9">
        <f t="shared" ref="O54" si="15">(EXP((-$C$2*D54)/(2*$A$2*$O$53))/(1 - EXP((-$C$2*D54)/($A$2*$O$53))))</f>
        <v>0.32389045345441109</v>
      </c>
      <c r="P54" s="9">
        <f t="shared" ref="P54" si="16">(EXP((-$C$2*D54)/(2*$A$2*$P$53))/(1 - EXP((-$C$2*D54)/($A$2*$P$53))))</f>
        <v>0.35990396410113046</v>
      </c>
      <c r="Q54" s="9">
        <f t="shared" ref="Q54" si="17">(EXP((-$C$2*D54)/(2*$A$2*$Q$53))/(1 - EXP((-$C$2*D54)/($A$2*$Q$53))))</f>
        <v>0.39558668810852393</v>
      </c>
      <c r="R54" s="9">
        <f t="shared" ref="R54" si="18">(EXP((-$C$2*D54)/(2*$A$2*$R$53))/(1 - EXP((-$C$2*D54)/($A$2*$R$53))))</f>
        <v>0.43095128742753414</v>
      </c>
      <c r="S54" s="9">
        <f t="shared" ref="S54" si="19">(EXP((-$C$2*D54)/(2*$A$2*$S$53))/(1 - EXP((-$C$2*D54)/($A$2*$S$53))))</f>
        <v>0.46601801419030181</v>
      </c>
      <c r="T54" s="9">
        <f t="shared" ref="T54" si="20">(EXP((-$C$2*D54)/(2*$A$2*$T$53))/(1 - EXP((-$C$2*D54)/($A$2*$T$53))))</f>
        <v>0.50081013119069129</v>
      </c>
      <c r="U54" s="9">
        <f t="shared" ref="U54" si="21">(EXP((-$C$2*D54)/(2*$A$2*$U$53))/(1 - EXP((-$C$2*D54)/($A$2*$U$53))))</f>
        <v>0.53535138444043617</v>
      </c>
      <c r="V54" s="9">
        <f t="shared" ref="V54" si="22">(EXP((-$C$2*D54)/(2*$A$2*$V$53))/(1 - EXP((-$C$2*D54)/($A$2*$V$53))))</f>
        <v>0.56966466127746995</v>
      </c>
      <c r="W54" s="10">
        <f t="shared" ref="W54" si="23">(EXP((-$C$2*D54)/(2*$A$2*$W$53))/(1 - EXP((-$C$2*D54)/($A$2*$W$53))))</f>
        <v>0.60377133059823862</v>
      </c>
    </row>
    <row r="55" spans="1:23" x14ac:dyDescent="0.3">
      <c r="B55" s="3"/>
      <c r="D55" s="10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x14ac:dyDescent="0.3">
      <c r="B56" s="3"/>
      <c r="D56" s="102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x14ac:dyDescent="0.3">
      <c r="B57" s="3"/>
      <c r="D57" s="102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x14ac:dyDescent="0.3">
      <c r="B58" s="3"/>
      <c r="D58" s="102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x14ac:dyDescent="0.3">
      <c r="B59" s="3"/>
      <c r="D59" s="102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x14ac:dyDescent="0.3">
      <c r="B60" s="3"/>
      <c r="D60" s="102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x14ac:dyDescent="0.3">
      <c r="B61" s="3"/>
      <c r="D61" s="102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x14ac:dyDescent="0.3">
      <c r="B62" s="3"/>
      <c r="D62" s="102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x14ac:dyDescent="0.3">
      <c r="B63" s="3"/>
      <c r="D63" s="102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x14ac:dyDescent="0.3">
      <c r="B64" s="3"/>
      <c r="D64" s="102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x14ac:dyDescent="0.3">
      <c r="B65" s="3"/>
      <c r="D65" s="102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x14ac:dyDescent="0.3">
      <c r="B66" s="3"/>
      <c r="D66" s="102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x14ac:dyDescent="0.3">
      <c r="B67" s="3"/>
      <c r="D67" s="102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x14ac:dyDescent="0.3">
      <c r="B68" s="3"/>
      <c r="D68" s="102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x14ac:dyDescent="0.3">
      <c r="B69" s="3"/>
      <c r="D69" s="102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x14ac:dyDescent="0.3">
      <c r="B70" s="3"/>
      <c r="D70" s="102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5" thickBot="1" x14ac:dyDescent="0.35">
      <c r="D71" s="102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x14ac:dyDescent="0.3">
      <c r="A72" s="18" t="s">
        <v>42</v>
      </c>
      <c r="B72" s="19">
        <f>COUNT(B53:B70)</f>
        <v>1</v>
      </c>
      <c r="D72" s="37" t="s">
        <v>102</v>
      </c>
    </row>
    <row r="73" spans="1:23" ht="21" thickBot="1" x14ac:dyDescent="0.35">
      <c r="A73" s="20" t="s">
        <v>43</v>
      </c>
      <c r="B73" s="118">
        <f>PRODUCT(E54:E56)</f>
        <v>5.0855616014759113E-3</v>
      </c>
      <c r="D73" s="122">
        <v>4.9226000000000001E-3</v>
      </c>
    </row>
    <row r="74" spans="1:23" x14ac:dyDescent="0.3">
      <c r="D74" s="120" t="s">
        <v>90</v>
      </c>
    </row>
    <row r="75" spans="1:23" ht="15" thickBot="1" x14ac:dyDescent="0.35">
      <c r="D75" s="121">
        <f>ABS(B73-D73)/D73</f>
        <v>3.3104782325582269E-2</v>
      </c>
    </row>
    <row r="81" spans="2:10" ht="15" thickBot="1" x14ac:dyDescent="0.35"/>
    <row r="82" spans="2:10" ht="19.2" x14ac:dyDescent="0.3">
      <c r="D82" s="12" t="s">
        <v>23</v>
      </c>
      <c r="E82" s="39" t="s">
        <v>46</v>
      </c>
      <c r="F82" s="54" t="s">
        <v>44</v>
      </c>
    </row>
    <row r="83" spans="2:10" ht="18.600000000000001" thickBot="1" x14ac:dyDescent="0.35">
      <c r="B83" s="11"/>
      <c r="D83" s="14">
        <f>300</f>
        <v>300</v>
      </c>
      <c r="E83" s="8">
        <f xml:space="preserve"> ( (2*$B$2*$E$2*$A$2*D83)/($C$2*$C$2) )^(1.5) * ($A$2*D83) /$F$83</f>
        <v>5909333.8904102528</v>
      </c>
      <c r="F83" s="31">
        <v>101325</v>
      </c>
      <c r="H83" s="2" t="s">
        <v>55</v>
      </c>
    </row>
    <row r="84" spans="2:10" ht="15" thickBot="1" x14ac:dyDescent="0.35">
      <c r="D84" s="14">
        <f>D83+100</f>
        <v>400</v>
      </c>
      <c r="E84" s="8">
        <f t="shared" ref="E84:E101" si="24" xml:space="preserve"> ( (2*$B$2*$E$2*$A$2*D84)/($C$2*$C$2) )^(1.5) * ($A$2*D84) /$F$83</f>
        <v>12130686.266167894</v>
      </c>
    </row>
    <row r="85" spans="2:10" ht="15" thickBot="1" x14ac:dyDescent="0.35">
      <c r="D85" s="14">
        <f t="shared" ref="D85:D101" si="25">D84+100</f>
        <v>500</v>
      </c>
      <c r="E85" s="8">
        <f t="shared" si="24"/>
        <v>21191436.800683342</v>
      </c>
      <c r="J85" s="37" t="s">
        <v>45</v>
      </c>
    </row>
    <row r="86" spans="2:10" x14ac:dyDescent="0.3">
      <c r="D86" s="14">
        <f t="shared" si="25"/>
        <v>600</v>
      </c>
      <c r="E86" s="8">
        <f t="shared" si="24"/>
        <v>33428240.529636674</v>
      </c>
      <c r="H86" s="40" t="s">
        <v>48</v>
      </c>
      <c r="I86" s="18" t="s">
        <v>47</v>
      </c>
      <c r="J86" s="42">
        <f xml:space="preserve"> ( (2*$B$2*$E$2*$A$2*298.15)/($C$2*$C$2) )^(1.5) * ($A$2*D83) /$F$83</f>
        <v>5854756.90829881</v>
      </c>
    </row>
    <row r="87" spans="2:10" ht="15" thickBot="1" x14ac:dyDescent="0.35">
      <c r="D87" s="14">
        <f t="shared" si="25"/>
        <v>700</v>
      </c>
      <c r="E87" s="8">
        <f t="shared" si="24"/>
        <v>49145130.485892326</v>
      </c>
      <c r="H87" s="41" t="s">
        <v>49</v>
      </c>
      <c r="I87" s="16" t="s">
        <v>47</v>
      </c>
      <c r="J87" s="43">
        <v>5822020</v>
      </c>
    </row>
    <row r="88" spans="2:10" x14ac:dyDescent="0.3">
      <c r="D88" s="14">
        <f t="shared" si="25"/>
        <v>800</v>
      </c>
      <c r="E88" s="8">
        <f t="shared" si="24"/>
        <v>68621524.154030904</v>
      </c>
      <c r="J88" s="1" t="s">
        <v>90</v>
      </c>
    </row>
    <row r="89" spans="2:10" x14ac:dyDescent="0.3">
      <c r="D89" s="14">
        <f t="shared" si="25"/>
        <v>900</v>
      </c>
      <c r="E89" s="8">
        <f t="shared" si="24"/>
        <v>92117398.833713919</v>
      </c>
      <c r="J89" s="85">
        <f>(J86-J87)/J87</f>
        <v>5.6229467261895375E-3</v>
      </c>
    </row>
    <row r="90" spans="2:10" x14ac:dyDescent="0.3">
      <c r="D90" s="14">
        <f t="shared" si="25"/>
        <v>1000</v>
      </c>
      <c r="E90" s="8">
        <f t="shared" si="24"/>
        <v>119876869.31879513</v>
      </c>
    </row>
    <row r="91" spans="2:10" x14ac:dyDescent="0.3">
      <c r="D91" s="14">
        <f t="shared" si="25"/>
        <v>1100</v>
      </c>
      <c r="E91" s="8">
        <f t="shared" si="24"/>
        <v>152130784.691313</v>
      </c>
    </row>
    <row r="92" spans="2:10" x14ac:dyDescent="0.3">
      <c r="D92" s="14">
        <f t="shared" si="25"/>
        <v>1200</v>
      </c>
      <c r="E92" s="8">
        <f t="shared" si="24"/>
        <v>189098684.49312913</v>
      </c>
    </row>
    <row r="93" spans="2:10" x14ac:dyDescent="0.3">
      <c r="D93" s="14">
        <f t="shared" si="25"/>
        <v>1300</v>
      </c>
      <c r="E93" s="8">
        <f t="shared" si="24"/>
        <v>230990316.13533834</v>
      </c>
    </row>
    <row r="94" spans="2:10" x14ac:dyDescent="0.3">
      <c r="D94" s="14">
        <f t="shared" si="25"/>
        <v>1400</v>
      </c>
      <c r="E94" s="8">
        <f t="shared" si="24"/>
        <v>278006840.23097438</v>
      </c>
    </row>
    <row r="95" spans="2:10" x14ac:dyDescent="0.3">
      <c r="D95" s="14">
        <f t="shared" si="25"/>
        <v>1500</v>
      </c>
      <c r="E95" s="8">
        <f t="shared" si="24"/>
        <v>330341807.01751918</v>
      </c>
    </row>
    <row r="96" spans="2:10" x14ac:dyDescent="0.3">
      <c r="D96" s="14">
        <f t="shared" si="25"/>
        <v>1600</v>
      </c>
      <c r="E96" s="8">
        <f t="shared" si="24"/>
        <v>388181960.51737487</v>
      </c>
    </row>
    <row r="97" spans="1:10" x14ac:dyDescent="0.3">
      <c r="D97" s="14">
        <f t="shared" si="25"/>
        <v>1700</v>
      </c>
      <c r="E97" s="8">
        <f t="shared" si="24"/>
        <v>451707910.22933954</v>
      </c>
    </row>
    <row r="98" spans="1:10" x14ac:dyDescent="0.3">
      <c r="D98" s="14">
        <f t="shared" si="25"/>
        <v>1800</v>
      </c>
      <c r="E98" s="8">
        <f t="shared" si="24"/>
        <v>521094699.04467303</v>
      </c>
    </row>
    <row r="99" spans="1:10" x14ac:dyDescent="0.3">
      <c r="D99" s="14">
        <f t="shared" si="25"/>
        <v>1900</v>
      </c>
      <c r="E99" s="8">
        <f t="shared" si="24"/>
        <v>596512288.54870534</v>
      </c>
    </row>
    <row r="100" spans="1:10" x14ac:dyDescent="0.3">
      <c r="D100" s="14">
        <f t="shared" si="25"/>
        <v>2000</v>
      </c>
      <c r="E100" s="8">
        <f t="shared" si="24"/>
        <v>678125977.62187064</v>
      </c>
    </row>
    <row r="101" spans="1:10" ht="15" thickBot="1" x14ac:dyDescent="0.35">
      <c r="D101" s="16">
        <f t="shared" si="25"/>
        <v>2100</v>
      </c>
      <c r="E101" s="10">
        <f t="shared" si="24"/>
        <v>766096766.51550639</v>
      </c>
    </row>
    <row r="104" spans="1:10" ht="15" thickBot="1" x14ac:dyDescent="0.35"/>
    <row r="105" spans="1:10" ht="19.2" x14ac:dyDescent="0.3">
      <c r="D105" s="12" t="s">
        <v>23</v>
      </c>
      <c r="E105" s="39" t="s">
        <v>54</v>
      </c>
    </row>
    <row r="106" spans="1:10" x14ac:dyDescent="0.3">
      <c r="D106" s="14">
        <f>300</f>
        <v>300</v>
      </c>
      <c r="E106" s="8">
        <f xml:space="preserve"> ( 8*$B$2*$B$2*$A$2*D106*$B$111)/($B$6*$C$2*$C$2)</f>
        <v>553.7175158055918</v>
      </c>
    </row>
    <row r="107" spans="1:10" x14ac:dyDescent="0.3">
      <c r="D107" s="14">
        <f>D106+100</f>
        <v>400</v>
      </c>
      <c r="E107" s="8">
        <f t="shared" ref="E107:E124" si="26" xml:space="preserve"> ( 8*$B$2*$B$2*$A$2*D107*$B$111)/($B$6*$C$2*$C$2)</f>
        <v>738.29002107412248</v>
      </c>
    </row>
    <row r="108" spans="1:10" x14ac:dyDescent="0.3">
      <c r="D108" s="14">
        <f t="shared" ref="D108:D124" si="27">D107+100</f>
        <v>500</v>
      </c>
      <c r="E108" s="8">
        <f t="shared" si="26"/>
        <v>922.86252634265304</v>
      </c>
      <c r="H108" s="2" t="s">
        <v>55</v>
      </c>
    </row>
    <row r="109" spans="1:10" ht="15" thickBot="1" x14ac:dyDescent="0.35">
      <c r="D109" s="14">
        <f t="shared" si="27"/>
        <v>600</v>
      </c>
      <c r="E109" s="8">
        <f t="shared" si="26"/>
        <v>1107.4350316111836</v>
      </c>
    </row>
    <row r="110" spans="1:10" ht="15" thickBot="1" x14ac:dyDescent="0.35">
      <c r="A110" s="18"/>
      <c r="B110" s="21"/>
      <c r="C110" s="19"/>
      <c r="D110" s="14">
        <f t="shared" si="27"/>
        <v>700</v>
      </c>
      <c r="E110" s="8">
        <f t="shared" si="26"/>
        <v>1292.0075368797143</v>
      </c>
      <c r="J110" s="37" t="s">
        <v>45</v>
      </c>
    </row>
    <row r="111" spans="1:10" ht="16.2" x14ac:dyDescent="0.3">
      <c r="A111" s="14"/>
      <c r="B111" s="2">
        <f>SQRT(E6*E6 +F6*F6+G6*G6)</f>
        <v>7.4339890379487223E-46</v>
      </c>
      <c r="C111" s="15" t="s">
        <v>78</v>
      </c>
      <c r="D111" s="14">
        <f t="shared" si="27"/>
        <v>800</v>
      </c>
      <c r="E111" s="8">
        <f t="shared" si="26"/>
        <v>1476.580042148245</v>
      </c>
      <c r="H111" s="40" t="s">
        <v>48</v>
      </c>
      <c r="I111" s="18" t="s">
        <v>89</v>
      </c>
      <c r="J111" s="42">
        <f>E106</f>
        <v>553.7175158055918</v>
      </c>
    </row>
    <row r="112" spans="1:10" ht="15" thickBot="1" x14ac:dyDescent="0.35">
      <c r="A112" s="16"/>
      <c r="B112" s="23"/>
      <c r="C112" s="17"/>
      <c r="D112" s="14">
        <f t="shared" si="27"/>
        <v>900</v>
      </c>
      <c r="E112" s="8">
        <f t="shared" si="26"/>
        <v>1661.1525474167754</v>
      </c>
      <c r="H112" s="41" t="s">
        <v>49</v>
      </c>
      <c r="I112" s="16" t="s">
        <v>89</v>
      </c>
      <c r="J112" s="43">
        <v>109.005</v>
      </c>
    </row>
    <row r="113" spans="4:10" x14ac:dyDescent="0.3">
      <c r="D113" s="14">
        <f t="shared" si="27"/>
        <v>1000</v>
      </c>
      <c r="E113" s="8">
        <f t="shared" si="26"/>
        <v>1845.7250526853061</v>
      </c>
      <c r="J113" s="1" t="s">
        <v>90</v>
      </c>
    </row>
    <row r="114" spans="4:10" x14ac:dyDescent="0.3">
      <c r="D114" s="14">
        <f t="shared" si="27"/>
        <v>1100</v>
      </c>
      <c r="E114" s="8">
        <f t="shared" si="26"/>
        <v>2030.2975579538365</v>
      </c>
      <c r="J114" s="85">
        <f>(J111-J112)/J111</f>
        <v>0.80313969327589185</v>
      </c>
    </row>
    <row r="115" spans="4:10" x14ac:dyDescent="0.3">
      <c r="D115" s="14">
        <f t="shared" si="27"/>
        <v>1200</v>
      </c>
      <c r="E115" s="8">
        <f t="shared" si="26"/>
        <v>2214.8700632223672</v>
      </c>
    </row>
    <row r="116" spans="4:10" x14ac:dyDescent="0.3">
      <c r="D116" s="14">
        <f t="shared" si="27"/>
        <v>1300</v>
      </c>
      <c r="E116" s="8">
        <f t="shared" si="26"/>
        <v>2399.4425684908974</v>
      </c>
      <c r="H116" s="57"/>
    </row>
    <row r="117" spans="4:10" x14ac:dyDescent="0.3">
      <c r="D117" s="14">
        <f t="shared" si="27"/>
        <v>1400</v>
      </c>
      <c r="E117" s="8">
        <f t="shared" si="26"/>
        <v>2584.0150737594286</v>
      </c>
    </row>
    <row r="118" spans="4:10" x14ac:dyDescent="0.3">
      <c r="D118" s="14">
        <f t="shared" si="27"/>
        <v>1500</v>
      </c>
      <c r="E118" s="8">
        <f t="shared" si="26"/>
        <v>2768.5875790279583</v>
      </c>
    </row>
    <row r="119" spans="4:10" x14ac:dyDescent="0.3">
      <c r="D119" s="14">
        <f t="shared" si="27"/>
        <v>1600</v>
      </c>
      <c r="E119" s="8">
        <f t="shared" si="26"/>
        <v>2953.1600842964899</v>
      </c>
    </row>
    <row r="120" spans="4:10" x14ac:dyDescent="0.3">
      <c r="D120" s="14">
        <f t="shared" si="27"/>
        <v>1700</v>
      </c>
      <c r="E120" s="8">
        <f t="shared" si="26"/>
        <v>3137.7325895650201</v>
      </c>
    </row>
    <row r="121" spans="4:10" x14ac:dyDescent="0.3">
      <c r="D121" s="14">
        <f t="shared" si="27"/>
        <v>1800</v>
      </c>
      <c r="E121" s="8">
        <f t="shared" si="26"/>
        <v>3322.3050948335508</v>
      </c>
    </row>
    <row r="122" spans="4:10" x14ac:dyDescent="0.3">
      <c r="D122" s="14">
        <f t="shared" si="27"/>
        <v>1900</v>
      </c>
      <c r="E122" s="8">
        <f t="shared" si="26"/>
        <v>3506.8776001020815</v>
      </c>
    </row>
    <row r="123" spans="4:10" x14ac:dyDescent="0.3">
      <c r="D123" s="14">
        <f t="shared" si="27"/>
        <v>2000</v>
      </c>
      <c r="E123" s="8">
        <f t="shared" si="26"/>
        <v>3691.4501053706122</v>
      </c>
    </row>
    <row r="124" spans="4:10" ht="15" thickBot="1" x14ac:dyDescent="0.35">
      <c r="D124" s="16">
        <f t="shared" si="27"/>
        <v>2100</v>
      </c>
      <c r="E124" s="10">
        <f t="shared" si="26"/>
        <v>3876.0226106391424</v>
      </c>
    </row>
    <row r="126" spans="4:10" ht="15" thickBot="1" x14ac:dyDescent="0.35"/>
    <row r="127" spans="4:10" ht="19.2" x14ac:dyDescent="0.3">
      <c r="D127" s="12" t="s">
        <v>23</v>
      </c>
      <c r="E127" s="13" t="s">
        <v>63</v>
      </c>
    </row>
    <row r="128" spans="4:10" ht="15.6" x14ac:dyDescent="0.3">
      <c r="D128" s="14">
        <f>300</f>
        <v>300</v>
      </c>
      <c r="E128" s="48">
        <f>$B$135*EXP($B$134/($A$2*D128) )</f>
        <v>0</v>
      </c>
      <c r="G128" s="2" t="s">
        <v>65</v>
      </c>
      <c r="H128" s="6">
        <f>$B$135*EXP($B$134/($A$2*298.15) )</f>
        <v>0</v>
      </c>
    </row>
    <row r="129" spans="1:7" ht="15.6" x14ac:dyDescent="0.2">
      <c r="A129" s="44"/>
      <c r="D129" s="14">
        <f>D128+100</f>
        <v>400</v>
      </c>
      <c r="E129" s="48">
        <f t="shared" ref="E129:E146" si="28">$B$135*EXP($B$134/($A$2*D129) )</f>
        <v>0</v>
      </c>
    </row>
    <row r="130" spans="1:7" ht="15.6" x14ac:dyDescent="0.3">
      <c r="D130" s="14">
        <f t="shared" ref="D130:D146" si="29">D129+100</f>
        <v>500</v>
      </c>
      <c r="E130" s="48">
        <f t="shared" si="28"/>
        <v>0</v>
      </c>
    </row>
    <row r="131" spans="1:7" ht="16.2" thickBot="1" x14ac:dyDescent="0.35">
      <c r="A131" s="45" t="s">
        <v>59</v>
      </c>
      <c r="B131" s="46">
        <v>-205.08388711200001</v>
      </c>
      <c r="D131" s="14">
        <f t="shared" si="29"/>
        <v>600</v>
      </c>
      <c r="E131" s="48">
        <f t="shared" si="28"/>
        <v>0</v>
      </c>
    </row>
    <row r="132" spans="1:7" ht="15.6" x14ac:dyDescent="0.3">
      <c r="A132" s="45" t="s">
        <v>60</v>
      </c>
      <c r="B132" s="47">
        <f>B131/(229400000000000000)</f>
        <v>-8.9400125157802977E-16</v>
      </c>
      <c r="D132" s="14">
        <f t="shared" si="29"/>
        <v>700</v>
      </c>
      <c r="E132" s="48">
        <f t="shared" si="28"/>
        <v>0</v>
      </c>
      <c r="G132" s="37" t="s">
        <v>102</v>
      </c>
    </row>
    <row r="133" spans="1:7" ht="16.2" thickBot="1" x14ac:dyDescent="0.35">
      <c r="A133" s="45" t="s">
        <v>61</v>
      </c>
      <c r="B133" s="45">
        <f>K5</f>
        <v>2.1872815579999998E-20</v>
      </c>
      <c r="D133" s="14">
        <f t="shared" si="29"/>
        <v>800</v>
      </c>
      <c r="E133" s="48">
        <f t="shared" si="28"/>
        <v>0</v>
      </c>
      <c r="G133" s="31" t="s">
        <v>107</v>
      </c>
    </row>
    <row r="134" spans="1:7" ht="19.2" x14ac:dyDescent="0.3">
      <c r="A134" s="45" t="s">
        <v>67</v>
      </c>
      <c r="B134" s="47">
        <f>B132+B133</f>
        <v>-8.939793787624497E-16</v>
      </c>
      <c r="D134" s="14">
        <f t="shared" si="29"/>
        <v>900</v>
      </c>
      <c r="E134" s="48">
        <f t="shared" si="28"/>
        <v>0</v>
      </c>
    </row>
    <row r="135" spans="1:7" ht="19.2" x14ac:dyDescent="0.3">
      <c r="A135" s="45" t="s">
        <v>62</v>
      </c>
      <c r="B135" s="45">
        <v>1</v>
      </c>
      <c r="D135" s="14">
        <f t="shared" si="29"/>
        <v>1000</v>
      </c>
      <c r="E135" s="48">
        <f t="shared" si="28"/>
        <v>0</v>
      </c>
    </row>
    <row r="136" spans="1:7" ht="15.6" x14ac:dyDescent="0.3">
      <c r="A136" s="2" t="s">
        <v>66</v>
      </c>
      <c r="B136" s="3">
        <f>A2*D128</f>
        <v>4.1417999999999996E-21</v>
      </c>
      <c r="D136" s="14">
        <f t="shared" si="29"/>
        <v>1100</v>
      </c>
      <c r="E136" s="48">
        <f t="shared" si="28"/>
        <v>0</v>
      </c>
    </row>
    <row r="137" spans="1:7" ht="15.6" x14ac:dyDescent="0.3">
      <c r="D137" s="14">
        <f t="shared" si="29"/>
        <v>1200</v>
      </c>
      <c r="E137" s="48">
        <f t="shared" si="28"/>
        <v>0</v>
      </c>
    </row>
    <row r="138" spans="1:7" ht="15.6" x14ac:dyDescent="0.3">
      <c r="D138" s="14">
        <f t="shared" si="29"/>
        <v>1300</v>
      </c>
      <c r="E138" s="48">
        <f t="shared" si="28"/>
        <v>0</v>
      </c>
    </row>
    <row r="139" spans="1:7" ht="15.6" x14ac:dyDescent="0.3">
      <c r="D139" s="14">
        <f t="shared" si="29"/>
        <v>1400</v>
      </c>
      <c r="E139" s="48">
        <f t="shared" si="28"/>
        <v>0</v>
      </c>
    </row>
    <row r="140" spans="1:7" ht="15.6" x14ac:dyDescent="0.3">
      <c r="D140" s="14">
        <f t="shared" si="29"/>
        <v>1500</v>
      </c>
      <c r="E140" s="48">
        <f t="shared" si="28"/>
        <v>0</v>
      </c>
    </row>
    <row r="141" spans="1:7" ht="15.6" x14ac:dyDescent="0.3">
      <c r="D141" s="14">
        <f t="shared" si="29"/>
        <v>1600</v>
      </c>
      <c r="E141" s="48">
        <f t="shared" si="28"/>
        <v>0</v>
      </c>
    </row>
    <row r="142" spans="1:7" ht="15.6" x14ac:dyDescent="0.3">
      <c r="D142" s="14">
        <f t="shared" si="29"/>
        <v>1700</v>
      </c>
      <c r="E142" s="48">
        <f t="shared" si="28"/>
        <v>0</v>
      </c>
    </row>
    <row r="143" spans="1:7" ht="15.6" x14ac:dyDescent="0.3">
      <c r="D143" s="14">
        <f t="shared" si="29"/>
        <v>1800</v>
      </c>
      <c r="E143" s="48">
        <f t="shared" si="28"/>
        <v>0</v>
      </c>
    </row>
    <row r="144" spans="1:7" ht="15.6" x14ac:dyDescent="0.3">
      <c r="D144" s="14">
        <f t="shared" si="29"/>
        <v>1900</v>
      </c>
      <c r="E144" s="48">
        <f t="shared" si="28"/>
        <v>0</v>
      </c>
    </row>
    <row r="145" spans="4:13" ht="15.6" x14ac:dyDescent="0.3">
      <c r="D145" s="14">
        <f t="shared" si="29"/>
        <v>2000</v>
      </c>
      <c r="E145" s="48">
        <f t="shared" si="28"/>
        <v>0</v>
      </c>
    </row>
    <row r="146" spans="4:13" ht="16.2" thickBot="1" x14ac:dyDescent="0.35">
      <c r="D146" s="16">
        <f t="shared" si="29"/>
        <v>2100</v>
      </c>
      <c r="E146" s="49">
        <f t="shared" si="28"/>
        <v>0</v>
      </c>
    </row>
    <row r="151" spans="4:13" ht="15" thickBot="1" x14ac:dyDescent="0.35">
      <c r="H151" s="2" t="s">
        <v>68</v>
      </c>
    </row>
    <row r="152" spans="4:13" ht="20.399999999999999" x14ac:dyDescent="0.3">
      <c r="D152" s="58" t="s">
        <v>23</v>
      </c>
      <c r="E152" s="62" t="s">
        <v>53</v>
      </c>
      <c r="F152" s="59" t="s">
        <v>69</v>
      </c>
      <c r="G152" s="59" t="s">
        <v>70</v>
      </c>
      <c r="H152" s="59" t="s">
        <v>43</v>
      </c>
      <c r="I152" s="38" t="s">
        <v>71</v>
      </c>
    </row>
    <row r="153" spans="4:13" ht="15.6" x14ac:dyDescent="0.3">
      <c r="D153" s="56">
        <f>300</f>
        <v>300</v>
      </c>
      <c r="E153" s="116">
        <f xml:space="preserve"> ( 8*$B$2*$B$2*$A$2*D153*$B$111)/($B$6*$C$2*$C$2)</f>
        <v>553.7175158055918</v>
      </c>
      <c r="F153" s="47">
        <v>1</v>
      </c>
      <c r="G153" s="3">
        <f xml:space="preserve"> ( (2*$B$2*$E$2*$A$2*D153)/($C$2*$C$2) )^(1.5) * ($A$2*D153) /$F$83</f>
        <v>5909333.8904102528</v>
      </c>
      <c r="H153" s="3">
        <f>(EXP((-$C$2*$D$54)/(2*$A$2*D153))/(1 - EXP((-$C$2*$D$54)/($A$2*D153))))</f>
        <v>5.0855616014759113E-3</v>
      </c>
      <c r="I153" s="99">
        <f>PRODUCT(E153:H153)</f>
        <v>16640474.669411078</v>
      </c>
      <c r="J153" s="41"/>
      <c r="K153" s="57"/>
      <c r="M153" s="3"/>
    </row>
    <row r="154" spans="4:13" ht="15.6" x14ac:dyDescent="0.3">
      <c r="D154" s="56">
        <f>D153+100</f>
        <v>400</v>
      </c>
      <c r="E154" s="116">
        <f t="shared" ref="E154:E171" si="30" xml:space="preserve"> ( 8*$B$2*$B$2*$A$2*D154*$B$111)/($B$6*$C$2*$C$2)</f>
        <v>738.29002107412248</v>
      </c>
      <c r="F154" s="47">
        <v>1</v>
      </c>
      <c r="G154" s="3">
        <f t="shared" ref="G154:G171" si="31" xml:space="preserve"> ( (2*$B$2*$E$2*$A$2*D154)/($C$2*$C$2) )^(1.5) * ($A$2*D154) /$F$83</f>
        <v>12130686.266167894</v>
      </c>
      <c r="H154" s="3">
        <f t="shared" ref="H154:H171" si="32">(EXP((-$C$2*$D$54)/(2*$A$2*D154))/(1 - EXP((-$C$2*$D$54)/($A$2*D154))))</f>
        <v>1.905036462695776E-2</v>
      </c>
      <c r="I154" s="8">
        <f>PRODUCT(E154:H154)</f>
        <v>170614391.57984808</v>
      </c>
      <c r="M154" s="60"/>
    </row>
    <row r="155" spans="4:13" ht="15.6" x14ac:dyDescent="0.3">
      <c r="D155" s="56">
        <f t="shared" ref="D155:D171" si="33">D154+100</f>
        <v>500</v>
      </c>
      <c r="E155" s="116">
        <f t="shared" si="30"/>
        <v>922.86252634265304</v>
      </c>
      <c r="F155" s="47">
        <v>1</v>
      </c>
      <c r="G155" s="3">
        <f t="shared" si="31"/>
        <v>21191436.800683342</v>
      </c>
      <c r="H155" s="3">
        <f t="shared" si="32"/>
        <v>4.2127464502958852E-2</v>
      </c>
      <c r="I155" s="8">
        <f t="shared" ref="I155:I171" si="34">PRODUCT(E155:H155)</f>
        <v>823877677.52595854</v>
      </c>
      <c r="J155" s="2" t="s">
        <v>92</v>
      </c>
    </row>
    <row r="156" spans="4:13" ht="16.2" thickBot="1" x14ac:dyDescent="0.35">
      <c r="D156" s="56">
        <f t="shared" si="33"/>
        <v>600</v>
      </c>
      <c r="E156" s="116">
        <f t="shared" si="30"/>
        <v>1107.4350316111836</v>
      </c>
      <c r="F156" s="47">
        <v>1</v>
      </c>
      <c r="G156" s="3">
        <f t="shared" si="31"/>
        <v>33428240.529636674</v>
      </c>
      <c r="H156" s="3">
        <f t="shared" si="32"/>
        <v>7.1676708374438527E-2</v>
      </c>
      <c r="I156" s="8">
        <f t="shared" si="34"/>
        <v>2653443403.5991511</v>
      </c>
    </row>
    <row r="157" spans="4:13" ht="16.2" thickBot="1" x14ac:dyDescent="0.35">
      <c r="D157" s="56">
        <f t="shared" si="33"/>
        <v>700</v>
      </c>
      <c r="E157" s="116">
        <f t="shared" si="30"/>
        <v>1292.0075368797143</v>
      </c>
      <c r="F157" s="47">
        <v>1</v>
      </c>
      <c r="G157" s="3">
        <f t="shared" si="31"/>
        <v>49145130.485892326</v>
      </c>
      <c r="H157" s="3">
        <f t="shared" si="32"/>
        <v>0.10512831786402568</v>
      </c>
      <c r="I157" s="8">
        <f t="shared" si="34"/>
        <v>6675214949.3808041</v>
      </c>
      <c r="L157" s="37" t="s">
        <v>45</v>
      </c>
    </row>
    <row r="158" spans="4:13" ht="15.6" x14ac:dyDescent="0.3">
      <c r="D158" s="56">
        <f t="shared" si="33"/>
        <v>800</v>
      </c>
      <c r="E158" s="116">
        <f t="shared" si="30"/>
        <v>1476.580042148245</v>
      </c>
      <c r="F158" s="47">
        <v>1</v>
      </c>
      <c r="G158" s="3">
        <f t="shared" si="31"/>
        <v>68621524.154030904</v>
      </c>
      <c r="H158" s="3">
        <f t="shared" si="32"/>
        <v>0.14067700514463524</v>
      </c>
      <c r="I158" s="8">
        <f t="shared" si="34"/>
        <v>14254121887.289772</v>
      </c>
      <c r="J158" s="40" t="s">
        <v>48</v>
      </c>
      <c r="K158" s="18" t="s">
        <v>91</v>
      </c>
      <c r="L158" s="42">
        <f>I153</f>
        <v>16640474.669411078</v>
      </c>
    </row>
    <row r="159" spans="4:13" ht="16.2" thickBot="1" x14ac:dyDescent="0.35">
      <c r="D159" s="56">
        <f t="shared" si="33"/>
        <v>900</v>
      </c>
      <c r="E159" s="116">
        <f t="shared" si="30"/>
        <v>1661.1525474167754</v>
      </c>
      <c r="F159" s="47">
        <v>1</v>
      </c>
      <c r="G159" s="3">
        <f t="shared" si="31"/>
        <v>92117398.833713919</v>
      </c>
      <c r="H159" s="3">
        <f t="shared" si="32"/>
        <v>0.17720639011015243</v>
      </c>
      <c r="I159" s="8">
        <f t="shared" si="34"/>
        <v>27116308188.646511</v>
      </c>
      <c r="J159" s="41" t="s">
        <v>49</v>
      </c>
      <c r="K159" s="16" t="s">
        <v>91</v>
      </c>
      <c r="L159" s="134">
        <v>3124030</v>
      </c>
    </row>
    <row r="160" spans="4:13" ht="15.6" x14ac:dyDescent="0.3">
      <c r="D160" s="56">
        <f t="shared" si="33"/>
        <v>1000</v>
      </c>
      <c r="E160" s="116">
        <f t="shared" si="30"/>
        <v>1845.7250526853061</v>
      </c>
      <c r="F160" s="47">
        <v>1</v>
      </c>
      <c r="G160" s="3">
        <f t="shared" si="31"/>
        <v>119876869.31879513</v>
      </c>
      <c r="H160" s="3">
        <f t="shared" si="32"/>
        <v>0.21407049255196167</v>
      </c>
      <c r="I160" s="8">
        <f t="shared" si="34"/>
        <v>47365181724.770271</v>
      </c>
      <c r="L160" s="1" t="s">
        <v>90</v>
      </c>
    </row>
    <row r="161" spans="1:12" ht="15.6" x14ac:dyDescent="0.3">
      <c r="D161" s="56">
        <f t="shared" si="33"/>
        <v>1100</v>
      </c>
      <c r="E161" s="116">
        <f t="shared" si="30"/>
        <v>2030.2975579538365</v>
      </c>
      <c r="F161" s="47">
        <v>1</v>
      </c>
      <c r="G161" s="3">
        <f t="shared" si="31"/>
        <v>152130784.691313</v>
      </c>
      <c r="H161" s="3">
        <f t="shared" si="32"/>
        <v>0.25091327615760312</v>
      </c>
      <c r="I161" s="8">
        <f t="shared" si="34"/>
        <v>77499774463.57431</v>
      </c>
      <c r="L161" s="112">
        <f>ABS(L158-L159)/L158</f>
        <v>0.81226316784444452</v>
      </c>
    </row>
    <row r="162" spans="1:12" ht="15.6" x14ac:dyDescent="0.3">
      <c r="D162" s="56">
        <f t="shared" si="33"/>
        <v>1200</v>
      </c>
      <c r="E162" s="116">
        <f t="shared" si="30"/>
        <v>2214.8700632223672</v>
      </c>
      <c r="F162" s="47">
        <v>1</v>
      </c>
      <c r="G162" s="3">
        <f t="shared" si="31"/>
        <v>189098684.49312913</v>
      </c>
      <c r="H162" s="3">
        <f t="shared" si="32"/>
        <v>0.28754921230523389</v>
      </c>
      <c r="I162" s="8">
        <f t="shared" si="34"/>
        <v>120433953433.92769</v>
      </c>
      <c r="J162" s="2" t="s">
        <v>64</v>
      </c>
    </row>
    <row r="163" spans="1:12" ht="15.6" x14ac:dyDescent="0.3">
      <c r="D163" s="56">
        <f t="shared" si="33"/>
        <v>1300</v>
      </c>
      <c r="E163" s="116">
        <f t="shared" si="30"/>
        <v>2399.4425684908974</v>
      </c>
      <c r="F163" s="47">
        <v>1</v>
      </c>
      <c r="G163" s="3">
        <f t="shared" si="31"/>
        <v>230990316.13533834</v>
      </c>
      <c r="H163" s="3">
        <f t="shared" si="32"/>
        <v>0.32389045345441109</v>
      </c>
      <c r="I163" s="8">
        <f t="shared" si="34"/>
        <v>179515635218.43381</v>
      </c>
      <c r="J163" s="57">
        <f>L158/L159</f>
        <v>5.3266052724881252</v>
      </c>
    </row>
    <row r="164" spans="1:12" ht="15.6" x14ac:dyDescent="0.3">
      <c r="D164" s="56">
        <f t="shared" si="33"/>
        <v>1400</v>
      </c>
      <c r="E164" s="116">
        <f t="shared" si="30"/>
        <v>2584.0150737594286</v>
      </c>
      <c r="F164" s="47">
        <v>1</v>
      </c>
      <c r="G164" s="3">
        <f t="shared" si="31"/>
        <v>278006840.23097438</v>
      </c>
      <c r="H164" s="3">
        <f t="shared" si="32"/>
        <v>0.35990396410113046</v>
      </c>
      <c r="I164" s="8">
        <f t="shared" si="34"/>
        <v>258545601995.50095</v>
      </c>
    </row>
    <row r="165" spans="1:12" ht="15.6" x14ac:dyDescent="0.3">
      <c r="D165" s="56">
        <f t="shared" si="33"/>
        <v>1500</v>
      </c>
      <c r="E165" s="116">
        <f t="shared" si="30"/>
        <v>2768.5875790279583</v>
      </c>
      <c r="F165" s="47">
        <v>1</v>
      </c>
      <c r="G165" s="3">
        <f t="shared" si="31"/>
        <v>330341807.01751918</v>
      </c>
      <c r="H165" s="3">
        <f t="shared" si="32"/>
        <v>0.39558668810852393</v>
      </c>
      <c r="I165" s="8">
        <f t="shared" si="34"/>
        <v>361795761719.79077</v>
      </c>
    </row>
    <row r="166" spans="1:12" ht="15.6" x14ac:dyDescent="0.3">
      <c r="D166" s="56">
        <f t="shared" si="33"/>
        <v>1600</v>
      </c>
      <c r="E166" s="116">
        <f t="shared" si="30"/>
        <v>2953.1600842964899</v>
      </c>
      <c r="F166" s="47">
        <v>1</v>
      </c>
      <c r="G166" s="3">
        <f t="shared" si="31"/>
        <v>388181960.51737487</v>
      </c>
      <c r="H166" s="3">
        <f t="shared" si="32"/>
        <v>0.43095128742753414</v>
      </c>
      <c r="I166" s="8">
        <f t="shared" si="34"/>
        <v>494026813792.44165</v>
      </c>
    </row>
    <row r="167" spans="1:12" ht="15.6" x14ac:dyDescent="0.3">
      <c r="D167" s="56">
        <f t="shared" si="33"/>
        <v>1700</v>
      </c>
      <c r="E167" s="116">
        <f t="shared" si="30"/>
        <v>3137.7325895650201</v>
      </c>
      <c r="F167" s="47">
        <v>1</v>
      </c>
      <c r="G167" s="3">
        <f t="shared" si="31"/>
        <v>451707910.22933954</v>
      </c>
      <c r="H167" s="3">
        <f t="shared" si="32"/>
        <v>0.46601801419030181</v>
      </c>
      <c r="I167" s="8">
        <f t="shared" si="34"/>
        <v>660505334202.98267</v>
      </c>
    </row>
    <row r="168" spans="1:12" ht="15.6" x14ac:dyDescent="0.3">
      <c r="D168" s="56">
        <f t="shared" si="33"/>
        <v>1800</v>
      </c>
      <c r="E168" s="116">
        <f t="shared" si="30"/>
        <v>3322.3050948335508</v>
      </c>
      <c r="F168" s="47">
        <v>1</v>
      </c>
      <c r="G168" s="3">
        <f t="shared" si="31"/>
        <v>521094699.04467303</v>
      </c>
      <c r="H168" s="3">
        <f t="shared" si="32"/>
        <v>0.50081013119069129</v>
      </c>
      <c r="I168" s="8">
        <f t="shared" si="34"/>
        <v>867020314699.98499</v>
      </c>
    </row>
    <row r="169" spans="1:12" ht="15.6" x14ac:dyDescent="0.3">
      <c r="D169" s="56">
        <f t="shared" si="33"/>
        <v>1900</v>
      </c>
      <c r="E169" s="116">
        <f t="shared" si="30"/>
        <v>3506.8776001020815</v>
      </c>
      <c r="F169" s="47">
        <v>1</v>
      </c>
      <c r="G169" s="3">
        <f t="shared" si="31"/>
        <v>596512288.54870534</v>
      </c>
      <c r="H169" s="3">
        <f t="shared" si="32"/>
        <v>0.53535138444043617</v>
      </c>
      <c r="I169" s="8">
        <f t="shared" si="34"/>
        <v>1119899196408.7874</v>
      </c>
    </row>
    <row r="170" spans="1:12" ht="15.6" x14ac:dyDescent="0.3">
      <c r="D170" s="56">
        <f t="shared" si="33"/>
        <v>2000</v>
      </c>
      <c r="E170" s="116">
        <f t="shared" si="30"/>
        <v>3691.4501053706122</v>
      </c>
      <c r="F170" s="47">
        <v>1</v>
      </c>
      <c r="G170" s="3">
        <f t="shared" si="31"/>
        <v>678125977.62187064</v>
      </c>
      <c r="H170" s="3">
        <f t="shared" si="32"/>
        <v>0.56966466127746995</v>
      </c>
      <c r="I170" s="8">
        <f t="shared" si="34"/>
        <v>1426023437817.468</v>
      </c>
    </row>
    <row r="171" spans="1:12" ht="16.2" thickBot="1" x14ac:dyDescent="0.35">
      <c r="D171" s="31">
        <f t="shared" si="33"/>
        <v>2100</v>
      </c>
      <c r="E171" s="117">
        <f t="shared" si="30"/>
        <v>3876.0226106391424</v>
      </c>
      <c r="F171" s="55">
        <v>1</v>
      </c>
      <c r="G171" s="9">
        <f t="shared" si="31"/>
        <v>766096766.51550639</v>
      </c>
      <c r="H171" s="9">
        <f t="shared" si="32"/>
        <v>0.60377133059823862</v>
      </c>
      <c r="I171" s="10">
        <f t="shared" si="34"/>
        <v>1792843654086.9031</v>
      </c>
    </row>
    <row r="174" spans="1:12" ht="15" thickBot="1" x14ac:dyDescent="0.35">
      <c r="A174" s="2" t="s">
        <v>72</v>
      </c>
      <c r="B174" s="139" t="s">
        <v>86</v>
      </c>
      <c r="C174" s="139"/>
      <c r="D174" s="139"/>
      <c r="E174" s="139"/>
      <c r="F174" s="139"/>
      <c r="G174" s="61"/>
      <c r="H174" s="139" t="s">
        <v>87</v>
      </c>
      <c r="I174" s="139"/>
      <c r="J174" s="139"/>
      <c r="K174" s="139"/>
    </row>
    <row r="175" spans="1:12" ht="18" x14ac:dyDescent="0.3">
      <c r="A175" s="2" t="s">
        <v>85</v>
      </c>
      <c r="B175" s="62" t="s">
        <v>23</v>
      </c>
      <c r="C175" s="37" t="s">
        <v>73</v>
      </c>
      <c r="D175" s="37" t="s">
        <v>10</v>
      </c>
      <c r="E175" s="37" t="s">
        <v>11</v>
      </c>
      <c r="F175" s="37" t="s">
        <v>74</v>
      </c>
      <c r="G175" s="61" t="s">
        <v>75</v>
      </c>
      <c r="H175" s="62" t="s">
        <v>23</v>
      </c>
      <c r="I175" s="37" t="s">
        <v>73</v>
      </c>
      <c r="J175" s="37" t="s">
        <v>10</v>
      </c>
      <c r="K175" s="37" t="s">
        <v>11</v>
      </c>
      <c r="L175" s="37" t="s">
        <v>74</v>
      </c>
    </row>
    <row r="176" spans="1:12" ht="15" thickBot="1" x14ac:dyDescent="0.35">
      <c r="B176" s="14">
        <f>300</f>
        <v>300</v>
      </c>
      <c r="C176" s="63">
        <f>3/2*$D$2*B176</f>
        <v>3741.5124000000001</v>
      </c>
      <c r="D176" s="63">
        <f t="shared" ref="D176:D194" si="35">3/2*$D$2*B176</f>
        <v>3741.5124000000001</v>
      </c>
      <c r="E176" s="63">
        <f>$D$2*($B$12)/(EXP($B$12/B176)-1) + 0.5*$B$12</f>
        <v>1585.0316539452754</v>
      </c>
      <c r="F176" s="64">
        <v>0</v>
      </c>
      <c r="H176" s="73">
        <f>300</f>
        <v>300</v>
      </c>
      <c r="I176" s="86">
        <f>3/2*$D$2*H176 /4184</f>
        <v>0.89424292543021033</v>
      </c>
      <c r="J176" s="86">
        <f>3/2*$D$2*H176 / 4184</f>
        <v>0.89424292543021033</v>
      </c>
      <c r="K176" s="86">
        <f>$D$2*($B$12)/(EXP($B$12/B176)-1) + 0.5*$B$12/ 4184</f>
        <v>1.0603226833251946</v>
      </c>
      <c r="L176" s="87">
        <f xml:space="preserve"> F176/4184</f>
        <v>0</v>
      </c>
    </row>
    <row r="177" spans="2:14" x14ac:dyDescent="0.3">
      <c r="B177" s="14">
        <f>B176+100</f>
        <v>400</v>
      </c>
      <c r="C177" s="63">
        <f t="shared" ref="C177:C194" si="36">3/2*$D$2*B177</f>
        <v>4988.6831999999995</v>
      </c>
      <c r="D177" s="63">
        <f t="shared" si="35"/>
        <v>4988.6831999999995</v>
      </c>
      <c r="E177" s="63">
        <f t="shared" ref="E177:E193" si="37">$D$2*($B$12)/(EXP($B$12/B177)-1) + 0.5*$B$12</f>
        <v>1593.9109503564791</v>
      </c>
      <c r="H177" s="14">
        <f>H176+100</f>
        <v>400</v>
      </c>
      <c r="I177" s="63">
        <f t="shared" ref="I177:I194" si="38">3/2*$D$2*H177 /4184</f>
        <v>1.1923239005736137</v>
      </c>
      <c r="J177" s="63">
        <f t="shared" ref="J177:J194" si="39">3/2*$D$2*H177 / 4184</f>
        <v>1.1923239005736137</v>
      </c>
      <c r="K177" s="63">
        <f>$D$2*($B$12)/(EXP($B$12/B176)-1) + 0.5*$B$12/ 4184</f>
        <v>1.0603226833251946</v>
      </c>
      <c r="M177" s="144" t="s">
        <v>93</v>
      </c>
      <c r="N177" s="144"/>
    </row>
    <row r="178" spans="2:14" ht="18.600000000000001" thickBot="1" x14ac:dyDescent="0.35">
      <c r="B178" s="14">
        <f t="shared" ref="B178:B194" si="40">B177+100</f>
        <v>500</v>
      </c>
      <c r="C178" s="63">
        <f t="shared" si="36"/>
        <v>6235.8539999999994</v>
      </c>
      <c r="D178" s="63">
        <f t="shared" si="35"/>
        <v>6235.8539999999994</v>
      </c>
      <c r="E178" s="63">
        <f t="shared" si="37"/>
        <v>1631.0360199313236</v>
      </c>
      <c r="H178" s="14">
        <f t="shared" ref="H178:H194" si="41">H177+100</f>
        <v>500</v>
      </c>
      <c r="I178" s="63">
        <f t="shared" si="38"/>
        <v>1.490404875717017</v>
      </c>
      <c r="J178" s="63">
        <f t="shared" si="39"/>
        <v>1.490404875717017</v>
      </c>
      <c r="K178" s="63">
        <f t="shared" ref="K178:K194" si="42">$D$2*($B$12)/(EXP($B$12/B177)-1) + 0.5*$B$12/ 4184</f>
        <v>9.9396190945289948</v>
      </c>
      <c r="M178" s="143" t="s">
        <v>88</v>
      </c>
      <c r="N178" s="143"/>
    </row>
    <row r="179" spans="2:14" x14ac:dyDescent="0.3">
      <c r="B179" s="14">
        <f t="shared" si="40"/>
        <v>600</v>
      </c>
      <c r="C179" s="63">
        <f t="shared" si="36"/>
        <v>7483.0248000000001</v>
      </c>
      <c r="D179" s="63">
        <f t="shared" si="35"/>
        <v>7483.0248000000001</v>
      </c>
      <c r="E179" s="63">
        <f t="shared" si="37"/>
        <v>1719.0442110278134</v>
      </c>
      <c r="H179" s="14">
        <f t="shared" si="41"/>
        <v>600</v>
      </c>
      <c r="I179" s="63">
        <f t="shared" si="38"/>
        <v>1.7884858508604207</v>
      </c>
      <c r="J179" s="63">
        <f t="shared" si="39"/>
        <v>1.7884858508604207</v>
      </c>
      <c r="K179" s="63">
        <f t="shared" si="42"/>
        <v>47.064688669373332</v>
      </c>
      <c r="M179" s="72"/>
      <c r="N179" s="68" t="s">
        <v>21</v>
      </c>
    </row>
    <row r="180" spans="2:14" x14ac:dyDescent="0.3">
      <c r="B180" s="14">
        <f t="shared" si="40"/>
        <v>700</v>
      </c>
      <c r="C180" s="63">
        <f t="shared" si="36"/>
        <v>8730.1955999999991</v>
      </c>
      <c r="D180" s="63">
        <f t="shared" si="35"/>
        <v>8730.1955999999991</v>
      </c>
      <c r="E180" s="63">
        <f t="shared" si="37"/>
        <v>1872.4290984298179</v>
      </c>
      <c r="H180" s="14">
        <f t="shared" si="41"/>
        <v>700</v>
      </c>
      <c r="I180" s="63">
        <f t="shared" si="38"/>
        <v>2.0865668260038239</v>
      </c>
      <c r="J180" s="63">
        <f t="shared" si="39"/>
        <v>2.0865668260038239</v>
      </c>
      <c r="K180" s="63">
        <f t="shared" si="42"/>
        <v>135.07287976586326</v>
      </c>
      <c r="M180" s="73"/>
      <c r="N180" s="78" t="s">
        <v>4</v>
      </c>
    </row>
    <row r="181" spans="2:14" x14ac:dyDescent="0.3">
      <c r="B181" s="14">
        <f t="shared" si="40"/>
        <v>800</v>
      </c>
      <c r="C181" s="63">
        <f t="shared" si="36"/>
        <v>9977.366399999999</v>
      </c>
      <c r="D181" s="63">
        <f t="shared" si="35"/>
        <v>9977.366399999999</v>
      </c>
      <c r="E181" s="63">
        <f t="shared" si="37"/>
        <v>2095.8918807950622</v>
      </c>
      <c r="H181" s="14">
        <f t="shared" si="41"/>
        <v>800</v>
      </c>
      <c r="I181" s="63">
        <f t="shared" si="38"/>
        <v>2.3846478011472274</v>
      </c>
      <c r="J181" s="63">
        <f t="shared" si="39"/>
        <v>2.3846478011472274</v>
      </c>
      <c r="K181" s="63">
        <f t="shared" si="42"/>
        <v>288.4577671678677</v>
      </c>
      <c r="M181" s="73" t="s">
        <v>6</v>
      </c>
      <c r="N181" s="79">
        <v>4.63</v>
      </c>
    </row>
    <row r="182" spans="2:14" x14ac:dyDescent="0.3">
      <c r="B182" s="14">
        <f t="shared" si="40"/>
        <v>900</v>
      </c>
      <c r="C182" s="63">
        <f t="shared" si="36"/>
        <v>11224.537199999999</v>
      </c>
      <c r="D182" s="63">
        <f t="shared" si="35"/>
        <v>11224.537199999999</v>
      </c>
      <c r="E182" s="63">
        <f t="shared" si="37"/>
        <v>2387.3214395029831</v>
      </c>
      <c r="H182" s="14">
        <f t="shared" si="41"/>
        <v>900</v>
      </c>
      <c r="I182" s="63">
        <f t="shared" si="38"/>
        <v>2.6827287762906309</v>
      </c>
      <c r="J182" s="63">
        <f t="shared" si="39"/>
        <v>2.6827287762906309</v>
      </c>
      <c r="K182" s="63">
        <f t="shared" si="42"/>
        <v>511.9205495331118</v>
      </c>
      <c r="M182" s="73" t="s">
        <v>7</v>
      </c>
      <c r="N182" s="79" t="s">
        <v>8</v>
      </c>
    </row>
    <row r="183" spans="2:14" x14ac:dyDescent="0.3">
      <c r="B183" s="14">
        <f t="shared" si="40"/>
        <v>1000</v>
      </c>
      <c r="C183" s="63">
        <f t="shared" si="36"/>
        <v>12471.707999999999</v>
      </c>
      <c r="D183" s="63">
        <f t="shared" si="35"/>
        <v>12471.707999999999</v>
      </c>
      <c r="E183" s="63">
        <f t="shared" si="37"/>
        <v>2741.068728205244</v>
      </c>
      <c r="H183" s="14">
        <f t="shared" si="41"/>
        <v>1000</v>
      </c>
      <c r="I183" s="63">
        <f t="shared" si="38"/>
        <v>2.9808097514340339</v>
      </c>
      <c r="J183" s="63">
        <f t="shared" si="39"/>
        <v>2.9808097514340339</v>
      </c>
      <c r="K183" s="63">
        <f t="shared" si="42"/>
        <v>803.35010824103279</v>
      </c>
      <c r="M183" s="73" t="s">
        <v>9</v>
      </c>
      <c r="N183" s="79">
        <v>0.88900000000000001</v>
      </c>
    </row>
    <row r="184" spans="2:14" x14ac:dyDescent="0.3">
      <c r="B184" s="14">
        <f t="shared" si="40"/>
        <v>1100</v>
      </c>
      <c r="C184" s="63">
        <f t="shared" si="36"/>
        <v>13718.8788</v>
      </c>
      <c r="D184" s="63">
        <f t="shared" si="35"/>
        <v>13718.8788</v>
      </c>
      <c r="E184" s="63">
        <f t="shared" si="37"/>
        <v>3150.1810459412718</v>
      </c>
      <c r="H184" s="14">
        <f t="shared" si="41"/>
        <v>1100</v>
      </c>
      <c r="I184" s="63">
        <f t="shared" si="38"/>
        <v>3.2788907265774379</v>
      </c>
      <c r="J184" s="63">
        <f t="shared" si="39"/>
        <v>3.2788907265774379</v>
      </c>
      <c r="K184" s="63">
        <f t="shared" si="42"/>
        <v>1157.0973969432939</v>
      </c>
      <c r="M184" s="73" t="s">
        <v>10</v>
      </c>
      <c r="N184" s="79">
        <v>0.59199999999999997</v>
      </c>
    </row>
    <row r="185" spans="2:14" ht="15" thickBot="1" x14ac:dyDescent="0.35">
      <c r="B185" s="14">
        <f t="shared" si="40"/>
        <v>1200</v>
      </c>
      <c r="C185" s="63">
        <f t="shared" si="36"/>
        <v>14966.0496</v>
      </c>
      <c r="D185" s="63">
        <f t="shared" si="35"/>
        <v>14966.0496</v>
      </c>
      <c r="E185" s="63">
        <f t="shared" si="37"/>
        <v>3607.6429762950502</v>
      </c>
      <c r="H185" s="14">
        <f t="shared" si="41"/>
        <v>1200</v>
      </c>
      <c r="I185" s="63">
        <f t="shared" si="38"/>
        <v>3.5769717017208413</v>
      </c>
      <c r="J185" s="63">
        <f t="shared" si="39"/>
        <v>3.5769717017208413</v>
      </c>
      <c r="K185" s="63">
        <f t="shared" si="42"/>
        <v>1566.2097146793217</v>
      </c>
      <c r="M185" s="74" t="s">
        <v>11</v>
      </c>
      <c r="N185" s="81">
        <v>3.149</v>
      </c>
    </row>
    <row r="186" spans="2:14" x14ac:dyDescent="0.3">
      <c r="B186" s="14">
        <f t="shared" si="40"/>
        <v>1300</v>
      </c>
      <c r="C186" s="63">
        <f t="shared" si="36"/>
        <v>16213.2204</v>
      </c>
      <c r="D186" s="63">
        <f t="shared" si="35"/>
        <v>16213.2204</v>
      </c>
      <c r="E186" s="63">
        <f t="shared" si="37"/>
        <v>4106.9643203373034</v>
      </c>
      <c r="H186" s="14">
        <f t="shared" si="41"/>
        <v>1300</v>
      </c>
      <c r="I186" s="63">
        <f t="shared" si="38"/>
        <v>3.8750526768642448</v>
      </c>
      <c r="J186" s="63">
        <f t="shared" si="39"/>
        <v>3.8750526768642448</v>
      </c>
      <c r="K186" s="63">
        <f t="shared" si="42"/>
        <v>2023.6716450330998</v>
      </c>
      <c r="N186" s="83"/>
    </row>
    <row r="187" spans="2:14" x14ac:dyDescent="0.3">
      <c r="B187" s="14">
        <f t="shared" si="40"/>
        <v>1400</v>
      </c>
      <c r="C187" s="63">
        <f t="shared" si="36"/>
        <v>17460.391199999998</v>
      </c>
      <c r="D187" s="63">
        <f t="shared" si="35"/>
        <v>17460.391199999998</v>
      </c>
      <c r="E187" s="63">
        <f t="shared" si="37"/>
        <v>4642.4003831764021</v>
      </c>
      <c r="H187" s="14">
        <f t="shared" si="41"/>
        <v>1400</v>
      </c>
      <c r="I187" s="63">
        <f t="shared" si="38"/>
        <v>4.1731336520076479</v>
      </c>
      <c r="J187" s="63">
        <f t="shared" si="39"/>
        <v>4.1731336520076479</v>
      </c>
      <c r="K187" s="63">
        <f t="shared" si="42"/>
        <v>2522.9929890753538</v>
      </c>
    </row>
    <row r="188" spans="2:14" ht="15" thickBot="1" x14ac:dyDescent="0.35">
      <c r="B188" s="14">
        <f t="shared" si="40"/>
        <v>1500</v>
      </c>
      <c r="C188" s="63">
        <f t="shared" si="36"/>
        <v>18707.561999999998</v>
      </c>
      <c r="D188" s="63">
        <f t="shared" si="35"/>
        <v>18707.561999999998</v>
      </c>
      <c r="E188" s="63">
        <f t="shared" si="37"/>
        <v>5208.9852410331714</v>
      </c>
      <c r="H188" s="14">
        <f t="shared" si="41"/>
        <v>1500</v>
      </c>
      <c r="I188" s="63">
        <f t="shared" si="38"/>
        <v>4.4712146271510509</v>
      </c>
      <c r="J188" s="63">
        <f t="shared" si="39"/>
        <v>4.4712146271510509</v>
      </c>
      <c r="K188" s="63">
        <f t="shared" si="42"/>
        <v>3058.4290519144524</v>
      </c>
    </row>
    <row r="189" spans="2:14" ht="15" thickBot="1" x14ac:dyDescent="0.35">
      <c r="B189" s="14">
        <f t="shared" si="40"/>
        <v>1600</v>
      </c>
      <c r="C189" s="63">
        <f t="shared" si="36"/>
        <v>19954.732799999998</v>
      </c>
      <c r="D189" s="63">
        <f t="shared" si="35"/>
        <v>19954.732799999998</v>
      </c>
      <c r="E189" s="63">
        <f t="shared" si="37"/>
        <v>5802.4795269544684</v>
      </c>
      <c r="H189" s="14">
        <f t="shared" si="41"/>
        <v>1600</v>
      </c>
      <c r="I189" s="63">
        <f t="shared" si="38"/>
        <v>4.7692956022944548</v>
      </c>
      <c r="J189" s="63">
        <f t="shared" si="39"/>
        <v>4.7692956022944548</v>
      </c>
      <c r="K189" s="63">
        <f t="shared" si="42"/>
        <v>3625.0139097712213</v>
      </c>
      <c r="M189" s="32" t="s">
        <v>99</v>
      </c>
      <c r="N189" s="128">
        <f>SUM(I176:L176)</f>
        <v>2.8488085341856153</v>
      </c>
    </row>
    <row r="190" spans="2:14" x14ac:dyDescent="0.3">
      <c r="B190" s="14">
        <f t="shared" si="40"/>
        <v>1700</v>
      </c>
      <c r="C190" s="63">
        <f t="shared" si="36"/>
        <v>21201.903599999998</v>
      </c>
      <c r="D190" s="63">
        <f t="shared" si="35"/>
        <v>21201.903599999998</v>
      </c>
      <c r="E190" s="63">
        <f t="shared" si="37"/>
        <v>6419.2858647857556</v>
      </c>
      <c r="H190" s="14">
        <f t="shared" si="41"/>
        <v>1700</v>
      </c>
      <c r="I190" s="63">
        <f t="shared" si="38"/>
        <v>5.0673765774378579</v>
      </c>
      <c r="J190" s="63">
        <f t="shared" si="39"/>
        <v>5.0673765774378579</v>
      </c>
      <c r="K190" s="63">
        <f t="shared" si="42"/>
        <v>4218.5081956925178</v>
      </c>
    </row>
    <row r="191" spans="2:14" x14ac:dyDescent="0.3">
      <c r="B191" s="14">
        <f t="shared" si="40"/>
        <v>1800</v>
      </c>
      <c r="C191" s="63">
        <f t="shared" si="36"/>
        <v>22449.074399999998</v>
      </c>
      <c r="D191" s="63">
        <f t="shared" si="35"/>
        <v>22449.074399999998</v>
      </c>
      <c r="E191" s="63">
        <f t="shared" si="37"/>
        <v>7056.3580445508123</v>
      </c>
      <c r="H191" s="14">
        <f t="shared" si="41"/>
        <v>1800</v>
      </c>
      <c r="I191" s="63">
        <f t="shared" si="38"/>
        <v>5.3654575525812618</v>
      </c>
      <c r="J191" s="63">
        <f t="shared" si="39"/>
        <v>5.3654575525812618</v>
      </c>
      <c r="K191" s="63">
        <f t="shared" si="42"/>
        <v>4835.314533523805</v>
      </c>
    </row>
    <row r="192" spans="2:14" x14ac:dyDescent="0.3">
      <c r="B192" s="14">
        <f t="shared" si="40"/>
        <v>1900</v>
      </c>
      <c r="C192" s="63">
        <f t="shared" si="36"/>
        <v>23696.245199999998</v>
      </c>
      <c r="D192" s="63">
        <f t="shared" si="35"/>
        <v>23696.245199999998</v>
      </c>
      <c r="E192" s="63">
        <f t="shared" si="37"/>
        <v>7711.1157107770487</v>
      </c>
      <c r="H192" s="14">
        <f t="shared" si="41"/>
        <v>1900</v>
      </c>
      <c r="I192" s="63">
        <f t="shared" si="38"/>
        <v>5.6635385277246648</v>
      </c>
      <c r="J192" s="63">
        <f t="shared" si="39"/>
        <v>5.6635385277246648</v>
      </c>
      <c r="K192" s="63">
        <f t="shared" si="42"/>
        <v>5472.3867132888618</v>
      </c>
    </row>
    <row r="193" spans="1:15" x14ac:dyDescent="0.3">
      <c r="B193" s="14">
        <f t="shared" si="40"/>
        <v>2000</v>
      </c>
      <c r="C193" s="63">
        <f t="shared" si="36"/>
        <v>24943.415999999997</v>
      </c>
      <c r="D193" s="63">
        <f t="shared" si="35"/>
        <v>24943.415999999997</v>
      </c>
      <c r="E193" s="63">
        <f t="shared" si="37"/>
        <v>8381.3690591145623</v>
      </c>
      <c r="H193" s="14">
        <f t="shared" si="41"/>
        <v>2000</v>
      </c>
      <c r="I193" s="63">
        <f t="shared" si="38"/>
        <v>5.9616195028680679</v>
      </c>
      <c r="J193" s="63">
        <f t="shared" si="39"/>
        <v>5.9616195028680679</v>
      </c>
      <c r="K193" s="63">
        <f t="shared" si="42"/>
        <v>6127.144379515099</v>
      </c>
    </row>
    <row r="194" spans="1:15" ht="15" thickBot="1" x14ac:dyDescent="0.35">
      <c r="B194" s="16">
        <f t="shared" si="40"/>
        <v>2100</v>
      </c>
      <c r="C194" s="64">
        <f t="shared" si="36"/>
        <v>26190.586799999997</v>
      </c>
      <c r="D194" s="64">
        <f t="shared" si="35"/>
        <v>26190.586799999997</v>
      </c>
      <c r="E194" s="63">
        <f>$D$2*($B$12)/(EXP($B$12/B194)-1) + 0.5*$B$12</f>
        <v>9065.2545116710517</v>
      </c>
      <c r="F194" s="3"/>
      <c r="H194" s="16">
        <f t="shared" si="41"/>
        <v>2100</v>
      </c>
      <c r="I194" s="64">
        <f t="shared" si="38"/>
        <v>6.2597004780114718</v>
      </c>
      <c r="J194" s="64">
        <f t="shared" si="39"/>
        <v>6.2597004780114718</v>
      </c>
      <c r="K194" s="63">
        <f t="shared" si="42"/>
        <v>6797.3977278526127</v>
      </c>
      <c r="L194" s="3"/>
    </row>
    <row r="196" spans="1:15" ht="15" thickBot="1" x14ac:dyDescent="0.35"/>
    <row r="197" spans="1:15" ht="15" thickBot="1" x14ac:dyDescent="0.35">
      <c r="F197" s="18"/>
      <c r="G197" s="21"/>
      <c r="H197" s="21"/>
      <c r="I197" s="19"/>
      <c r="K197" s="54" t="s">
        <v>83</v>
      </c>
    </row>
    <row r="198" spans="1:15" ht="16.8" thickBot="1" x14ac:dyDescent="0.35">
      <c r="B198" s="93" t="s">
        <v>79</v>
      </c>
      <c r="C198" s="94">
        <f xml:space="preserve"> ($C$2*$C$2) /(8*$B$2*$B$2*$A$2*$H$198)</f>
        <v>0.54179250508905508</v>
      </c>
      <c r="F198" s="14"/>
      <c r="H198" s="2">
        <f>SQRT(E6*E6+F6*F6+G6*G6)</f>
        <v>7.4339890379487223E-46</v>
      </c>
      <c r="I198" s="15" t="s">
        <v>78</v>
      </c>
      <c r="K198" s="115">
        <v>1</v>
      </c>
      <c r="L198" s="2" t="s">
        <v>101</v>
      </c>
    </row>
    <row r="199" spans="1:15" ht="15" thickBot="1" x14ac:dyDescent="0.35">
      <c r="F199" s="16"/>
      <c r="G199" s="23"/>
      <c r="H199" s="23"/>
      <c r="I199" s="17"/>
    </row>
    <row r="200" spans="1:15" ht="15" thickBot="1" x14ac:dyDescent="0.35">
      <c r="A200" s="2" t="s">
        <v>76</v>
      </c>
      <c r="B200" s="139" t="s">
        <v>77</v>
      </c>
      <c r="C200" s="139"/>
      <c r="D200" s="139"/>
      <c r="E200" s="139"/>
      <c r="F200" s="139"/>
      <c r="H200" s="139" t="s">
        <v>95</v>
      </c>
      <c r="I200" s="139"/>
      <c r="J200" s="139"/>
      <c r="K200" s="139"/>
      <c r="L200" s="139"/>
    </row>
    <row r="201" spans="1:15" ht="18" x14ac:dyDescent="0.3">
      <c r="A201" s="2" t="s">
        <v>77</v>
      </c>
      <c r="B201" s="58" t="s">
        <v>23</v>
      </c>
      <c r="C201" s="37" t="s">
        <v>94</v>
      </c>
      <c r="D201" s="37" t="s">
        <v>73</v>
      </c>
      <c r="E201" s="37" t="s">
        <v>10</v>
      </c>
      <c r="F201" s="37" t="s">
        <v>11</v>
      </c>
      <c r="G201" s="37" t="s">
        <v>74</v>
      </c>
      <c r="H201" s="58" t="s">
        <v>23</v>
      </c>
      <c r="I201" s="37" t="s">
        <v>73</v>
      </c>
      <c r="J201" s="37" t="s">
        <v>10</v>
      </c>
      <c r="K201" s="37" t="s">
        <v>11</v>
      </c>
      <c r="L201" s="37" t="s">
        <v>74</v>
      </c>
      <c r="O201" s="1"/>
    </row>
    <row r="202" spans="1:15" ht="15" thickBot="1" x14ac:dyDescent="0.35">
      <c r="B202" s="56">
        <f>300</f>
        <v>300</v>
      </c>
      <c r="C202" s="63">
        <f>($A$2*B202)/$J$2</f>
        <v>4.0876387860843815E-26</v>
      </c>
      <c r="D202" s="92">
        <f xml:space="preserve"> $D$2 *( 5/2  +   LN(  ((2*$B$2*$E$2*$A$2*B202)/($C$2*$C$2) )^1.5  * ($D$2*B202 )/($F$2*$J$2)  ) )</f>
        <v>150.42609502366409</v>
      </c>
      <c r="E202" s="63">
        <f t="shared" ref="E202:E220" si="43">$D$2 *LN( (EXP(1)*B202) / ($B$6 * $C$198))</f>
        <v>60.834120282925866</v>
      </c>
      <c r="F202" s="63">
        <f>$D$2*(($B$12)/B202)/(EXP($B$12/B176)-1)-LN(1-EXP((-1*$B$12/B202)))</f>
        <v>2.298052564213531E-3</v>
      </c>
      <c r="G202" s="64">
        <f>$D$2*LN(K198)</f>
        <v>0</v>
      </c>
      <c r="H202" s="84">
        <f>300</f>
        <v>300</v>
      </c>
      <c r="I202" s="86">
        <f xml:space="preserve"> $D$2 *( 5/2  +   LN(  ((2*$B$2*$E$2*$A$2*B202)/($C$2*$C$2) )^1.5  * ($D$2*B202 )/($F$2*$J$2)  ) ) / 4.184</f>
        <v>35.952699575445529</v>
      </c>
      <c r="J202" s="86">
        <f>$D$2 *LN( (EXP(1)*H202) / ($B$6 * $C$198)) / 4.184</f>
        <v>14.539703700508094</v>
      </c>
      <c r="K202" s="86">
        <f>$D$2*(($B$12)/B202)/(EXP($B$12/B176)-1)-LN(1-EXP((-1*$B$12/B202)))/ 4.184</f>
        <v>2.2783635524388081E-3</v>
      </c>
      <c r="L202" s="89">
        <f>$D$2*LN(K198)</f>
        <v>0</v>
      </c>
      <c r="O202" s="1"/>
    </row>
    <row r="203" spans="1:15" x14ac:dyDescent="0.3">
      <c r="B203" s="56">
        <f>B202+100</f>
        <v>400</v>
      </c>
      <c r="C203" s="63">
        <f t="shared" ref="C203:C220" si="44">($A$2*B203)/$J$2</f>
        <v>5.4501850481125095E-26</v>
      </c>
      <c r="D203" s="92">
        <f t="shared" ref="D203:D220" si="45" xml:space="preserve"> $D$2 *( 5/2  +   LN(  ((2*$B$2*$E$2*$A$2*B203)/($C$2*$C$2) )^1.5  * ($D$2*B203 )/($F$2*$J$2)  ) )</f>
        <v>156.40590636441979</v>
      </c>
      <c r="E203" s="63">
        <f t="shared" si="43"/>
        <v>63.226044819228171</v>
      </c>
      <c r="F203" s="63">
        <f t="shared" ref="F203:F220" si="46">$D$2*(($B$12)/B203)/(EXP($B$12/B177)-1)-LN(1-EXP((-1*$B$12/B203)))</f>
        <v>2.4265208635597193E-2</v>
      </c>
      <c r="H203" s="56">
        <f>H202+100</f>
        <v>400</v>
      </c>
      <c r="I203" s="92">
        <f xml:space="preserve"> $D$2 *( 5/2  +   LN(  ((2*$B$2*$E$2*$A$2*B203)/($C$2*$C$2) )^1.5  * ($D$2*B203 )/($F$2*$J$2)  ) )/ 4.184</f>
        <v>37.381908786907218</v>
      </c>
      <c r="J203" s="63">
        <f t="shared" ref="J203:J220" si="47">$D$2 *LN( (EXP(1)*H203) / ($B$6 * $C$198)) / 4.184</f>
        <v>15.111387385092774</v>
      </c>
      <c r="K203" s="63">
        <f>$D$2*(($B$12)/B202)/(EXP($B$12/B176)-1)-LN(1-EXP((-1*$B$12/B202)))/ 4.184</f>
        <v>2.2783635524388081E-3</v>
      </c>
      <c r="O203" s="83"/>
    </row>
    <row r="204" spans="1:15" ht="18" x14ac:dyDescent="0.3">
      <c r="B204" s="56">
        <f t="shared" ref="B204:B220" si="48">B203+100</f>
        <v>500</v>
      </c>
      <c r="C204" s="63">
        <f t="shared" si="44"/>
        <v>6.8127313101406362E-26</v>
      </c>
      <c r="D204" s="92">
        <f t="shared" si="45"/>
        <v>161.04420838787627</v>
      </c>
      <c r="E204" s="63">
        <f t="shared" si="43"/>
        <v>65.081365628610726</v>
      </c>
      <c r="F204" s="63">
        <f t="shared" si="46"/>
        <v>9.5142501596666526E-2</v>
      </c>
      <c r="H204" s="56">
        <f t="shared" ref="H204:H220" si="49">H203+100</f>
        <v>500</v>
      </c>
      <c r="I204" s="92">
        <f t="shared" ref="I204:I220" si="50" xml:space="preserve"> $D$2 *( 5/2  +   LN(  ((2*$B$2*$E$2*$A$2*B204)/($C$2*$C$2) )^1.5  * ($D$2*B204 )/($F$2*$J$2)  ) )/ 4.184</f>
        <v>38.490489576452262</v>
      </c>
      <c r="J204" s="63">
        <f t="shared" si="47"/>
        <v>15.554819700910786</v>
      </c>
      <c r="K204" s="63">
        <f t="shared" ref="K204:K220" si="51">$D$2*(($B$12)/B203)/(EXP($B$12/B177)-1)-LN(1-EXP((-1*$B$12/B203)))/ 4.184</f>
        <v>2.398909499836813E-2</v>
      </c>
      <c r="M204" s="145"/>
      <c r="N204" s="145"/>
      <c r="O204" s="83"/>
    </row>
    <row r="205" spans="1:15" ht="18.600000000000001" thickBot="1" x14ac:dyDescent="0.35">
      <c r="B205" s="56">
        <f t="shared" si="48"/>
        <v>600</v>
      </c>
      <c r="C205" s="63">
        <f t="shared" si="44"/>
        <v>8.175277572168763E-26</v>
      </c>
      <c r="D205" s="92">
        <f t="shared" si="45"/>
        <v>164.83397708527565</v>
      </c>
      <c r="E205" s="63">
        <f t="shared" si="43"/>
        <v>66.597273107570487</v>
      </c>
      <c r="F205" s="63">
        <f t="shared" si="46"/>
        <v>0.22958982504140843</v>
      </c>
      <c r="H205" s="56">
        <f t="shared" si="49"/>
        <v>600</v>
      </c>
      <c r="I205" s="92">
        <f t="shared" si="50"/>
        <v>39.396266033765691</v>
      </c>
      <c r="J205" s="63">
        <f t="shared" si="47"/>
        <v>15.917130283836158</v>
      </c>
      <c r="K205" s="63">
        <f t="shared" si="51"/>
        <v>9.3795190372690088E-2</v>
      </c>
      <c r="M205" s="145" t="s">
        <v>88</v>
      </c>
      <c r="N205" s="145"/>
      <c r="O205" s="83"/>
    </row>
    <row r="206" spans="1:15" x14ac:dyDescent="0.3">
      <c r="B206" s="56">
        <f t="shared" si="48"/>
        <v>700</v>
      </c>
      <c r="C206" s="63">
        <f t="shared" si="44"/>
        <v>9.5378238341968898E-26</v>
      </c>
      <c r="D206" s="92">
        <f t="shared" si="45"/>
        <v>168.03818086328752</v>
      </c>
      <c r="E206" s="63">
        <f t="shared" si="43"/>
        <v>67.878954618775182</v>
      </c>
      <c r="F206" s="63">
        <f t="shared" si="46"/>
        <v>0.4224166456011087</v>
      </c>
      <c r="H206" s="56">
        <f t="shared" si="49"/>
        <v>700</v>
      </c>
      <c r="I206" s="92">
        <f t="shared" si="50"/>
        <v>40.162089116464514</v>
      </c>
      <c r="J206" s="63">
        <f t="shared" si="47"/>
        <v>16.223459516915675</v>
      </c>
      <c r="K206" s="63">
        <f t="shared" si="51"/>
        <v>0.22570915508978781</v>
      </c>
      <c r="M206" s="72"/>
      <c r="N206" s="68" t="s">
        <v>3</v>
      </c>
      <c r="O206" s="83"/>
    </row>
    <row r="207" spans="1:15" x14ac:dyDescent="0.3">
      <c r="B207" s="56">
        <f t="shared" si="48"/>
        <v>800</v>
      </c>
      <c r="C207" s="63">
        <f t="shared" si="44"/>
        <v>1.0900370096225019E-25</v>
      </c>
      <c r="D207" s="92">
        <f t="shared" si="45"/>
        <v>170.81378842603135</v>
      </c>
      <c r="E207" s="63">
        <f t="shared" si="43"/>
        <v>68.989197643872785</v>
      </c>
      <c r="F207" s="63">
        <f t="shared" si="46"/>
        <v>0.65865751236921322</v>
      </c>
      <c r="H207" s="56">
        <f t="shared" si="49"/>
        <v>800</v>
      </c>
      <c r="I207" s="92">
        <f t="shared" si="50"/>
        <v>40.825475245227373</v>
      </c>
      <c r="J207" s="63">
        <f t="shared" si="47"/>
        <v>16.488813968420835</v>
      </c>
      <c r="K207" s="63">
        <f t="shared" si="51"/>
        <v>0.41414077482973116</v>
      </c>
      <c r="M207" s="73"/>
      <c r="N207" s="78" t="s">
        <v>5</v>
      </c>
      <c r="O207" s="83"/>
    </row>
    <row r="208" spans="1:15" x14ac:dyDescent="0.3">
      <c r="B208" s="56">
        <f t="shared" si="48"/>
        <v>900</v>
      </c>
      <c r="C208" s="63">
        <f t="shared" si="44"/>
        <v>1.2262916358253145E-25</v>
      </c>
      <c r="D208" s="92">
        <f t="shared" si="45"/>
        <v>173.26204780613148</v>
      </c>
      <c r="E208" s="63">
        <f t="shared" si="43"/>
        <v>69.968501395912782</v>
      </c>
      <c r="F208" s="63">
        <f t="shared" si="46"/>
        <v>0.92221311313289078</v>
      </c>
      <c r="H208" s="56">
        <f t="shared" si="49"/>
        <v>900</v>
      </c>
      <c r="I208" s="92">
        <f t="shared" si="50"/>
        <v>41.410623280624158</v>
      </c>
      <c r="J208" s="63">
        <f t="shared" si="47"/>
        <v>16.722873182579537</v>
      </c>
      <c r="K208" s="63">
        <f t="shared" si="51"/>
        <v>0.64402346986939774</v>
      </c>
      <c r="M208" s="73" t="s">
        <v>6</v>
      </c>
      <c r="N208" s="80">
        <v>47.234000000000002</v>
      </c>
      <c r="O208" s="83"/>
    </row>
    <row r="209" spans="1:14" x14ac:dyDescent="0.3">
      <c r="B209" s="56">
        <f t="shared" si="48"/>
        <v>1000</v>
      </c>
      <c r="C209" s="63">
        <f t="shared" si="44"/>
        <v>1.3625462620281272E-25</v>
      </c>
      <c r="D209" s="92">
        <f t="shared" si="45"/>
        <v>175.4520904494878</v>
      </c>
      <c r="E209" s="63">
        <f t="shared" si="43"/>
        <v>70.844518453255347</v>
      </c>
      <c r="F209" s="63">
        <f t="shared" si="46"/>
        <v>1.1996870223891747</v>
      </c>
      <c r="H209" s="56">
        <f t="shared" si="49"/>
        <v>1000</v>
      </c>
      <c r="I209" s="92">
        <f t="shared" si="50"/>
        <v>41.934056034772418</v>
      </c>
      <c r="J209" s="63">
        <f t="shared" si="47"/>
        <v>16.93224628423885</v>
      </c>
      <c r="K209" s="63">
        <f t="shared" si="51"/>
        <v>0.8993660678768588</v>
      </c>
      <c r="M209" s="73" t="s">
        <v>7</v>
      </c>
      <c r="N209" s="80">
        <v>0</v>
      </c>
    </row>
    <row r="210" spans="1:14" x14ac:dyDescent="0.3">
      <c r="B210" s="56">
        <f t="shared" si="48"/>
        <v>1100</v>
      </c>
      <c r="C210" s="63">
        <f t="shared" si="44"/>
        <v>1.4988008882309398E-25</v>
      </c>
      <c r="D210" s="92">
        <f t="shared" si="45"/>
        <v>177.43322500273291</v>
      </c>
      <c r="E210" s="63">
        <f t="shared" si="43"/>
        <v>71.636972274553358</v>
      </c>
      <c r="F210" s="63">
        <f t="shared" si="46"/>
        <v>1.4812168154261514</v>
      </c>
      <c r="H210" s="56">
        <f t="shared" si="49"/>
        <v>1100</v>
      </c>
      <c r="I210" s="92">
        <f t="shared" si="50"/>
        <v>42.407558557058536</v>
      </c>
      <c r="J210" s="63">
        <f t="shared" si="47"/>
        <v>17.121647293153288</v>
      </c>
      <c r="K210" s="63">
        <f t="shared" si="51"/>
        <v>1.1669883969872541</v>
      </c>
      <c r="M210" s="73" t="s">
        <v>9</v>
      </c>
      <c r="N210" s="80">
        <v>35.923000000000002</v>
      </c>
    </row>
    <row r="211" spans="1:14" x14ac:dyDescent="0.3">
      <c r="A211" s="3"/>
      <c r="B211" s="56">
        <f t="shared" si="48"/>
        <v>1200</v>
      </c>
      <c r="C211" s="63">
        <f t="shared" si="44"/>
        <v>1.6350555144337526E-25</v>
      </c>
      <c r="D211" s="92">
        <f t="shared" si="45"/>
        <v>179.24185914688718</v>
      </c>
      <c r="E211" s="63">
        <f t="shared" si="43"/>
        <v>72.360425932215094</v>
      </c>
      <c r="F211" s="63">
        <f t="shared" si="46"/>
        <v>1.7600681638961286</v>
      </c>
      <c r="H211" s="56">
        <f t="shared" si="49"/>
        <v>1200</v>
      </c>
      <c r="I211" s="92">
        <f t="shared" si="50"/>
        <v>42.839832492085847</v>
      </c>
      <c r="J211" s="63">
        <f t="shared" si="47"/>
        <v>17.294556867164218</v>
      </c>
      <c r="K211" s="63">
        <f t="shared" si="51"/>
        <v>1.4372815372948411</v>
      </c>
      <c r="M211" s="73" t="s">
        <v>10</v>
      </c>
      <c r="N211" s="80">
        <v>11.31</v>
      </c>
    </row>
    <row r="212" spans="1:14" ht="15" thickBot="1" x14ac:dyDescent="0.35">
      <c r="B212" s="56">
        <f t="shared" si="48"/>
        <v>1300</v>
      </c>
      <c r="C212" s="63">
        <f t="shared" si="44"/>
        <v>1.7713101406365654E-25</v>
      </c>
      <c r="D212" s="92">
        <f t="shared" si="45"/>
        <v>180.9056412762767</v>
      </c>
      <c r="E212" s="63">
        <f t="shared" si="43"/>
        <v>73.025938783970901</v>
      </c>
      <c r="F212" s="63">
        <f t="shared" si="46"/>
        <v>2.0319108649689754</v>
      </c>
      <c r="H212" s="56">
        <f t="shared" si="49"/>
        <v>1300</v>
      </c>
      <c r="I212" s="92">
        <f t="shared" si="50"/>
        <v>43.237485964693285</v>
      </c>
      <c r="J212" s="63">
        <f t="shared" si="47"/>
        <v>17.453618256207193</v>
      </c>
      <c r="K212" s="63">
        <f t="shared" si="51"/>
        <v>1.7037616780590332</v>
      </c>
      <c r="M212" s="74" t="s">
        <v>11</v>
      </c>
      <c r="N212" s="82">
        <v>1E-3</v>
      </c>
    </row>
    <row r="213" spans="1:14" x14ac:dyDescent="0.3">
      <c r="B213" s="56">
        <f t="shared" si="48"/>
        <v>1400</v>
      </c>
      <c r="C213" s="63">
        <f t="shared" si="44"/>
        <v>1.907564766839378E-25</v>
      </c>
      <c r="D213" s="92">
        <f t="shared" si="45"/>
        <v>182.44606292489891</v>
      </c>
      <c r="E213" s="63">
        <f t="shared" si="43"/>
        <v>73.642107443419789</v>
      </c>
      <c r="F213" s="63">
        <f t="shared" si="46"/>
        <v>2.2941374082864852</v>
      </c>
      <c r="H213" s="56">
        <f t="shared" si="49"/>
        <v>1400</v>
      </c>
      <c r="I213" s="92">
        <f t="shared" si="50"/>
        <v>43.605655574784635</v>
      </c>
      <c r="J213" s="63">
        <f t="shared" si="47"/>
        <v>17.600886100243734</v>
      </c>
      <c r="K213" s="63">
        <f t="shared" si="51"/>
        <v>1.9623268349046998</v>
      </c>
    </row>
    <row r="214" spans="1:14" ht="15" thickBot="1" x14ac:dyDescent="0.35">
      <c r="B214" s="56">
        <f t="shared" si="48"/>
        <v>1500</v>
      </c>
      <c r="C214" s="63">
        <f t="shared" si="44"/>
        <v>2.0438193930421908E-25</v>
      </c>
      <c r="D214" s="92">
        <f t="shared" si="45"/>
        <v>183.88016117034363</v>
      </c>
      <c r="E214" s="63">
        <f t="shared" si="43"/>
        <v>74.215746741597641</v>
      </c>
      <c r="F214" s="63">
        <f t="shared" si="46"/>
        <v>2.545324800699782</v>
      </c>
      <c r="H214" s="56">
        <f t="shared" si="49"/>
        <v>1500</v>
      </c>
      <c r="I214" s="92">
        <f t="shared" si="50"/>
        <v>43.948413281630884</v>
      </c>
      <c r="J214" s="63">
        <f t="shared" si="47"/>
        <v>17.737989182982226</v>
      </c>
      <c r="K214" s="63">
        <f t="shared" si="51"/>
        <v>2.2105682859250795</v>
      </c>
    </row>
    <row r="215" spans="1:14" ht="15" thickBot="1" x14ac:dyDescent="0.35">
      <c r="B215" s="56">
        <f t="shared" si="48"/>
        <v>1600</v>
      </c>
      <c r="C215" s="63">
        <f t="shared" si="44"/>
        <v>2.1800740192450038E-25</v>
      </c>
      <c r="D215" s="92">
        <f t="shared" si="45"/>
        <v>185.22167048764288</v>
      </c>
      <c r="E215" s="63">
        <f t="shared" si="43"/>
        <v>74.752350468517392</v>
      </c>
      <c r="F215" s="63">
        <f t="shared" si="46"/>
        <v>2.7848412240068448</v>
      </c>
      <c r="H215" s="56">
        <f t="shared" si="49"/>
        <v>1600</v>
      </c>
      <c r="I215" s="92">
        <f t="shared" si="50"/>
        <v>44.269041703547529</v>
      </c>
      <c r="J215" s="63">
        <f t="shared" si="47"/>
        <v>17.866240551748898</v>
      </c>
      <c r="K215" s="63">
        <f t="shared" si="51"/>
        <v>2.4472316457137175</v>
      </c>
      <c r="M215" s="32" t="s">
        <v>99</v>
      </c>
      <c r="N215" s="129">
        <f>SUM(I202:L202)</f>
        <v>50.494681639506062</v>
      </c>
    </row>
    <row r="216" spans="1:14" x14ac:dyDescent="0.3">
      <c r="B216" s="56">
        <f t="shared" si="48"/>
        <v>1700</v>
      </c>
      <c r="C216" s="63">
        <f t="shared" si="44"/>
        <v>2.3163286454478159E-25</v>
      </c>
      <c r="D216" s="92">
        <f t="shared" si="45"/>
        <v>186.48182478915118</v>
      </c>
      <c r="E216" s="63">
        <f t="shared" si="43"/>
        <v>75.256412189120738</v>
      </c>
      <c r="F216" s="63">
        <f t="shared" si="46"/>
        <v>3.0125699408999442</v>
      </c>
      <c r="H216" s="56">
        <f t="shared" si="49"/>
        <v>1700</v>
      </c>
      <c r="I216" s="92">
        <f t="shared" si="50"/>
        <v>44.570225810026571</v>
      </c>
      <c r="J216" s="63">
        <f t="shared" si="47"/>
        <v>17.986714194340522</v>
      </c>
      <c r="K216" s="63">
        <f t="shared" si="51"/>
        <v>2.6718257606707065</v>
      </c>
    </row>
    <row r="217" spans="1:14" x14ac:dyDescent="0.3">
      <c r="B217" s="56">
        <f t="shared" si="48"/>
        <v>1800</v>
      </c>
      <c r="C217" s="63">
        <f t="shared" si="44"/>
        <v>2.4525832716506289E-25</v>
      </c>
      <c r="D217" s="92">
        <f t="shared" si="45"/>
        <v>187.66992986774287</v>
      </c>
      <c r="E217" s="63">
        <f t="shared" si="43"/>
        <v>75.731654220557388</v>
      </c>
      <c r="F217" s="63">
        <f t="shared" si="46"/>
        <v>3.2287199884633284</v>
      </c>
      <c r="H217" s="56">
        <f t="shared" si="49"/>
        <v>1800</v>
      </c>
      <c r="I217" s="92">
        <f t="shared" si="50"/>
        <v>44.854189738944278</v>
      </c>
      <c r="J217" s="63">
        <f t="shared" si="47"/>
        <v>18.100299765907597</v>
      </c>
      <c r="K217" s="63">
        <f t="shared" si="51"/>
        <v>2.8843500018287807</v>
      </c>
    </row>
    <row r="218" spans="1:14" x14ac:dyDescent="0.3">
      <c r="B218" s="56">
        <f t="shared" si="48"/>
        <v>1900</v>
      </c>
      <c r="C218" s="63">
        <f t="shared" si="44"/>
        <v>2.5888378978534419E-25</v>
      </c>
      <c r="D218" s="92">
        <f t="shared" si="45"/>
        <v>188.79378086116682</v>
      </c>
      <c r="E218" s="63">
        <f t="shared" si="43"/>
        <v>76.181194617926906</v>
      </c>
      <c r="F218" s="63">
        <f t="shared" si="46"/>
        <v>3.4336983482204917</v>
      </c>
      <c r="H218" s="56">
        <f t="shared" si="49"/>
        <v>1900</v>
      </c>
      <c r="I218" s="92">
        <f t="shared" si="50"/>
        <v>45.122796572936622</v>
      </c>
      <c r="J218" s="63">
        <f t="shared" si="47"/>
        <v>18.207742499504519</v>
      </c>
      <c r="K218" s="63">
        <f t="shared" si="51"/>
        <v>3.0851085607982491</v>
      </c>
    </row>
    <row r="219" spans="1:14" x14ac:dyDescent="0.3">
      <c r="B219" s="56">
        <f t="shared" si="48"/>
        <v>2000</v>
      </c>
      <c r="C219" s="63">
        <f t="shared" si="44"/>
        <v>2.7250925240562545E-25</v>
      </c>
      <c r="D219" s="92">
        <f t="shared" si="45"/>
        <v>189.85997251109936</v>
      </c>
      <c r="E219" s="63">
        <f t="shared" si="43"/>
        <v>76.607671277899954</v>
      </c>
      <c r="F219" s="63">
        <f t="shared" si="46"/>
        <v>3.6280246518963724</v>
      </c>
      <c r="H219" s="56">
        <f t="shared" si="49"/>
        <v>2000</v>
      </c>
      <c r="I219" s="92">
        <f t="shared" si="50"/>
        <v>45.377622493092581</v>
      </c>
      <c r="J219" s="63">
        <f t="shared" si="47"/>
        <v>18.30967286756691</v>
      </c>
      <c r="K219" s="63">
        <f t="shared" si="51"/>
        <v>3.2745860024067945</v>
      </c>
    </row>
    <row r="220" spans="1:14" ht="15" thickBot="1" x14ac:dyDescent="0.35">
      <c r="B220" s="31">
        <f t="shared" si="48"/>
        <v>2100</v>
      </c>
      <c r="C220" s="64">
        <f t="shared" si="44"/>
        <v>2.8613471502590675E-25</v>
      </c>
      <c r="D220" s="95">
        <f t="shared" si="45"/>
        <v>190.87413364575477</v>
      </c>
      <c r="E220" s="64">
        <f t="shared" si="43"/>
        <v>77.013335731762098</v>
      </c>
      <c r="F220" s="64">
        <f t="shared" si="46"/>
        <v>3.8122749322792173</v>
      </c>
      <c r="G220" s="3"/>
      <c r="H220" s="31">
        <f t="shared" si="49"/>
        <v>2100</v>
      </c>
      <c r="I220" s="95">
        <f t="shared" si="50"/>
        <v>45.620012821643108</v>
      </c>
      <c r="J220" s="64">
        <f t="shared" si="47"/>
        <v>18.406628998987117</v>
      </c>
      <c r="K220" s="64">
        <f t="shared" si="51"/>
        <v>3.4533649603266632</v>
      </c>
      <c r="L220" s="3"/>
    </row>
    <row r="224" spans="1:14" ht="15" thickBot="1" x14ac:dyDescent="0.35">
      <c r="A224" s="2" t="s">
        <v>80</v>
      </c>
      <c r="B224" s="139" t="s">
        <v>96</v>
      </c>
      <c r="C224" s="139"/>
      <c r="D224" s="139"/>
      <c r="E224" s="139"/>
      <c r="F224" s="139"/>
      <c r="H224" s="139" t="s">
        <v>97</v>
      </c>
      <c r="I224" s="139"/>
      <c r="J224" s="139"/>
      <c r="K224" s="139"/>
      <c r="L224" s="139"/>
    </row>
    <row r="225" spans="1:15" ht="18" x14ac:dyDescent="0.3">
      <c r="A225" s="2" t="s">
        <v>77</v>
      </c>
      <c r="B225" s="58" t="s">
        <v>23</v>
      </c>
      <c r="C225" s="37" t="s">
        <v>73</v>
      </c>
      <c r="D225" s="37" t="s">
        <v>10</v>
      </c>
      <c r="E225" s="37" t="s">
        <v>11</v>
      </c>
      <c r="F225" s="37" t="s">
        <v>74</v>
      </c>
      <c r="H225" s="58" t="s">
        <v>23</v>
      </c>
      <c r="I225" s="37" t="s">
        <v>73</v>
      </c>
      <c r="J225" s="37" t="s">
        <v>10</v>
      </c>
      <c r="K225" s="37" t="s">
        <v>11</v>
      </c>
      <c r="L225" s="37" t="s">
        <v>74</v>
      </c>
    </row>
    <row r="226" spans="1:15" ht="15" thickBot="1" x14ac:dyDescent="0.35">
      <c r="B226" s="56">
        <f>300</f>
        <v>300</v>
      </c>
      <c r="C226" s="63">
        <f>3/2*$D$2</f>
        <v>12.471708</v>
      </c>
      <c r="D226" s="63">
        <f>3/2*$D$2</f>
        <v>12.471708</v>
      </c>
      <c r="E226" s="63">
        <f>$D$2*(($B$12)*($B$12*EXP($B$12/B226))/(B226*B226*(EXP(($B$12)/B226)-1)^2))</f>
        <v>2.4000141568153718E-2</v>
      </c>
      <c r="F226" s="64">
        <v>0</v>
      </c>
      <c r="H226" s="56">
        <f>300</f>
        <v>300</v>
      </c>
      <c r="I226" s="86">
        <f>3/2*$D$2 / 4.184</f>
        <v>2.9808097514340344</v>
      </c>
      <c r="J226" s="86">
        <f>3/2*$D$2 / 4.184</f>
        <v>2.9808097514340344</v>
      </c>
      <c r="K226" s="86">
        <f>$D$2*(($B$12)*($B$12*EXP($B$12/B226))/(B226*B226*(EXP(($B$12)/B226)-1)^2))/ 4.184</f>
        <v>5.7361715029048081E-3</v>
      </c>
      <c r="L226" s="89">
        <v>0</v>
      </c>
    </row>
    <row r="227" spans="1:15" x14ac:dyDescent="0.3">
      <c r="B227" s="56">
        <f>B226+100</f>
        <v>400</v>
      </c>
      <c r="C227" s="63">
        <f t="shared" ref="C227:D244" si="52">3/2*$D$2</f>
        <v>12.471708</v>
      </c>
      <c r="D227" s="63">
        <f t="shared" si="52"/>
        <v>12.471708</v>
      </c>
      <c r="E227" s="63">
        <f t="shared" ref="E227:E244" si="53">$D$2*(($B$12)*($B$12*EXP($B$12/B227))/(B227*B227*(EXP(($B$12)/B227)-1)^2))</f>
        <v>0.18941736057020916</v>
      </c>
      <c r="H227" s="56">
        <f>H226+100</f>
        <v>400</v>
      </c>
      <c r="I227" s="63">
        <f t="shared" ref="I227:J244" si="54">3/2*$D$2 / 4.184</f>
        <v>2.9808097514340344</v>
      </c>
      <c r="J227" s="63">
        <f t="shared" si="54"/>
        <v>2.9808097514340344</v>
      </c>
      <c r="K227" s="63">
        <f>$D$2*(($B$12)*($B$12*EXP($B$12/B226))/(B226*B226*(EXP(($B$12)/B226)-1)^2))/ 4.184</f>
        <v>5.7361715029048081E-3</v>
      </c>
    </row>
    <row r="228" spans="1:15" ht="18.600000000000001" thickBot="1" x14ac:dyDescent="0.35">
      <c r="B228" s="56">
        <f t="shared" ref="B228:B244" si="55">B227+100</f>
        <v>500</v>
      </c>
      <c r="C228" s="63">
        <f t="shared" si="52"/>
        <v>12.471708</v>
      </c>
      <c r="D228" s="63">
        <f t="shared" si="52"/>
        <v>12.471708</v>
      </c>
      <c r="E228" s="63">
        <f t="shared" si="53"/>
        <v>0.5927845392649993</v>
      </c>
      <c r="H228" s="56">
        <f t="shared" ref="H228:H244" si="56">H227+100</f>
        <v>500</v>
      </c>
      <c r="I228" s="63">
        <f t="shared" si="54"/>
        <v>2.9808097514340344</v>
      </c>
      <c r="J228" s="63">
        <f t="shared" si="54"/>
        <v>2.9808097514340344</v>
      </c>
      <c r="K228" s="63">
        <f t="shared" ref="K228:K244" si="57">$D$2*(($B$12)*($B$12*EXP($B$12/B227))/(B227*B227*(EXP(($B$12)/B227)-1)^2))/ 4.184</f>
        <v>4.5271835700336799E-2</v>
      </c>
      <c r="M228" s="145" t="s">
        <v>88</v>
      </c>
      <c r="N228" s="145"/>
    </row>
    <row r="229" spans="1:15" x14ac:dyDescent="0.3">
      <c r="B229" s="56">
        <f t="shared" si="55"/>
        <v>600</v>
      </c>
      <c r="C229" s="63">
        <f t="shared" si="52"/>
        <v>12.471708</v>
      </c>
      <c r="D229" s="63">
        <f t="shared" si="52"/>
        <v>12.471708</v>
      </c>
      <c r="E229" s="63">
        <f t="shared" si="53"/>
        <v>1.1916321913596124</v>
      </c>
      <c r="H229" s="56">
        <f t="shared" si="56"/>
        <v>600</v>
      </c>
      <c r="I229" s="63">
        <f t="shared" si="54"/>
        <v>2.9808097514340344</v>
      </c>
      <c r="J229" s="63">
        <f t="shared" si="54"/>
        <v>2.9808097514340344</v>
      </c>
      <c r="K229" s="63">
        <f t="shared" si="57"/>
        <v>0.14167890517805909</v>
      </c>
      <c r="M229" s="72"/>
      <c r="N229" s="68" t="s">
        <v>82</v>
      </c>
      <c r="O229" s="1"/>
    </row>
    <row r="230" spans="1:15" x14ac:dyDescent="0.3">
      <c r="B230" s="56">
        <f t="shared" si="55"/>
        <v>700</v>
      </c>
      <c r="C230" s="63">
        <f t="shared" si="52"/>
        <v>12.471708</v>
      </c>
      <c r="D230" s="63">
        <f t="shared" si="52"/>
        <v>12.471708</v>
      </c>
      <c r="E230" s="63">
        <f t="shared" si="53"/>
        <v>1.8833011808023707</v>
      </c>
      <c r="H230" s="56">
        <f t="shared" si="56"/>
        <v>700</v>
      </c>
      <c r="I230" s="63">
        <f t="shared" si="54"/>
        <v>2.9808097514340344</v>
      </c>
      <c r="J230" s="63">
        <f t="shared" si="54"/>
        <v>2.9808097514340344</v>
      </c>
      <c r="K230" s="63">
        <f t="shared" si="57"/>
        <v>0.28480692910124578</v>
      </c>
      <c r="M230" s="73"/>
      <c r="N230" s="78" t="s">
        <v>5</v>
      </c>
      <c r="O230" s="1"/>
    </row>
    <row r="231" spans="1:15" x14ac:dyDescent="0.3">
      <c r="B231" s="56">
        <f t="shared" si="55"/>
        <v>800</v>
      </c>
      <c r="C231" s="63">
        <f t="shared" si="52"/>
        <v>12.471708</v>
      </c>
      <c r="D231" s="63">
        <f t="shared" si="52"/>
        <v>12.471708</v>
      </c>
      <c r="E231" s="63">
        <f t="shared" si="53"/>
        <v>2.5818671909242865</v>
      </c>
      <c r="H231" s="56">
        <f t="shared" si="56"/>
        <v>800</v>
      </c>
      <c r="I231" s="63">
        <f t="shared" si="54"/>
        <v>2.9808097514340344</v>
      </c>
      <c r="J231" s="63">
        <f t="shared" si="54"/>
        <v>2.9808097514340344</v>
      </c>
      <c r="K231" s="63">
        <f t="shared" si="57"/>
        <v>0.45011978508660866</v>
      </c>
      <c r="M231" s="73" t="s">
        <v>6</v>
      </c>
      <c r="N231" s="80">
        <v>4.9729999999999999</v>
      </c>
      <c r="O231" s="83"/>
    </row>
    <row r="232" spans="1:15" x14ac:dyDescent="0.3">
      <c r="B232" s="56">
        <f t="shared" si="55"/>
        <v>900</v>
      </c>
      <c r="C232" s="63">
        <f t="shared" si="52"/>
        <v>12.471708</v>
      </c>
      <c r="D232" s="63">
        <f t="shared" si="52"/>
        <v>12.471708</v>
      </c>
      <c r="E232" s="63">
        <f t="shared" si="53"/>
        <v>3.2369415966175357</v>
      </c>
      <c r="H232" s="56">
        <f t="shared" si="56"/>
        <v>900</v>
      </c>
      <c r="I232" s="63">
        <f t="shared" si="54"/>
        <v>2.9808097514340344</v>
      </c>
      <c r="J232" s="63">
        <f t="shared" si="54"/>
        <v>2.9808097514340344</v>
      </c>
      <c r="K232" s="63">
        <f t="shared" si="57"/>
        <v>0.61708106857655032</v>
      </c>
      <c r="M232" s="73" t="s">
        <v>7</v>
      </c>
      <c r="N232" s="80" t="s">
        <v>8</v>
      </c>
      <c r="O232" s="83"/>
    </row>
    <row r="233" spans="1:15" x14ac:dyDescent="0.3">
      <c r="B233" s="56">
        <f t="shared" si="55"/>
        <v>1000</v>
      </c>
      <c r="C233" s="63">
        <f t="shared" si="52"/>
        <v>12.471708</v>
      </c>
      <c r="D233" s="63">
        <f t="shared" si="52"/>
        <v>12.471708</v>
      </c>
      <c r="E233" s="63">
        <f t="shared" si="53"/>
        <v>3.8262186489840566</v>
      </c>
      <c r="H233" s="56">
        <f t="shared" si="56"/>
        <v>1000</v>
      </c>
      <c r="I233" s="63">
        <f t="shared" si="54"/>
        <v>2.9808097514340344</v>
      </c>
      <c r="J233" s="63">
        <f t="shared" si="54"/>
        <v>2.9808097514340344</v>
      </c>
      <c r="K233" s="63">
        <f t="shared" si="57"/>
        <v>0.77364760913421027</v>
      </c>
      <c r="M233" s="73" t="s">
        <v>9</v>
      </c>
      <c r="N233" s="80">
        <v>2.9809999999999999</v>
      </c>
      <c r="O233" s="83"/>
    </row>
    <row r="234" spans="1:15" x14ac:dyDescent="0.3">
      <c r="B234" s="56">
        <f t="shared" si="55"/>
        <v>1100</v>
      </c>
      <c r="C234" s="63">
        <f t="shared" si="52"/>
        <v>12.471708</v>
      </c>
      <c r="D234" s="63">
        <f t="shared" si="52"/>
        <v>12.471708</v>
      </c>
      <c r="E234" s="63">
        <f t="shared" si="53"/>
        <v>4.3442442096473455</v>
      </c>
      <c r="H234" s="56">
        <f t="shared" si="56"/>
        <v>1100</v>
      </c>
      <c r="I234" s="63">
        <f t="shared" si="54"/>
        <v>2.9808097514340344</v>
      </c>
      <c r="J234" s="63">
        <f t="shared" si="54"/>
        <v>2.9808097514340344</v>
      </c>
      <c r="K234" s="63">
        <f t="shared" si="57"/>
        <v>0.91448820482410531</v>
      </c>
      <c r="M234" s="73" t="s">
        <v>10</v>
      </c>
      <c r="N234" s="80">
        <v>1.9870000000000001</v>
      </c>
      <c r="O234" s="83"/>
    </row>
    <row r="235" spans="1:15" ht="15" thickBot="1" x14ac:dyDescent="0.35">
      <c r="B235" s="56">
        <f t="shared" si="55"/>
        <v>1200</v>
      </c>
      <c r="C235" s="63">
        <f t="shared" si="52"/>
        <v>12.471708</v>
      </c>
      <c r="D235" s="63">
        <f t="shared" si="52"/>
        <v>12.471708</v>
      </c>
      <c r="E235" s="63">
        <f t="shared" si="53"/>
        <v>4.7941448460751301</v>
      </c>
      <c r="H235" s="56">
        <f t="shared" si="56"/>
        <v>1200</v>
      </c>
      <c r="I235" s="63">
        <f t="shared" si="54"/>
        <v>2.9808097514340344</v>
      </c>
      <c r="J235" s="63">
        <f t="shared" si="54"/>
        <v>2.9808097514340344</v>
      </c>
      <c r="K235" s="63">
        <f t="shared" si="57"/>
        <v>1.0382992852885624</v>
      </c>
      <c r="M235" s="74" t="s">
        <v>11</v>
      </c>
      <c r="N235" s="82">
        <v>5.0000000000000001E-3</v>
      </c>
      <c r="O235" s="83"/>
    </row>
    <row r="236" spans="1:15" x14ac:dyDescent="0.3">
      <c r="B236" s="56">
        <f t="shared" si="55"/>
        <v>1300</v>
      </c>
      <c r="C236" s="63">
        <f t="shared" si="52"/>
        <v>12.471708</v>
      </c>
      <c r="D236" s="63">
        <f t="shared" si="52"/>
        <v>12.471708</v>
      </c>
      <c r="E236" s="63">
        <f t="shared" si="53"/>
        <v>5.1827042889104469</v>
      </c>
      <c r="H236" s="56">
        <f t="shared" si="56"/>
        <v>1300</v>
      </c>
      <c r="I236" s="63">
        <f t="shared" si="54"/>
        <v>2.9808097514340344</v>
      </c>
      <c r="J236" s="63">
        <f t="shared" si="54"/>
        <v>2.9808097514340344</v>
      </c>
      <c r="K236" s="63">
        <f t="shared" si="57"/>
        <v>1.1458281180867902</v>
      </c>
      <c r="N236" s="83"/>
      <c r="O236" s="83"/>
    </row>
    <row r="237" spans="1:15" x14ac:dyDescent="0.3">
      <c r="B237" s="56">
        <f t="shared" si="55"/>
        <v>1400</v>
      </c>
      <c r="C237" s="63">
        <f t="shared" si="52"/>
        <v>12.471708</v>
      </c>
      <c r="D237" s="63">
        <f t="shared" si="52"/>
        <v>12.471708</v>
      </c>
      <c r="E237" s="63">
        <f t="shared" si="53"/>
        <v>5.5177503125641305</v>
      </c>
      <c r="H237" s="56">
        <f t="shared" si="56"/>
        <v>1400</v>
      </c>
      <c r="I237" s="63">
        <f t="shared" si="54"/>
        <v>2.9808097514340344</v>
      </c>
      <c r="J237" s="63">
        <f t="shared" si="54"/>
        <v>2.9808097514340344</v>
      </c>
      <c r="K237" s="63">
        <f t="shared" si="57"/>
        <v>1.2386960537548868</v>
      </c>
    </row>
    <row r="238" spans="1:15" ht="15" thickBot="1" x14ac:dyDescent="0.35">
      <c r="B238" s="56">
        <f t="shared" si="55"/>
        <v>1500</v>
      </c>
      <c r="C238" s="63">
        <f t="shared" si="52"/>
        <v>12.471708</v>
      </c>
      <c r="D238" s="63">
        <f t="shared" si="52"/>
        <v>12.471708</v>
      </c>
      <c r="E238" s="63">
        <f t="shared" si="53"/>
        <v>5.8068959005403888</v>
      </c>
      <c r="H238" s="56">
        <f t="shared" si="56"/>
        <v>1500</v>
      </c>
      <c r="I238" s="63">
        <f t="shared" si="54"/>
        <v>2.9808097514340344</v>
      </c>
      <c r="J238" s="63">
        <f t="shared" si="54"/>
        <v>2.9808097514340344</v>
      </c>
      <c r="K238" s="63">
        <f t="shared" si="57"/>
        <v>1.3187739752782339</v>
      </c>
    </row>
    <row r="239" spans="1:15" ht="15" thickBot="1" x14ac:dyDescent="0.35">
      <c r="B239" s="56">
        <f t="shared" si="55"/>
        <v>1600</v>
      </c>
      <c r="C239" s="63">
        <f t="shared" si="52"/>
        <v>12.471708</v>
      </c>
      <c r="D239" s="63">
        <f t="shared" si="52"/>
        <v>12.471708</v>
      </c>
      <c r="E239" s="63">
        <f t="shared" si="53"/>
        <v>6.0570095824239241</v>
      </c>
      <c r="H239" s="56">
        <f t="shared" si="56"/>
        <v>1600</v>
      </c>
      <c r="I239" s="63">
        <f t="shared" si="54"/>
        <v>2.9808097514340344</v>
      </c>
      <c r="J239" s="63">
        <f t="shared" si="54"/>
        <v>2.9808097514340344</v>
      </c>
      <c r="K239" s="63">
        <f t="shared" si="57"/>
        <v>1.387881429383458</v>
      </c>
      <c r="M239" s="32" t="s">
        <v>99</v>
      </c>
      <c r="N239" s="128">
        <f>SUM(I226:L226)</f>
        <v>5.9673556743709737</v>
      </c>
    </row>
    <row r="240" spans="1:15" x14ac:dyDescent="0.3">
      <c r="B240" s="56">
        <f t="shared" si="55"/>
        <v>1700</v>
      </c>
      <c r="C240" s="63">
        <f t="shared" si="52"/>
        <v>12.471708</v>
      </c>
      <c r="D240" s="63">
        <f t="shared" si="52"/>
        <v>12.471708</v>
      </c>
      <c r="E240" s="63">
        <f t="shared" si="53"/>
        <v>6.2740544693586457</v>
      </c>
      <c r="H240" s="56">
        <f t="shared" si="56"/>
        <v>1700</v>
      </c>
      <c r="I240" s="63">
        <f t="shared" si="54"/>
        <v>2.9808097514340344</v>
      </c>
      <c r="J240" s="63">
        <f t="shared" si="54"/>
        <v>2.9808097514340344</v>
      </c>
      <c r="K240" s="63">
        <f t="shared" si="57"/>
        <v>1.4476600340401347</v>
      </c>
    </row>
    <row r="241" spans="1:12" x14ac:dyDescent="0.3">
      <c r="B241" s="56">
        <f t="shared" si="55"/>
        <v>1800</v>
      </c>
      <c r="C241" s="63">
        <f t="shared" si="52"/>
        <v>12.471708</v>
      </c>
      <c r="D241" s="63">
        <f t="shared" si="52"/>
        <v>12.471708</v>
      </c>
      <c r="E241" s="63">
        <f t="shared" si="53"/>
        <v>6.4631011000304932</v>
      </c>
      <c r="H241" s="56">
        <f t="shared" si="56"/>
        <v>1800</v>
      </c>
      <c r="I241" s="63">
        <f t="shared" si="54"/>
        <v>2.9808097514340344</v>
      </c>
      <c r="J241" s="63">
        <f t="shared" si="54"/>
        <v>2.9808097514340344</v>
      </c>
      <c r="K241" s="63">
        <f t="shared" si="57"/>
        <v>1.4995350070168847</v>
      </c>
    </row>
    <row r="242" spans="1:12" x14ac:dyDescent="0.3">
      <c r="B242" s="56">
        <f t="shared" si="55"/>
        <v>1900</v>
      </c>
      <c r="C242" s="63">
        <f t="shared" si="52"/>
        <v>12.471708</v>
      </c>
      <c r="D242" s="63">
        <f t="shared" si="52"/>
        <v>12.471708</v>
      </c>
      <c r="E242" s="63">
        <f t="shared" si="53"/>
        <v>6.6284132531760882</v>
      </c>
      <c r="H242" s="56">
        <f t="shared" si="56"/>
        <v>1900</v>
      </c>
      <c r="I242" s="63">
        <f t="shared" si="54"/>
        <v>2.9808097514340344</v>
      </c>
      <c r="J242" s="63">
        <f t="shared" si="54"/>
        <v>2.9808097514340344</v>
      </c>
      <c r="K242" s="63">
        <f t="shared" si="57"/>
        <v>1.5447182361449554</v>
      </c>
    </row>
    <row r="243" spans="1:12" x14ac:dyDescent="0.3">
      <c r="B243" s="56">
        <f t="shared" si="55"/>
        <v>2000</v>
      </c>
      <c r="C243" s="63">
        <f t="shared" si="52"/>
        <v>12.471708</v>
      </c>
      <c r="D243" s="63">
        <f t="shared" si="52"/>
        <v>12.471708</v>
      </c>
      <c r="E243" s="63">
        <f t="shared" si="53"/>
        <v>6.7735567129194969</v>
      </c>
      <c r="H243" s="56">
        <f t="shared" si="56"/>
        <v>2000</v>
      </c>
      <c r="I243" s="63">
        <f t="shared" si="54"/>
        <v>2.9808097514340344</v>
      </c>
      <c r="J243" s="63">
        <f t="shared" si="54"/>
        <v>2.9808097514340344</v>
      </c>
      <c r="K243" s="63">
        <f t="shared" si="57"/>
        <v>1.5842287890000211</v>
      </c>
    </row>
    <row r="244" spans="1:12" ht="15" thickBot="1" x14ac:dyDescent="0.35">
      <c r="B244" s="31">
        <f t="shared" si="55"/>
        <v>2100</v>
      </c>
      <c r="C244" s="64">
        <f t="shared" si="52"/>
        <v>12.471708</v>
      </c>
      <c r="D244" s="64">
        <f t="shared" si="52"/>
        <v>12.471708</v>
      </c>
      <c r="E244" s="64">
        <f t="shared" si="53"/>
        <v>6.9015075890790172</v>
      </c>
      <c r="F244" s="3"/>
      <c r="H244" s="31">
        <f t="shared" si="56"/>
        <v>2100</v>
      </c>
      <c r="I244" s="64">
        <f t="shared" si="54"/>
        <v>2.9808097514340344</v>
      </c>
      <c r="J244" s="64">
        <f t="shared" si="54"/>
        <v>2.9808097514340344</v>
      </c>
      <c r="K244" s="64">
        <f t="shared" si="57"/>
        <v>1.6189189084415623</v>
      </c>
      <c r="L244" s="3"/>
    </row>
    <row r="247" spans="1:12" ht="15" thickBot="1" x14ac:dyDescent="0.35">
      <c r="A247" s="2" t="s">
        <v>84</v>
      </c>
    </row>
    <row r="248" spans="1:12" ht="18" x14ac:dyDescent="0.3">
      <c r="A248" s="2" t="s">
        <v>85</v>
      </c>
      <c r="B248" s="58" t="s">
        <v>23</v>
      </c>
      <c r="C248" s="37" t="s">
        <v>73</v>
      </c>
      <c r="D248" s="37" t="s">
        <v>10</v>
      </c>
      <c r="E248" s="37" t="s">
        <v>11</v>
      </c>
      <c r="F248" s="37" t="s">
        <v>74</v>
      </c>
    </row>
    <row r="249" spans="1:12" ht="15" thickBot="1" x14ac:dyDescent="0.35">
      <c r="B249" s="56">
        <f>300</f>
        <v>300</v>
      </c>
      <c r="C249" s="63">
        <f xml:space="preserve"> -1 * $D$2 * LN( (($A$2 *B249) / $F$83 ) /$F$2 * EXP(1) * $G$2 )</f>
        <v>317.38114686815385</v>
      </c>
      <c r="D249" s="63">
        <f>$D$2 * B249*LN( (B249) / ($B$6 * $C$198))</f>
        <v>15755.894484877761</v>
      </c>
      <c r="E249" s="63">
        <f>$D$2*(0.5*($B$12)-B249*LN(1-EXP(-($B$12/B249))))</f>
        <v>13173.098248668222</v>
      </c>
      <c r="F249" s="64">
        <f>$F$2*$B$134 + 0.5*$D$2*SUM(B12:B29)</f>
        <v>-538353792.51076949</v>
      </c>
    </row>
    <row r="250" spans="1:12" x14ac:dyDescent="0.3">
      <c r="B250" s="56">
        <f>B249+100</f>
        <v>400</v>
      </c>
      <c r="C250" s="63">
        <f t="shared" ref="C250:C267" si="58" xml:space="preserve"> -1 * $D$2 * LN( (($A$2 *B250) / $F$83 ) /$F$2 * EXP(1) * $G$2 )</f>
        <v>314.98922233185152</v>
      </c>
      <c r="D250" s="63">
        <f t="shared" ref="D250:D267" si="59">$D$2 * B250*LN( (B250) / ($B$6 * $C$198))</f>
        <v>21964.629127691271</v>
      </c>
      <c r="E250" s="63">
        <f t="shared" ref="E250:E267" si="60">$D$2*(0.5*($B$12)-B250*LN(1-EXP(-($B$12/B250))))</f>
        <v>13174.240418277595</v>
      </c>
    </row>
    <row r="251" spans="1:12" x14ac:dyDescent="0.3">
      <c r="B251" s="56">
        <f t="shared" ref="B251:B267" si="61">B250+100</f>
        <v>500</v>
      </c>
      <c r="C251" s="63">
        <f t="shared" si="58"/>
        <v>313.13390152246899</v>
      </c>
      <c r="D251" s="63">
        <f t="shared" si="59"/>
        <v>28383.446814305367</v>
      </c>
      <c r="E251" s="63">
        <f t="shared" si="60"/>
        <v>13180.393940457287</v>
      </c>
    </row>
    <row r="252" spans="1:12" x14ac:dyDescent="0.3">
      <c r="B252" s="56">
        <f t="shared" si="61"/>
        <v>600</v>
      </c>
      <c r="C252" s="63">
        <f t="shared" si="58"/>
        <v>311.61799404350921</v>
      </c>
      <c r="D252" s="63">
        <f t="shared" si="59"/>
        <v>34969.680664542284</v>
      </c>
      <c r="E252" s="63">
        <f t="shared" si="60"/>
        <v>13198.473370122167</v>
      </c>
    </row>
    <row r="253" spans="1:12" x14ac:dyDescent="0.3">
      <c r="B253" s="56">
        <f t="shared" si="61"/>
        <v>700</v>
      </c>
      <c r="C253" s="63">
        <f t="shared" si="58"/>
        <v>310.33631253230453</v>
      </c>
      <c r="D253" s="63">
        <f t="shared" si="59"/>
        <v>41695.137833142624</v>
      </c>
      <c r="E253" s="63">
        <f t="shared" si="60"/>
        <v>13236.328076049074</v>
      </c>
    </row>
    <row r="254" spans="1:12" x14ac:dyDescent="0.3">
      <c r="B254" s="56">
        <f t="shared" si="61"/>
        <v>800</v>
      </c>
      <c r="C254" s="63">
        <f t="shared" si="58"/>
        <v>309.22606950720694</v>
      </c>
      <c r="D254" s="63">
        <f t="shared" si="59"/>
        <v>48539.780515098224</v>
      </c>
      <c r="E254" s="63">
        <f t="shared" si="60"/>
        <v>13300.944623848902</v>
      </c>
    </row>
    <row r="255" spans="1:12" x14ac:dyDescent="0.3">
      <c r="B255" s="56">
        <f t="shared" si="61"/>
        <v>900</v>
      </c>
      <c r="C255" s="63">
        <f t="shared" si="58"/>
        <v>308.24676575516696</v>
      </c>
      <c r="D255" s="63">
        <f t="shared" si="59"/>
        <v>55488.626456321501</v>
      </c>
      <c r="E255" s="63">
        <f t="shared" si="60"/>
        <v>13397.69375911138</v>
      </c>
    </row>
    <row r="256" spans="1:12" x14ac:dyDescent="0.3">
      <c r="B256" s="56">
        <f t="shared" si="61"/>
        <v>1000</v>
      </c>
      <c r="C256" s="63">
        <f t="shared" si="58"/>
        <v>307.37074869782435</v>
      </c>
      <c r="D256" s="63">
        <f t="shared" si="59"/>
        <v>62530.046453255331</v>
      </c>
      <c r="E256" s="63">
        <f t="shared" si="60"/>
        <v>13530.292392080053</v>
      </c>
    </row>
    <row r="257" spans="1:12" x14ac:dyDescent="0.3">
      <c r="B257" s="56">
        <f t="shared" si="61"/>
        <v>1100</v>
      </c>
      <c r="C257" s="63">
        <f t="shared" si="58"/>
        <v>306.57829487652634</v>
      </c>
      <c r="D257" s="63">
        <f t="shared" si="59"/>
        <v>69654.750302008702</v>
      </c>
      <c r="E257" s="63">
        <f t="shared" si="60"/>
        <v>13701.064636559473</v>
      </c>
    </row>
    <row r="258" spans="1:12" x14ac:dyDescent="0.3">
      <c r="B258" s="56">
        <f t="shared" si="61"/>
        <v>1200</v>
      </c>
      <c r="C258" s="63">
        <f t="shared" si="58"/>
        <v>305.85484121886464</v>
      </c>
      <c r="D258" s="63">
        <f t="shared" si="59"/>
        <v>76855.144718658106</v>
      </c>
      <c r="E258" s="63">
        <f t="shared" si="60"/>
        <v>13911.265874165068</v>
      </c>
    </row>
    <row r="259" spans="1:12" x14ac:dyDescent="0.3">
      <c r="B259" s="56">
        <f t="shared" si="61"/>
        <v>1300</v>
      </c>
      <c r="C259" s="63">
        <f t="shared" si="58"/>
        <v>305.18932836710883</v>
      </c>
      <c r="D259" s="63">
        <f t="shared" si="59"/>
        <v>84124.906819162148</v>
      </c>
      <c r="E259" s="63">
        <f t="shared" si="60"/>
        <v>14161.373371220883</v>
      </c>
    </row>
    <row r="260" spans="1:12" x14ac:dyDescent="0.3">
      <c r="B260" s="56">
        <f t="shared" si="61"/>
        <v>1400</v>
      </c>
      <c r="C260" s="63">
        <f t="shared" si="58"/>
        <v>304.57315970765995</v>
      </c>
      <c r="D260" s="63">
        <f t="shared" si="59"/>
        <v>91458.6896207877</v>
      </c>
      <c r="E260" s="63">
        <f t="shared" si="60"/>
        <v>14451.317171181301</v>
      </c>
    </row>
    <row r="261" spans="1:12" x14ac:dyDescent="0.3">
      <c r="B261" s="56">
        <f t="shared" si="61"/>
        <v>1500</v>
      </c>
      <c r="C261" s="63">
        <f t="shared" si="58"/>
        <v>303.9995204094821</v>
      </c>
      <c r="D261" s="63">
        <f t="shared" si="59"/>
        <v>98851.912112396472</v>
      </c>
      <c r="E261" s="63">
        <f t="shared" si="60"/>
        <v>14780.65317090232</v>
      </c>
    </row>
    <row r="262" spans="1:12" x14ac:dyDescent="0.3">
      <c r="B262" s="56">
        <f t="shared" si="61"/>
        <v>1600</v>
      </c>
      <c r="C262" s="63">
        <f t="shared" si="58"/>
        <v>303.46291668256237</v>
      </c>
      <c r="D262" s="63">
        <f t="shared" si="59"/>
        <v>106300.60554962783</v>
      </c>
      <c r="E262" s="63">
        <f t="shared" si="60"/>
        <v>15148.688879284855</v>
      </c>
    </row>
    <row r="263" spans="1:12" x14ac:dyDescent="0.3">
      <c r="B263" s="56">
        <f t="shared" si="61"/>
        <v>1700</v>
      </c>
      <c r="C263" s="63">
        <f t="shared" si="58"/>
        <v>302.95885496195899</v>
      </c>
      <c r="D263" s="63">
        <f t="shared" si="59"/>
        <v>113801.29832150524</v>
      </c>
      <c r="E263" s="63">
        <f t="shared" si="60"/>
        <v>15554.573160455253</v>
      </c>
    </row>
    <row r="264" spans="1:12" x14ac:dyDescent="0.3">
      <c r="B264" s="56">
        <f t="shared" si="61"/>
        <v>1800</v>
      </c>
      <c r="C264" s="63">
        <f t="shared" si="58"/>
        <v>302.48361293052233</v>
      </c>
      <c r="D264" s="63">
        <f t="shared" si="59"/>
        <v>121350.92799700331</v>
      </c>
      <c r="E264" s="63">
        <f t="shared" si="60"/>
        <v>15997.359534861127</v>
      </c>
    </row>
    <row r="265" spans="1:12" x14ac:dyDescent="0.3">
      <c r="B265" s="56">
        <f t="shared" si="61"/>
        <v>1900</v>
      </c>
      <c r="C265" s="63">
        <f t="shared" si="58"/>
        <v>302.03407253315282</v>
      </c>
      <c r="D265" s="63">
        <f t="shared" si="59"/>
        <v>128946.77297406111</v>
      </c>
      <c r="E265" s="63">
        <f t="shared" si="60"/>
        <v>16476.050428562641</v>
      </c>
    </row>
    <row r="266" spans="1:12" x14ac:dyDescent="0.3">
      <c r="B266" s="56">
        <f t="shared" si="61"/>
        <v>2000</v>
      </c>
      <c r="C266" s="63">
        <f t="shared" si="58"/>
        <v>301.60759587317972</v>
      </c>
      <c r="D266" s="63">
        <f t="shared" si="59"/>
        <v>136586.39855579991</v>
      </c>
      <c r="E266" s="63">
        <f t="shared" si="60"/>
        <v>16989.627829729889</v>
      </c>
    </row>
    <row r="267" spans="1:12" ht="15" thickBot="1" x14ac:dyDescent="0.35">
      <c r="B267" s="31">
        <f t="shared" si="61"/>
        <v>2100</v>
      </c>
      <c r="C267" s="64">
        <f t="shared" si="58"/>
        <v>301.20193141931759</v>
      </c>
      <c r="D267" s="64">
        <f t="shared" si="59"/>
        <v>144267.61383670042</v>
      </c>
      <c r="E267" s="63">
        <f t="shared" si="60"/>
        <v>17537.074295786017</v>
      </c>
      <c r="F267" s="3"/>
    </row>
    <row r="272" spans="1:12" ht="15" thickBot="1" x14ac:dyDescent="0.35">
      <c r="A272" s="2" t="s">
        <v>98</v>
      </c>
      <c r="B272" s="139" t="s">
        <v>96</v>
      </c>
      <c r="C272" s="139"/>
      <c r="D272" s="139"/>
      <c r="E272" s="139"/>
      <c r="F272" s="139"/>
      <c r="H272" s="139" t="s">
        <v>97</v>
      </c>
      <c r="I272" s="139"/>
      <c r="J272" s="139"/>
      <c r="K272" s="139"/>
      <c r="L272" s="139"/>
    </row>
    <row r="273" spans="1:12" ht="18" x14ac:dyDescent="0.3">
      <c r="A273" s="2" t="s">
        <v>77</v>
      </c>
      <c r="B273" s="58" t="s">
        <v>23</v>
      </c>
      <c r="C273" s="37" t="s">
        <v>73</v>
      </c>
      <c r="D273" s="37" t="s">
        <v>10</v>
      </c>
      <c r="E273" s="37" t="s">
        <v>11</v>
      </c>
      <c r="F273" s="37" t="s">
        <v>74</v>
      </c>
      <c r="H273" s="58" t="s">
        <v>23</v>
      </c>
      <c r="I273" s="96" t="s">
        <v>73</v>
      </c>
      <c r="J273" s="96" t="s">
        <v>10</v>
      </c>
      <c r="K273" s="96" t="s">
        <v>11</v>
      </c>
      <c r="L273" s="37" t="s">
        <v>74</v>
      </c>
    </row>
    <row r="274" spans="1:12" ht="15" thickBot="1" x14ac:dyDescent="0.35">
      <c r="B274" s="56">
        <f>300</f>
        <v>300</v>
      </c>
      <c r="C274" s="63">
        <f>3/2*$D$2 + $D$2</f>
        <v>20.786180000000002</v>
      </c>
      <c r="D274" s="63">
        <f>3/2*$D$2  + $D$2</f>
        <v>20.786180000000002</v>
      </c>
      <c r="E274" s="63" t="e" cm="1">
        <f t="array" ref="E274">$D$2*SUM( ( ($B$12:$B$14) * ($B$12:$B$14)* EXP($B$12:$B$14/B274) ) / ( B274*B274* ( EXP(( $B$12:$B$14)/B274 )  -1)^2 ) ) +   $D$2</f>
        <v>#DIV/0!</v>
      </c>
      <c r="F274" s="64" t="s">
        <v>81</v>
      </c>
      <c r="H274" s="56">
        <f>300</f>
        <v>300</v>
      </c>
      <c r="I274" s="86">
        <f>(3/2*$D$2  + $D$2)/ 4.184</f>
        <v>4.9680162523900577</v>
      </c>
      <c r="J274" s="86">
        <f>(3/2*$D$2 + $D$2) / 4.184</f>
        <v>4.9680162523900577</v>
      </c>
      <c r="K274" s="86" t="e" cm="1">
        <f t="array" ref="K274">$D$2*SUM( ( ($B$12:$B$14) * ($B$12:$B$14)* EXP($B$12:$B$14/B274) ) / ( B274*B274* ( EXP(( $B$12:$B$14)/B274 )  -1)^2 ) ) +   $D$2/ 4.184</f>
        <v>#DIV/0!</v>
      </c>
      <c r="L274" s="88" t="s">
        <v>81</v>
      </c>
    </row>
    <row r="275" spans="1:12" x14ac:dyDescent="0.3">
      <c r="B275" s="56">
        <f>B274+100</f>
        <v>400</v>
      </c>
      <c r="C275" s="63">
        <f t="shared" ref="C275:C292" si="62">3/2*$D$2 + $D$2</f>
        <v>20.786180000000002</v>
      </c>
      <c r="D275" s="63">
        <f t="shared" ref="D275:D292" si="63">3/2*$D$2  + $D$2</f>
        <v>20.786180000000002</v>
      </c>
      <c r="E275" s="63" t="e" cm="1">
        <f t="array" ref="E275">$D$2*SUM( ( ($B$12:$B$14) * ($B$12:$B$14)* EXP($B$12:$B$14/B275) ) / ( B275*B275* ( EXP(( $B$12:$B$14)/B275 )  -1)^2 ) ) +   $D$2</f>
        <v>#DIV/0!</v>
      </c>
      <c r="H275" s="56">
        <f>H274+100</f>
        <v>400</v>
      </c>
      <c r="I275" s="63">
        <f t="shared" ref="I275:I292" si="64">(3/2*$D$2  + $D$2)/ 4.184</f>
        <v>4.9680162523900577</v>
      </c>
      <c r="J275" s="63">
        <f t="shared" ref="J275:J292" si="65">(3/2*$D$2 + $D$2) / 4.184</f>
        <v>4.9680162523900577</v>
      </c>
      <c r="K275" s="63" t="e" cm="1">
        <f t="array" ref="K275">$D$2*SUM( ( ($B$12:$B$14) * ($B$12:$B$14)* EXP($B$12:$B$14/B275) ) / ( B275*B275* ( EXP(( $B$12:$B$14)/B275)  -1)^2 ) ) +   $D$2 / 4.184</f>
        <v>#DIV/0!</v>
      </c>
    </row>
    <row r="276" spans="1:12" x14ac:dyDescent="0.3">
      <c r="B276" s="56">
        <f t="shared" ref="B276:B292" si="66">B275+100</f>
        <v>500</v>
      </c>
      <c r="C276" s="63">
        <f t="shared" si="62"/>
        <v>20.786180000000002</v>
      </c>
      <c r="D276" s="63">
        <f t="shared" si="63"/>
        <v>20.786180000000002</v>
      </c>
      <c r="E276" s="63" t="e" cm="1">
        <f t="array" ref="E276">$D$2*SUM( ( ($B$12:$B$14) * ($B$12:$B$14)* EXP($B$12:$B$14/B276) ) / ( B276*B276* ( EXP(( $B$12:$B$14)/B276 )  -1)^2 ) ) +   $D$2</f>
        <v>#DIV/0!</v>
      </c>
      <c r="H276" s="56">
        <f t="shared" ref="H276:H292" si="67">H275+100</f>
        <v>500</v>
      </c>
      <c r="I276" s="63">
        <f t="shared" si="64"/>
        <v>4.9680162523900577</v>
      </c>
      <c r="J276" s="63">
        <f t="shared" si="65"/>
        <v>4.9680162523900577</v>
      </c>
      <c r="K276" s="63" t="e" cm="1">
        <f t="array" ref="K276">$D$2*SUM( ( ($B$12:$B$14) * ($B$12:$B$14)* EXP($B$12:$B$14/B276) ) / ( B276*B276* ( EXP(( $B$12:$B$14)/B276)  -1)^2 ) ) +   $D$2 / 4.184</f>
        <v>#DIV/0!</v>
      </c>
    </row>
    <row r="277" spans="1:12" x14ac:dyDescent="0.3">
      <c r="B277" s="56">
        <f t="shared" si="66"/>
        <v>600</v>
      </c>
      <c r="C277" s="63">
        <f t="shared" si="62"/>
        <v>20.786180000000002</v>
      </c>
      <c r="D277" s="63">
        <f t="shared" si="63"/>
        <v>20.786180000000002</v>
      </c>
      <c r="E277" s="63" t="e" cm="1">
        <f t="array" ref="E277">$D$2*SUM( ( ($B$12:$B$14) * ($B$12:$B$14)* EXP($B$12:$B$14/B277) ) / ( B277*B277* ( EXP(( $B$12:$B$14)/B277 )  -1)^2 ) ) +   $D$2</f>
        <v>#DIV/0!</v>
      </c>
      <c r="H277" s="56">
        <f t="shared" si="67"/>
        <v>600</v>
      </c>
      <c r="I277" s="63">
        <f t="shared" si="64"/>
        <v>4.9680162523900577</v>
      </c>
      <c r="J277" s="63">
        <f t="shared" si="65"/>
        <v>4.9680162523900577</v>
      </c>
      <c r="K277" s="63" t="e" cm="1">
        <f t="array" ref="K277">$D$2*SUM( ( ($B$12:$B$14) * ($B$12:$B$14)* EXP($B$12:$B$14/B277) ) / ( B277*B277* ( EXP(( $B$12:$B$14)/B277)  -1)^2 ) ) +   $D$2 / 4.184</f>
        <v>#DIV/0!</v>
      </c>
    </row>
    <row r="278" spans="1:12" x14ac:dyDescent="0.3">
      <c r="B278" s="56">
        <f t="shared" si="66"/>
        <v>700</v>
      </c>
      <c r="C278" s="63">
        <f t="shared" si="62"/>
        <v>20.786180000000002</v>
      </c>
      <c r="D278" s="63">
        <f t="shared" si="63"/>
        <v>20.786180000000002</v>
      </c>
      <c r="E278" s="63" t="e" cm="1">
        <f t="array" ref="E278">$D$2*SUM( ( ($B$12:$B$14) * ($B$12:$B$14)* EXP($B$12:$B$14/B278) ) / ( B278*B278* ( EXP(( $B$12:$B$14)/B278 )  -1)^2 ) ) +   $D$2</f>
        <v>#DIV/0!</v>
      </c>
      <c r="H278" s="56">
        <f t="shared" si="67"/>
        <v>700</v>
      </c>
      <c r="I278" s="63">
        <f t="shared" si="64"/>
        <v>4.9680162523900577</v>
      </c>
      <c r="J278" s="63">
        <f t="shared" si="65"/>
        <v>4.9680162523900577</v>
      </c>
      <c r="K278" s="63" t="e" cm="1">
        <f t="array" ref="K278">$D$2*SUM( ( ($B$12:$B$14) * ($B$12:$B$14)* EXP($B$12:$B$14/B278) ) / ( B278*B278* ( EXP(( $B$12:$B$14)/B278)  -1)^2 ) ) +   $D$2 / 4.184</f>
        <v>#DIV/0!</v>
      </c>
    </row>
    <row r="279" spans="1:12" x14ac:dyDescent="0.3">
      <c r="B279" s="56">
        <f t="shared" si="66"/>
        <v>800</v>
      </c>
      <c r="C279" s="63">
        <f t="shared" si="62"/>
        <v>20.786180000000002</v>
      </c>
      <c r="D279" s="63">
        <f t="shared" si="63"/>
        <v>20.786180000000002</v>
      </c>
      <c r="E279" s="63" t="e" cm="1">
        <f t="array" ref="E279">$D$2*SUM( ( ($B$12:$B$14) * ($B$12:$B$14)* EXP($B$12:$B$14/B279) ) / ( B279*B279* ( EXP(( $B$12:$B$14)/B279 )  -1)^2 ) ) +   $D$2</f>
        <v>#DIV/0!</v>
      </c>
      <c r="H279" s="56">
        <f t="shared" si="67"/>
        <v>800</v>
      </c>
      <c r="I279" s="63">
        <f t="shared" si="64"/>
        <v>4.9680162523900577</v>
      </c>
      <c r="J279" s="63">
        <f t="shared" si="65"/>
        <v>4.9680162523900577</v>
      </c>
      <c r="K279" s="63" t="e" cm="1">
        <f t="array" ref="K279">$D$2*SUM( ( ($B$12:$B$14) * ($B$12:$B$14)* EXP($B$12:$B$14/B279) ) / ( B279*B279* ( EXP(( $B$12:$B$14)/B279)  -1)^2 ) ) +   $D$2 / 4.184</f>
        <v>#DIV/0!</v>
      </c>
    </row>
    <row r="280" spans="1:12" x14ac:dyDescent="0.3">
      <c r="B280" s="56">
        <f t="shared" si="66"/>
        <v>900</v>
      </c>
      <c r="C280" s="63">
        <f t="shared" si="62"/>
        <v>20.786180000000002</v>
      </c>
      <c r="D280" s="63">
        <f t="shared" si="63"/>
        <v>20.786180000000002</v>
      </c>
      <c r="E280" s="63" t="e" cm="1">
        <f t="array" ref="E280">$D$2*SUM( ( ($B$12:$B$14) * ($B$12:$B$14)* EXP($B$12:$B$14/B280) ) / ( B280*B280* ( EXP(( $B$12:$B$14)/B280 )  -1)^2 ) ) +   $D$2</f>
        <v>#DIV/0!</v>
      </c>
      <c r="H280" s="56">
        <f t="shared" si="67"/>
        <v>900</v>
      </c>
      <c r="I280" s="63">
        <f t="shared" si="64"/>
        <v>4.9680162523900577</v>
      </c>
      <c r="J280" s="63">
        <f t="shared" si="65"/>
        <v>4.9680162523900577</v>
      </c>
      <c r="K280" s="63" t="e" cm="1">
        <f t="array" ref="K280">$D$2*SUM( ( ($B$12:$B$14) * ($B$12:$B$14)* EXP($B$12:$B$14/B280) ) / ( B280*B280* ( EXP(( $B$12:$B$14)/B280)  -1)^2 ) ) +   $D$2 / 4.184</f>
        <v>#DIV/0!</v>
      </c>
    </row>
    <row r="281" spans="1:12" x14ac:dyDescent="0.3">
      <c r="B281" s="56">
        <f t="shared" si="66"/>
        <v>1000</v>
      </c>
      <c r="C281" s="63">
        <f t="shared" si="62"/>
        <v>20.786180000000002</v>
      </c>
      <c r="D281" s="63">
        <f t="shared" si="63"/>
        <v>20.786180000000002</v>
      </c>
      <c r="E281" s="63" t="e" cm="1">
        <f t="array" ref="E281">$D$2*SUM( ( ($B$12:$B$14) * ($B$12:$B$14)* EXP($B$12:$B$14/B281) ) / ( B281*B281* ( EXP(( $B$12:$B$14)/B281 )  -1)^2 ) ) +   $D$2</f>
        <v>#DIV/0!</v>
      </c>
      <c r="H281" s="56">
        <f t="shared" si="67"/>
        <v>1000</v>
      </c>
      <c r="I281" s="63">
        <f t="shared" si="64"/>
        <v>4.9680162523900577</v>
      </c>
      <c r="J281" s="63">
        <f t="shared" si="65"/>
        <v>4.9680162523900577</v>
      </c>
      <c r="K281" s="63" t="e" cm="1">
        <f t="array" ref="K281">$D$2*SUM( ( ($B$12:$B$14) * ($B$12:$B$14)* EXP($B$12:$B$14/B281) ) / ( B281*B281* ( EXP(( $B$12:$B$14)/B281)  -1)^2 ) ) +   $D$2 / 4.184</f>
        <v>#DIV/0!</v>
      </c>
    </row>
    <row r="282" spans="1:12" x14ac:dyDescent="0.3">
      <c r="B282" s="56">
        <f t="shared" si="66"/>
        <v>1100</v>
      </c>
      <c r="C282" s="63">
        <f t="shared" si="62"/>
        <v>20.786180000000002</v>
      </c>
      <c r="D282" s="63">
        <f t="shared" si="63"/>
        <v>20.786180000000002</v>
      </c>
      <c r="E282" s="63" t="e" cm="1">
        <f t="array" ref="E282">$D$2*SUM( ( ($B$12:$B$14) * ($B$12:$B$14)* EXP($B$12:$B$14/B282) ) / ( B282*B282* ( EXP(( $B$12:$B$14)/B282 )  -1)^2 ) ) +   $D$2</f>
        <v>#DIV/0!</v>
      </c>
      <c r="H282" s="56">
        <f t="shared" si="67"/>
        <v>1100</v>
      </c>
      <c r="I282" s="63">
        <f t="shared" si="64"/>
        <v>4.9680162523900577</v>
      </c>
      <c r="J282" s="63">
        <f t="shared" si="65"/>
        <v>4.9680162523900577</v>
      </c>
      <c r="K282" s="63" t="e" cm="1">
        <f t="array" ref="K282">$D$2*SUM( ( ($B$12:$B$14) * ($B$12:$B$14)* EXP($B$12:$B$14/B282) ) / ( B282*B282* ( EXP(( $B$12:$B$14)/B282)  -1)^2 ) ) +   $D$2 / 4.184</f>
        <v>#DIV/0!</v>
      </c>
    </row>
    <row r="283" spans="1:12" x14ac:dyDescent="0.3">
      <c r="B283" s="56">
        <f t="shared" si="66"/>
        <v>1200</v>
      </c>
      <c r="C283" s="63">
        <f t="shared" si="62"/>
        <v>20.786180000000002</v>
      </c>
      <c r="D283" s="63">
        <f t="shared" si="63"/>
        <v>20.786180000000002</v>
      </c>
      <c r="E283" s="63" t="e" cm="1">
        <f t="array" ref="E283">$D$2*SUM( ( ($B$12:$B$14) * ($B$12:$B$14)* EXP($B$12:$B$14/B283) ) / ( B283*B283* ( EXP(( $B$12:$B$14)/B283 )  -1)^2 ) ) +   $D$2</f>
        <v>#DIV/0!</v>
      </c>
      <c r="H283" s="56">
        <f t="shared" si="67"/>
        <v>1200</v>
      </c>
      <c r="I283" s="63">
        <f t="shared" si="64"/>
        <v>4.9680162523900577</v>
      </c>
      <c r="J283" s="63">
        <f t="shared" si="65"/>
        <v>4.9680162523900577</v>
      </c>
      <c r="K283" s="63" t="e" cm="1">
        <f t="array" ref="K283">$D$2*SUM( ( ($B$12:$B$14) * ($B$12:$B$14)* EXP($B$12:$B$14/B283) ) / ( B283*B283* ( EXP(( $B$12:$B$14)/B283)  -1)^2 ) ) +   $D$2 / 4.184</f>
        <v>#DIV/0!</v>
      </c>
    </row>
    <row r="284" spans="1:12" x14ac:dyDescent="0.3">
      <c r="B284" s="56">
        <f t="shared" si="66"/>
        <v>1300</v>
      </c>
      <c r="C284" s="63">
        <f t="shared" si="62"/>
        <v>20.786180000000002</v>
      </c>
      <c r="D284" s="63">
        <f t="shared" si="63"/>
        <v>20.786180000000002</v>
      </c>
      <c r="E284" s="63" t="e" cm="1">
        <f t="array" ref="E284">$D$2*SUM( ( ($B$12:$B$14) * ($B$12:$B$14)* EXP($B$12:$B$14/B284) ) / ( B284*B284* ( EXP(( $B$12:$B$14)/B284 )  -1)^2 ) ) +   $D$2</f>
        <v>#DIV/0!</v>
      </c>
      <c r="H284" s="56">
        <f t="shared" si="67"/>
        <v>1300</v>
      </c>
      <c r="I284" s="63">
        <f t="shared" si="64"/>
        <v>4.9680162523900577</v>
      </c>
      <c r="J284" s="63">
        <f t="shared" si="65"/>
        <v>4.9680162523900577</v>
      </c>
      <c r="K284" s="63" t="e" cm="1">
        <f t="array" ref="K284">$D$2*SUM( ( ($B$12:$B$14) * ($B$12:$B$14)* EXP($B$12:$B$14/B284) ) / ( B284*B284* ( EXP(( $B$12:$B$14)/B284)  -1)^2 ) ) +   $D$2 / 4.184</f>
        <v>#DIV/0!</v>
      </c>
    </row>
    <row r="285" spans="1:12" x14ac:dyDescent="0.3">
      <c r="B285" s="56">
        <f t="shared" si="66"/>
        <v>1400</v>
      </c>
      <c r="C285" s="63">
        <f t="shared" si="62"/>
        <v>20.786180000000002</v>
      </c>
      <c r="D285" s="63">
        <f t="shared" si="63"/>
        <v>20.786180000000002</v>
      </c>
      <c r="E285" s="63" t="e" cm="1">
        <f t="array" ref="E285">$D$2*SUM( ( ($B$12:$B$14) * ($B$12:$B$14)* EXP($B$12:$B$14/B285) ) / ( B285*B285* ( EXP(( $B$12:$B$14)/B285 )  -1)^2 ) ) +   $D$2</f>
        <v>#DIV/0!</v>
      </c>
      <c r="H285" s="56">
        <f t="shared" si="67"/>
        <v>1400</v>
      </c>
      <c r="I285" s="63">
        <f t="shared" si="64"/>
        <v>4.9680162523900577</v>
      </c>
      <c r="J285" s="63">
        <f t="shared" si="65"/>
        <v>4.9680162523900577</v>
      </c>
      <c r="K285" s="63" t="e" cm="1">
        <f t="array" ref="K285">$D$2*SUM( ( ($B$12:$B$14) * ($B$12:$B$14)* EXP($B$12:$B$14/B285) ) / ( B285*B285* ( EXP(( $B$12:$B$14)/B285)  -1)^2 ) ) +   $D$2 / 4.184</f>
        <v>#DIV/0!</v>
      </c>
    </row>
    <row r="286" spans="1:12" x14ac:dyDescent="0.3">
      <c r="B286" s="56">
        <f t="shared" si="66"/>
        <v>1500</v>
      </c>
      <c r="C286" s="63">
        <f t="shared" si="62"/>
        <v>20.786180000000002</v>
      </c>
      <c r="D286" s="63">
        <f t="shared" si="63"/>
        <v>20.786180000000002</v>
      </c>
      <c r="E286" s="63" t="e" cm="1">
        <f t="array" ref="E286">$D$2*SUM( ( ($B$12:$B$14) * ($B$12:$B$14)* EXP($B$12:$B$14/B286) ) / ( B286*B286* ( EXP(( $B$12:$B$14)/B286 )  -1)^2 ) ) +   $D$2</f>
        <v>#DIV/0!</v>
      </c>
      <c r="H286" s="56">
        <f t="shared" si="67"/>
        <v>1500</v>
      </c>
      <c r="I286" s="63">
        <f t="shared" si="64"/>
        <v>4.9680162523900577</v>
      </c>
      <c r="J286" s="63">
        <f t="shared" si="65"/>
        <v>4.9680162523900577</v>
      </c>
      <c r="K286" s="63" t="e" cm="1">
        <f t="array" ref="K286">$D$2*SUM( ( ($B$12:$B$14) * ($B$12:$B$14)* EXP($B$12:$B$14/B286) ) / ( B286*B286* ( EXP(( $B$12:$B$14)/B286)  -1)^2 ) ) +   $D$2 / 4.184</f>
        <v>#DIV/0!</v>
      </c>
    </row>
    <row r="287" spans="1:12" x14ac:dyDescent="0.3">
      <c r="B287" s="56">
        <f t="shared" si="66"/>
        <v>1600</v>
      </c>
      <c r="C287" s="63">
        <f t="shared" si="62"/>
        <v>20.786180000000002</v>
      </c>
      <c r="D287" s="63">
        <f t="shared" si="63"/>
        <v>20.786180000000002</v>
      </c>
      <c r="E287" s="63" t="e" cm="1">
        <f t="array" ref="E287">$D$2*SUM( ( ($B$12:$B$14) * ($B$12:$B$14)* EXP($B$12:$B$14/B287) ) / ( B287*B287* ( EXP(( $B$12:$B$14)/B287 )  -1)^2 ) ) +   $D$2</f>
        <v>#DIV/0!</v>
      </c>
      <c r="H287" s="56">
        <f t="shared" si="67"/>
        <v>1600</v>
      </c>
      <c r="I287" s="63">
        <f t="shared" si="64"/>
        <v>4.9680162523900577</v>
      </c>
      <c r="J287" s="63">
        <f t="shared" si="65"/>
        <v>4.9680162523900577</v>
      </c>
      <c r="K287" s="63" t="e" cm="1">
        <f t="array" ref="K287">$D$2*SUM( ( ($B$12:$B$14) * ($B$12:$B$14)* EXP($B$12:$B$14/B287) ) / ( B287*B287* ( EXP(( $B$12:$B$14)/B287)  -1)^2 ) ) +   $D$2 / 4.184</f>
        <v>#DIV/0!</v>
      </c>
    </row>
    <row r="288" spans="1:12" x14ac:dyDescent="0.3">
      <c r="B288" s="56">
        <f t="shared" si="66"/>
        <v>1700</v>
      </c>
      <c r="C288" s="63">
        <f t="shared" si="62"/>
        <v>20.786180000000002</v>
      </c>
      <c r="D288" s="63">
        <f t="shared" si="63"/>
        <v>20.786180000000002</v>
      </c>
      <c r="E288" s="63" t="e" cm="1">
        <f t="array" ref="E288">$D$2*SUM( ( ($B$12:$B$14) * ($B$12:$B$14)* EXP($B$12:$B$14/B288) ) / ( B288*B288* ( EXP(( $B$12:$B$14)/B288 )  -1)^2 ) ) +   $D$2</f>
        <v>#DIV/0!</v>
      </c>
      <c r="H288" s="56">
        <f t="shared" si="67"/>
        <v>1700</v>
      </c>
      <c r="I288" s="63">
        <f t="shared" si="64"/>
        <v>4.9680162523900577</v>
      </c>
      <c r="J288" s="63">
        <f t="shared" si="65"/>
        <v>4.9680162523900577</v>
      </c>
      <c r="K288" s="63" t="e" cm="1">
        <f t="array" ref="K288">$D$2*SUM( ( ($B$12:$B$14) * ($B$12:$B$14)* EXP($B$12:$B$14/B288) ) / ( B288*B288* ( EXP(( $B$12:$B$14)/B288)  -1)^2 ) ) +   $D$2 / 4.184</f>
        <v>#DIV/0!</v>
      </c>
    </row>
    <row r="289" spans="2:12" x14ac:dyDescent="0.3">
      <c r="B289" s="56">
        <f t="shared" si="66"/>
        <v>1800</v>
      </c>
      <c r="C289" s="63">
        <f t="shared" si="62"/>
        <v>20.786180000000002</v>
      </c>
      <c r="D289" s="63">
        <f t="shared" si="63"/>
        <v>20.786180000000002</v>
      </c>
      <c r="E289" s="63" t="e" cm="1">
        <f t="array" ref="E289">$D$2*SUM( ( ($B$12:$B$14) * ($B$12:$B$14)* EXP($B$12:$B$14/B289) ) / ( B289*B289* ( EXP(( $B$12:$B$14)/B289 )  -1)^2 ) ) +   $D$2</f>
        <v>#DIV/0!</v>
      </c>
      <c r="H289" s="56">
        <f t="shared" si="67"/>
        <v>1800</v>
      </c>
      <c r="I289" s="63">
        <f t="shared" si="64"/>
        <v>4.9680162523900577</v>
      </c>
      <c r="J289" s="63">
        <f t="shared" si="65"/>
        <v>4.9680162523900577</v>
      </c>
      <c r="K289" s="63" t="e" cm="1">
        <f t="array" ref="K289">$D$2*SUM( ( ($B$12:$B$14) * ($B$12:$B$14)* EXP($B$12:$B$14/B289) ) / ( B289*B289* ( EXP(( $B$12:$B$14)/B289)  -1)^2 ) ) +   $D$2 / 4.184</f>
        <v>#DIV/0!</v>
      </c>
    </row>
    <row r="290" spans="2:12" x14ac:dyDescent="0.3">
      <c r="B290" s="56">
        <f t="shared" si="66"/>
        <v>1900</v>
      </c>
      <c r="C290" s="63">
        <f t="shared" si="62"/>
        <v>20.786180000000002</v>
      </c>
      <c r="D290" s="63">
        <f t="shared" si="63"/>
        <v>20.786180000000002</v>
      </c>
      <c r="E290" s="63" t="e" cm="1">
        <f t="array" ref="E290">$D$2*SUM( ( ($B$12:$B$14) * ($B$12:$B$14)* EXP($B$12:$B$14/B290) ) / ( B290*B290* ( EXP(( $B$12:$B$14)/B290 )  -1)^2 ) ) +   $D$2</f>
        <v>#DIV/0!</v>
      </c>
      <c r="H290" s="56">
        <f t="shared" si="67"/>
        <v>1900</v>
      </c>
      <c r="I290" s="63">
        <f t="shared" si="64"/>
        <v>4.9680162523900577</v>
      </c>
      <c r="J290" s="63">
        <f t="shared" si="65"/>
        <v>4.9680162523900577</v>
      </c>
      <c r="K290" s="63" t="e" cm="1">
        <f t="array" ref="K290">$D$2*SUM( ( ($B$12:$B$14) * ($B$12:$B$14)* EXP($B$12:$B$14/B290) ) / ( B290*B290* ( EXP(( $B$12:$B$14)/B290)  -1)^2 ) ) +   $D$2 / 4.184</f>
        <v>#DIV/0!</v>
      </c>
    </row>
    <row r="291" spans="2:12" x14ac:dyDescent="0.3">
      <c r="B291" s="56">
        <f t="shared" si="66"/>
        <v>2000</v>
      </c>
      <c r="C291" s="63">
        <f t="shared" si="62"/>
        <v>20.786180000000002</v>
      </c>
      <c r="D291" s="63">
        <f t="shared" si="63"/>
        <v>20.786180000000002</v>
      </c>
      <c r="E291" s="63" t="e" cm="1">
        <f t="array" ref="E291">$D$2*SUM( ( ($B$12:$B$14) * ($B$12:$B$14)* EXP($B$12:$B$14/B291) ) / ( B291*B291* ( EXP(( $B$12:$B$14)/B291 )  -1)^2 ) ) +   $D$2</f>
        <v>#DIV/0!</v>
      </c>
      <c r="H291" s="56">
        <f t="shared" si="67"/>
        <v>2000</v>
      </c>
      <c r="I291" s="63">
        <f t="shared" si="64"/>
        <v>4.9680162523900577</v>
      </c>
      <c r="J291" s="63">
        <f t="shared" si="65"/>
        <v>4.9680162523900577</v>
      </c>
      <c r="K291" s="63" t="e" cm="1">
        <f t="array" ref="K291">$D$2*SUM( ( ($B$12:$B$14) * ($B$12:$B$14)* EXP($B$12:$B$14/B291) ) / ( B291*B291* ( EXP(( $B$12:$B$14)/B291)  -1)^2 ) ) +   $D$2 / 4.184</f>
        <v>#DIV/0!</v>
      </c>
    </row>
    <row r="292" spans="2:12" ht="15" thickBot="1" x14ac:dyDescent="0.35">
      <c r="B292" s="31">
        <f t="shared" si="66"/>
        <v>2100</v>
      </c>
      <c r="C292" s="64">
        <f t="shared" si="62"/>
        <v>20.786180000000002</v>
      </c>
      <c r="D292" s="64">
        <f t="shared" si="63"/>
        <v>20.786180000000002</v>
      </c>
      <c r="E292" s="64" t="e" cm="1">
        <f t="array" ref="E292">$D$2*SUM( ( ($B$12:$B$14) * ($B$12:$B$14)* EXP($B$12:$B$14/B292) ) / ( B292*B292* ( EXP(( $B$12:$B$14)/B292 )  -1)^2 ) ) +   $D$2</f>
        <v>#DIV/0!</v>
      </c>
      <c r="F292" s="3"/>
      <c r="H292" s="31">
        <f t="shared" si="67"/>
        <v>2100</v>
      </c>
      <c r="I292" s="64">
        <f t="shared" si="64"/>
        <v>4.9680162523900577</v>
      </c>
      <c r="J292" s="64">
        <f t="shared" si="65"/>
        <v>4.9680162523900577</v>
      </c>
      <c r="K292" s="64" t="e" cm="1">
        <f t="array" ref="K292">$D$2*SUM( ( ($B$12:$B$14) * ($B$12:$B$14)* EXP($B$12:$B$14/B292) ) / ( B292*B292* ( EXP(( $B$12:$B$14)/B292)  -1)^2 ) ) +   $D$2 / 4.184</f>
        <v>#DIV/0!</v>
      </c>
      <c r="L292" s="3"/>
    </row>
  </sheetData>
  <mergeCells count="14">
    <mergeCell ref="B272:F272"/>
    <mergeCell ref="H272:L272"/>
    <mergeCell ref="D52:W52"/>
    <mergeCell ref="B174:F174"/>
    <mergeCell ref="H174:K174"/>
    <mergeCell ref="M177:N177"/>
    <mergeCell ref="M178:N178"/>
    <mergeCell ref="B200:F200"/>
    <mergeCell ref="H200:L200"/>
    <mergeCell ref="M204:N204"/>
    <mergeCell ref="M205:N205"/>
    <mergeCell ref="B224:F224"/>
    <mergeCell ref="H224:L224"/>
    <mergeCell ref="M228:N2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Etano</vt:lpstr>
      <vt:lpstr>Metano</vt:lpstr>
      <vt:lpstr>Diossido di azoto</vt:lpstr>
      <vt:lpstr>Acqua</vt:lpstr>
      <vt:lpstr>Monossido di carbonio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Emanuele Broggini</dc:creator>
  <cp:lastModifiedBy>Emanuele Broggini</cp:lastModifiedBy>
  <dcterms:created xsi:type="dcterms:W3CDTF">2024-04-08T12:41:42Z</dcterms:created>
  <dcterms:modified xsi:type="dcterms:W3CDTF">2024-05-06T18:57:41Z</dcterms:modified>
</cp:coreProperties>
</file>