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664119_polimi_it/Documents/MMPE/"/>
    </mc:Choice>
  </mc:AlternateContent>
  <xr:revisionPtr revIDLastSave="1" documentId="8_{B3E8CF8D-6576-5A40-AE24-981CE2D83DCF}" xr6:coauthVersionLast="47" xr6:coauthVersionMax="47" xr10:uidLastSave="{8C91F979-BB86-F34F-8527-88254005ED6B}"/>
  <bookViews>
    <workbookView xWindow="13600" yWindow="2040" windowWidth="18120" windowHeight="8660" xr2:uid="{C7383524-C799-9447-8E06-C68C00E08A8C}"/>
  </bookViews>
  <sheets>
    <sheet name="C2H6" sheetId="3" r:id="rId1"/>
    <sheet name="H2O" sheetId="6" r:id="rId2"/>
    <sheet name="NO2" sheetId="8" r:id="rId3"/>
    <sheet name="CO" sheetId="9" r:id="rId4"/>
    <sheet name="CO2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8" i="9" l="1"/>
  <c r="S58" i="9" s="1"/>
  <c r="T58" i="9" s="1"/>
  <c r="R59" i="9"/>
  <c r="S59" i="9" s="1"/>
  <c r="T59" i="9" s="1"/>
  <c r="R60" i="9"/>
  <c r="S60" i="9" s="1"/>
  <c r="T60" i="9" s="1"/>
  <c r="R61" i="9"/>
  <c r="S61" i="9" s="1"/>
  <c r="T61" i="9" s="1"/>
  <c r="R62" i="9"/>
  <c r="S62" i="9" s="1"/>
  <c r="T62" i="9" s="1"/>
  <c r="R63" i="9"/>
  <c r="S63" i="9" s="1"/>
  <c r="T63" i="9" s="1"/>
  <c r="R64" i="9"/>
  <c r="S64" i="9" s="1"/>
  <c r="T64" i="9" s="1"/>
  <c r="R65" i="9"/>
  <c r="S65" i="9" s="1"/>
  <c r="T65" i="9" s="1"/>
  <c r="R66" i="9"/>
  <c r="S66" i="9" s="1"/>
  <c r="T66" i="9" s="1"/>
  <c r="R67" i="9"/>
  <c r="S67" i="9" s="1"/>
  <c r="T67" i="9" s="1"/>
  <c r="R68" i="9"/>
  <c r="S68" i="9" s="1"/>
  <c r="T68" i="9" s="1"/>
  <c r="R69" i="9"/>
  <c r="S69" i="9" s="1"/>
  <c r="T69" i="9" s="1"/>
  <c r="R70" i="9"/>
  <c r="S70" i="9" s="1"/>
  <c r="T70" i="9" s="1"/>
  <c r="R71" i="9"/>
  <c r="S71" i="9" s="1"/>
  <c r="T71" i="9" s="1"/>
  <c r="R72" i="9"/>
  <c r="S72" i="9" s="1"/>
  <c r="T72" i="9" s="1"/>
  <c r="R73" i="9"/>
  <c r="S73" i="9" s="1"/>
  <c r="T73" i="9" s="1"/>
  <c r="R74" i="9"/>
  <c r="S74" i="9" s="1"/>
  <c r="T74" i="9" s="1"/>
  <c r="R57" i="9"/>
  <c r="S57" i="9" s="1"/>
  <c r="T57" i="9" s="1"/>
  <c r="T15" i="9"/>
  <c r="T16" i="9" s="1"/>
  <c r="T17" i="9" s="1"/>
  <c r="N74" i="9" s="1"/>
  <c r="F29" i="8" a="1"/>
  <c r="F29" i="8" s="1"/>
  <c r="J29" i="8" s="1"/>
  <c r="J129" i="5" a="1"/>
  <c r="J129" i="5" s="1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57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E57" i="9" a="1"/>
  <c r="E57" i="9" s="1"/>
  <c r="F57" i="9" s="1" a="1"/>
  <c r="E35" i="9" a="1"/>
  <c r="E35" i="9" s="1"/>
  <c r="E13" i="9" a="1"/>
  <c r="E13" i="9" s="1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S29" i="9" a="1"/>
  <c r="S29" i="9" s="1"/>
  <c r="M29" i="9"/>
  <c r="T8" i="9"/>
  <c r="T9" i="3" a="1"/>
  <c r="T9" i="3" s="1"/>
  <c r="T8" i="3" a="1"/>
  <c r="T8" i="3" s="1"/>
  <c r="J146" i="8"/>
  <c r="K146" i="8" s="1"/>
  <c r="L146" i="8" s="1"/>
  <c r="H146" i="8"/>
  <c r="J145" i="8"/>
  <c r="K145" i="8" s="1"/>
  <c r="L145" i="8" s="1"/>
  <c r="H145" i="8"/>
  <c r="J144" i="8"/>
  <c r="K144" i="8" s="1"/>
  <c r="L144" i="8" s="1"/>
  <c r="H144" i="8"/>
  <c r="J143" i="8"/>
  <c r="K143" i="8" s="1"/>
  <c r="L143" i="8" s="1"/>
  <c r="H143" i="8"/>
  <c r="J142" i="8"/>
  <c r="K142" i="8" s="1"/>
  <c r="L142" i="8" s="1"/>
  <c r="H142" i="8"/>
  <c r="J141" i="8"/>
  <c r="K141" i="8" s="1"/>
  <c r="L141" i="8" s="1"/>
  <c r="H141" i="8"/>
  <c r="J140" i="8"/>
  <c r="K140" i="8" s="1"/>
  <c r="L140" i="8" s="1"/>
  <c r="H140" i="8"/>
  <c r="J139" i="8"/>
  <c r="K139" i="8" s="1"/>
  <c r="L139" i="8" s="1"/>
  <c r="H139" i="8"/>
  <c r="J138" i="8"/>
  <c r="K138" i="8" s="1"/>
  <c r="L138" i="8" s="1"/>
  <c r="H138" i="8"/>
  <c r="J137" i="8"/>
  <c r="K137" i="8" s="1"/>
  <c r="L137" i="8" s="1"/>
  <c r="H137" i="8"/>
  <c r="J136" i="8"/>
  <c r="K136" i="8" s="1"/>
  <c r="L136" i="8" s="1"/>
  <c r="H136" i="8"/>
  <c r="J135" i="8"/>
  <c r="K135" i="8" s="1"/>
  <c r="L135" i="8" s="1"/>
  <c r="H135" i="8"/>
  <c r="J134" i="8"/>
  <c r="K134" i="8" s="1"/>
  <c r="L134" i="8" s="1"/>
  <c r="H134" i="8"/>
  <c r="J133" i="8"/>
  <c r="K133" i="8" s="1"/>
  <c r="L133" i="8" s="1"/>
  <c r="H133" i="8"/>
  <c r="J132" i="8"/>
  <c r="K132" i="8" s="1"/>
  <c r="L132" i="8" s="1"/>
  <c r="H132" i="8"/>
  <c r="J131" i="8"/>
  <c r="K131" i="8" s="1"/>
  <c r="L131" i="8" s="1"/>
  <c r="H131" i="8"/>
  <c r="J130" i="8"/>
  <c r="K130" i="8" s="1"/>
  <c r="L130" i="8" s="1"/>
  <c r="H130" i="8"/>
  <c r="J129" i="8"/>
  <c r="K129" i="8" s="1"/>
  <c r="L129" i="8" s="1"/>
  <c r="H129" i="8"/>
  <c r="H118" i="8"/>
  <c r="E118" i="8"/>
  <c r="H117" i="8"/>
  <c r="E117" i="8"/>
  <c r="H116" i="8"/>
  <c r="E116" i="8"/>
  <c r="H115" i="8"/>
  <c r="E115" i="8"/>
  <c r="H114" i="8"/>
  <c r="E114" i="8"/>
  <c r="H113" i="8"/>
  <c r="E113" i="8"/>
  <c r="H112" i="8"/>
  <c r="E112" i="8"/>
  <c r="H111" i="8"/>
  <c r="E111" i="8"/>
  <c r="H110" i="8"/>
  <c r="E110" i="8"/>
  <c r="H109" i="8"/>
  <c r="E109" i="8"/>
  <c r="H108" i="8"/>
  <c r="E108" i="8"/>
  <c r="H107" i="8"/>
  <c r="E107" i="8"/>
  <c r="H106" i="8"/>
  <c r="E106" i="8"/>
  <c r="H105" i="8"/>
  <c r="E105" i="8"/>
  <c r="H104" i="8"/>
  <c r="E104" i="8"/>
  <c r="H103" i="8"/>
  <c r="E103" i="8"/>
  <c r="H102" i="8"/>
  <c r="E102" i="8"/>
  <c r="K101" i="8" a="1"/>
  <c r="K101" i="8" s="1"/>
  <c r="H101" i="8"/>
  <c r="E101" i="8"/>
  <c r="F73" i="8" a="1"/>
  <c r="J90" i="8" s="1" a="1"/>
  <c r="J90" i="8" s="1"/>
  <c r="K90" i="8" s="1" a="1"/>
  <c r="K90" i="8" s="1"/>
  <c r="F51" i="8" a="1"/>
  <c r="F51" i="8" s="1"/>
  <c r="J51" i="8" s="1" a="1"/>
  <c r="J51" i="8" s="1"/>
  <c r="K51" i="8" s="1" a="1"/>
  <c r="K51" i="8" s="1"/>
  <c r="K15" i="8" a="1"/>
  <c r="K15" i="8" s="1"/>
  <c r="K16" i="8" s="1" a="1"/>
  <c r="K16" i="8" s="1"/>
  <c r="K17" i="8" s="1" a="1"/>
  <c r="K17" i="8" s="1"/>
  <c r="F129" i="8" s="1"/>
  <c r="L8" i="8"/>
  <c r="F101" i="8" s="1" a="1"/>
  <c r="F101" i="8" s="1"/>
  <c r="K15" i="6" a="1"/>
  <c r="K15" i="6" s="1"/>
  <c r="K16" i="6" s="1" a="1"/>
  <c r="K16" i="6" s="1"/>
  <c r="K17" i="6" s="1" a="1"/>
  <c r="K17" i="6" s="1"/>
  <c r="F129" i="6" s="1"/>
  <c r="J130" i="6"/>
  <c r="J131" i="6"/>
  <c r="J132" i="6"/>
  <c r="J133" i="6"/>
  <c r="K133" i="6" s="1"/>
  <c r="L133" i="6" s="1"/>
  <c r="J134" i="6"/>
  <c r="J135" i="6"/>
  <c r="J136" i="6"/>
  <c r="J137" i="6"/>
  <c r="K137" i="6" s="1"/>
  <c r="L137" i="6" s="1"/>
  <c r="J138" i="6"/>
  <c r="J139" i="6"/>
  <c r="J140" i="6"/>
  <c r="J141" i="6"/>
  <c r="J142" i="6"/>
  <c r="J143" i="6"/>
  <c r="J144" i="6"/>
  <c r="J145" i="6"/>
  <c r="K145" i="6" s="1"/>
  <c r="L145" i="6" s="1"/>
  <c r="J146" i="6"/>
  <c r="J129" i="6"/>
  <c r="V99" i="3" a="1"/>
  <c r="V99" i="3" s="1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29" i="6"/>
  <c r="H101" i="6"/>
  <c r="J101" i="6" a="1"/>
  <c r="J101" i="6" s="1"/>
  <c r="F101" i="6" a="1"/>
  <c r="F101" i="6" s="1"/>
  <c r="E101" i="6"/>
  <c r="F73" i="6" a="1"/>
  <c r="F73" i="6" s="1"/>
  <c r="F51" i="6" a="1"/>
  <c r="F51" i="6" s="1"/>
  <c r="F29" i="6" a="1"/>
  <c r="F29" i="6" s="1"/>
  <c r="K141" i="6"/>
  <c r="L141" i="6" s="1"/>
  <c r="K146" i="6"/>
  <c r="L146" i="6" s="1"/>
  <c r="H118" i="6"/>
  <c r="E118" i="6"/>
  <c r="H117" i="6"/>
  <c r="E117" i="6"/>
  <c r="H116" i="6"/>
  <c r="E116" i="6"/>
  <c r="H115" i="6"/>
  <c r="E115" i="6"/>
  <c r="H114" i="6"/>
  <c r="E114" i="6"/>
  <c r="H113" i="6"/>
  <c r="E113" i="6"/>
  <c r="H112" i="6"/>
  <c r="E112" i="6"/>
  <c r="H111" i="6"/>
  <c r="E111" i="6"/>
  <c r="H110" i="6"/>
  <c r="E110" i="6"/>
  <c r="H109" i="6"/>
  <c r="E109" i="6"/>
  <c r="H108" i="6"/>
  <c r="E108" i="6"/>
  <c r="H107" i="6"/>
  <c r="E107" i="6"/>
  <c r="H106" i="6"/>
  <c r="E106" i="6"/>
  <c r="H105" i="6"/>
  <c r="E105" i="6"/>
  <c r="H104" i="6"/>
  <c r="E104" i="6"/>
  <c r="H103" i="6"/>
  <c r="E103" i="6"/>
  <c r="H102" i="6"/>
  <c r="E102" i="6"/>
  <c r="K101" i="6"/>
  <c r="K101" i="6" a="1"/>
  <c r="J90" i="6" a="1"/>
  <c r="J90" i="6" s="1"/>
  <c r="K90" i="6" s="1" a="1"/>
  <c r="K90" i="6" s="1"/>
  <c r="J68" i="6" a="1"/>
  <c r="J68" i="6" s="1"/>
  <c r="K68" i="6" s="1" a="1"/>
  <c r="K68" i="6" s="1"/>
  <c r="J40" i="6"/>
  <c r="L8" i="6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29" i="5"/>
  <c r="K15" i="5" a="1"/>
  <c r="K15" i="5" s="1"/>
  <c r="K16" i="5" s="1" a="1"/>
  <c r="K16" i="5" s="1"/>
  <c r="K17" i="5" s="1" a="1"/>
  <c r="K17" i="5" s="1"/>
  <c r="F129" i="5" s="1" a="1"/>
  <c r="F129" i="5" s="1"/>
  <c r="F73" i="5" a="1"/>
  <c r="F73" i="5" s="1"/>
  <c r="F51" i="5" a="1"/>
  <c r="F51" i="5" s="1"/>
  <c r="J51" i="5" s="1" a="1"/>
  <c r="F29" i="5" a="1"/>
  <c r="F29" i="5" s="1"/>
  <c r="J29" i="5" s="1"/>
  <c r="H118" i="5"/>
  <c r="E118" i="5"/>
  <c r="H117" i="5"/>
  <c r="E117" i="5"/>
  <c r="H116" i="5"/>
  <c r="E116" i="5"/>
  <c r="H115" i="5"/>
  <c r="E115" i="5"/>
  <c r="H114" i="5"/>
  <c r="E114" i="5"/>
  <c r="H113" i="5"/>
  <c r="E113" i="5"/>
  <c r="H112" i="5"/>
  <c r="E112" i="5"/>
  <c r="H111" i="5"/>
  <c r="E111" i="5"/>
  <c r="H110" i="5"/>
  <c r="E110" i="5"/>
  <c r="H109" i="5"/>
  <c r="E109" i="5"/>
  <c r="H108" i="5"/>
  <c r="E108" i="5"/>
  <c r="H107" i="5"/>
  <c r="E107" i="5"/>
  <c r="H106" i="5"/>
  <c r="E106" i="5"/>
  <c r="H105" i="5"/>
  <c r="E105" i="5"/>
  <c r="H104" i="5"/>
  <c r="E104" i="5"/>
  <c r="H103" i="5"/>
  <c r="E103" i="5"/>
  <c r="H102" i="5"/>
  <c r="E102" i="5"/>
  <c r="K101" i="5" a="1"/>
  <c r="K101" i="5" s="1"/>
  <c r="H101" i="5"/>
  <c r="E101" i="5"/>
  <c r="L8" i="5"/>
  <c r="O8" i="3"/>
  <c r="T7" i="3" a="1"/>
  <c r="T7" i="3" s="1"/>
  <c r="E71" i="3" a="1"/>
  <c r="E71" i="3" s="1"/>
  <c r="E49" i="3" a="1"/>
  <c r="E49" i="3" s="1"/>
  <c r="W49" i="3" s="1" a="1"/>
  <c r="E27" i="3" a="1"/>
  <c r="E27" i="3" s="1"/>
  <c r="T116" i="3"/>
  <c r="H116" i="3"/>
  <c r="E116" i="3"/>
  <c r="T115" i="3"/>
  <c r="H115" i="3"/>
  <c r="E115" i="3"/>
  <c r="T114" i="3"/>
  <c r="H114" i="3"/>
  <c r="E114" i="3"/>
  <c r="T113" i="3"/>
  <c r="H113" i="3"/>
  <c r="E113" i="3"/>
  <c r="T112" i="3"/>
  <c r="H112" i="3"/>
  <c r="E112" i="3"/>
  <c r="T111" i="3"/>
  <c r="H111" i="3"/>
  <c r="E111" i="3"/>
  <c r="T110" i="3"/>
  <c r="H110" i="3"/>
  <c r="E110" i="3"/>
  <c r="T109" i="3"/>
  <c r="H109" i="3"/>
  <c r="E109" i="3"/>
  <c r="T108" i="3"/>
  <c r="H108" i="3"/>
  <c r="E108" i="3"/>
  <c r="T107" i="3"/>
  <c r="H107" i="3"/>
  <c r="E107" i="3"/>
  <c r="T106" i="3"/>
  <c r="H106" i="3"/>
  <c r="E106" i="3"/>
  <c r="T105" i="3"/>
  <c r="H105" i="3"/>
  <c r="E105" i="3"/>
  <c r="T104" i="3"/>
  <c r="H104" i="3"/>
  <c r="E104" i="3"/>
  <c r="T103" i="3"/>
  <c r="H103" i="3"/>
  <c r="E103" i="3"/>
  <c r="T102" i="3"/>
  <c r="H102" i="3"/>
  <c r="E102" i="3"/>
  <c r="T101" i="3"/>
  <c r="H101" i="3"/>
  <c r="E101" i="3"/>
  <c r="T100" i="3"/>
  <c r="H100" i="3"/>
  <c r="E100" i="3"/>
  <c r="T99" i="3"/>
  <c r="K99" i="3" a="1"/>
  <c r="K99" i="3" s="1"/>
  <c r="H99" i="3"/>
  <c r="E99" i="3"/>
  <c r="J99" i="3" a="1"/>
  <c r="J99" i="3" s="1"/>
  <c r="F62" i="9" l="1" a="1"/>
  <c r="F74" i="9" a="1"/>
  <c r="F65" i="9" a="1"/>
  <c r="J44" i="8"/>
  <c r="F73" i="9" a="1"/>
  <c r="F66" i="9" a="1"/>
  <c r="F66" i="9" s="1"/>
  <c r="G66" i="9" s="1" a="1"/>
  <c r="G66" i="9" s="1"/>
  <c r="F58" i="9" a="1"/>
  <c r="F70" i="9" a="1"/>
  <c r="F70" i="9" s="1"/>
  <c r="G70" i="9" s="1" a="1"/>
  <c r="G70" i="9" s="1"/>
  <c r="F61" i="9" a="1"/>
  <c r="F69" i="9" a="1"/>
  <c r="F59" i="9" a="1"/>
  <c r="F59" i="9" s="1"/>
  <c r="G59" i="9" s="1" a="1"/>
  <c r="G59" i="9" s="1"/>
  <c r="F63" i="9" a="1"/>
  <c r="F63" i="9" s="1"/>
  <c r="G63" i="9" s="1" a="1"/>
  <c r="G63" i="9" s="1"/>
  <c r="F67" i="9" a="1"/>
  <c r="F71" i="9" a="1"/>
  <c r="F71" i="9" s="1"/>
  <c r="G71" i="9" s="1" a="1"/>
  <c r="G71" i="9" s="1"/>
  <c r="F60" i="9" a="1"/>
  <c r="F60" i="9" s="1"/>
  <c r="G60" i="9" s="1" a="1"/>
  <c r="G60" i="9" s="1"/>
  <c r="F64" i="9" a="1"/>
  <c r="F64" i="9" s="1"/>
  <c r="G64" i="9" s="1" a="1"/>
  <c r="G64" i="9" s="1"/>
  <c r="F68" i="9" a="1"/>
  <c r="F68" i="9" s="1"/>
  <c r="G68" i="9" s="1" a="1"/>
  <c r="G68" i="9" s="1"/>
  <c r="F72" i="9" a="1"/>
  <c r="F72" i="9" s="1"/>
  <c r="G72" i="9" s="1" a="1"/>
  <c r="G72" i="9" s="1"/>
  <c r="N57" i="9"/>
  <c r="N68" i="9"/>
  <c r="N64" i="9"/>
  <c r="N60" i="9"/>
  <c r="N73" i="9"/>
  <c r="N71" i="9"/>
  <c r="N67" i="9"/>
  <c r="N63" i="9"/>
  <c r="N59" i="9"/>
  <c r="N72" i="9"/>
  <c r="N70" i="9"/>
  <c r="N66" i="9"/>
  <c r="N62" i="9"/>
  <c r="N58" i="9"/>
  <c r="N69" i="9"/>
  <c r="N65" i="9"/>
  <c r="N61" i="9"/>
  <c r="F15" i="9"/>
  <c r="N29" i="9" a="1"/>
  <c r="N29" i="9" s="1"/>
  <c r="R29" i="9" a="1"/>
  <c r="R29" i="9" s="1"/>
  <c r="T29" i="9" s="1" a="1"/>
  <c r="T29" i="9" s="1"/>
  <c r="F57" i="9"/>
  <c r="G57" i="9" s="1" a="1"/>
  <c r="G57" i="9" s="1"/>
  <c r="F19" i="9"/>
  <c r="F67" i="9"/>
  <c r="G67" i="9" s="1" a="1"/>
  <c r="G67" i="9" s="1"/>
  <c r="F73" i="9"/>
  <c r="G73" i="9" s="1" a="1"/>
  <c r="G73" i="9" s="1"/>
  <c r="F61" i="9"/>
  <c r="G61" i="9" s="1" a="1"/>
  <c r="G61" i="9" s="1"/>
  <c r="F65" i="9"/>
  <c r="G65" i="9" s="1" a="1"/>
  <c r="G65" i="9" s="1"/>
  <c r="F69" i="9"/>
  <c r="G69" i="9" s="1" a="1"/>
  <c r="G69" i="9" s="1"/>
  <c r="F58" i="9"/>
  <c r="G58" i="9" s="1" a="1"/>
  <c r="G58" i="9" s="1"/>
  <c r="F62" i="9"/>
  <c r="G62" i="9" s="1" a="1"/>
  <c r="G62" i="9" s="1"/>
  <c r="F74" i="9"/>
  <c r="G74" i="9" s="1" a="1"/>
  <c r="G74" i="9" s="1"/>
  <c r="F28" i="9"/>
  <c r="F24" i="9"/>
  <c r="F20" i="9"/>
  <c r="F16" i="9"/>
  <c r="F13" i="9"/>
  <c r="F30" i="9"/>
  <c r="F26" i="9"/>
  <c r="F22" i="9"/>
  <c r="F18" i="9"/>
  <c r="F14" i="9"/>
  <c r="F29" i="9"/>
  <c r="F25" i="9"/>
  <c r="F21" i="9"/>
  <c r="F17" i="9"/>
  <c r="F27" i="9"/>
  <c r="F35" i="9" a="1"/>
  <c r="F35" i="9" s="1"/>
  <c r="G35" i="9" s="1"/>
  <c r="F52" i="9" a="1"/>
  <c r="F52" i="9" s="1"/>
  <c r="G52" i="9" s="1" a="1"/>
  <c r="G52" i="9" s="1"/>
  <c r="F51" i="9" a="1"/>
  <c r="F51" i="9" s="1"/>
  <c r="G51" i="9" s="1" a="1"/>
  <c r="G51" i="9" s="1"/>
  <c r="F50" i="9" a="1"/>
  <c r="F50" i="9" s="1"/>
  <c r="G50" i="9" s="1" a="1"/>
  <c r="G50" i="9" s="1"/>
  <c r="F49" i="9" a="1"/>
  <c r="F49" i="9" s="1"/>
  <c r="G49" i="9" s="1" a="1"/>
  <c r="G49" i="9" s="1"/>
  <c r="F48" i="9" a="1"/>
  <c r="F48" i="9" s="1"/>
  <c r="G48" i="9" s="1" a="1"/>
  <c r="G48" i="9" s="1"/>
  <c r="F47" i="9" a="1"/>
  <c r="F47" i="9" s="1"/>
  <c r="G47" i="9" s="1" a="1"/>
  <c r="G47" i="9" s="1"/>
  <c r="F46" i="9" a="1"/>
  <c r="F46" i="9" s="1"/>
  <c r="G46" i="9" s="1" a="1"/>
  <c r="G46" i="9" s="1"/>
  <c r="F45" i="9" a="1"/>
  <c r="F45" i="9" s="1"/>
  <c r="G45" i="9" s="1" a="1"/>
  <c r="G45" i="9" s="1"/>
  <c r="F44" i="9" a="1"/>
  <c r="F44" i="9" s="1"/>
  <c r="G44" i="9" s="1" a="1"/>
  <c r="G44" i="9" s="1"/>
  <c r="F43" i="9" a="1"/>
  <c r="F43" i="9" s="1"/>
  <c r="G43" i="9" s="1" a="1"/>
  <c r="G43" i="9" s="1"/>
  <c r="F42" i="9" a="1"/>
  <c r="F42" i="9" s="1"/>
  <c r="G42" i="9" s="1" a="1"/>
  <c r="G42" i="9" s="1"/>
  <c r="F41" i="9" a="1"/>
  <c r="F41" i="9" s="1"/>
  <c r="G41" i="9" s="1" a="1"/>
  <c r="G41" i="9" s="1"/>
  <c r="F40" i="9" a="1"/>
  <c r="F40" i="9" s="1"/>
  <c r="G40" i="9" s="1" a="1"/>
  <c r="G40" i="9" s="1"/>
  <c r="F39" i="9" a="1"/>
  <c r="F39" i="9" s="1"/>
  <c r="G39" i="9" s="1" a="1"/>
  <c r="G39" i="9" s="1"/>
  <c r="F38" i="9" a="1"/>
  <c r="F38" i="9" s="1"/>
  <c r="G38" i="9" s="1" a="1"/>
  <c r="G38" i="9" s="1"/>
  <c r="F37" i="9" a="1"/>
  <c r="F37" i="9" s="1"/>
  <c r="G37" i="9" s="1" a="1"/>
  <c r="G37" i="9" s="1"/>
  <c r="F36" i="9" a="1"/>
  <c r="F36" i="9" s="1"/>
  <c r="G36" i="9" s="1" a="1"/>
  <c r="G36" i="9" s="1"/>
  <c r="F23" i="9"/>
  <c r="R99" i="3" a="1"/>
  <c r="R99" i="3" s="1"/>
  <c r="F138" i="8"/>
  <c r="F134" i="8"/>
  <c r="F141" i="8"/>
  <c r="F137" i="8"/>
  <c r="F140" i="8"/>
  <c r="F136" i="8"/>
  <c r="F139" i="8"/>
  <c r="F135" i="8"/>
  <c r="J33" i="8"/>
  <c r="J37" i="8"/>
  <c r="J41" i="8"/>
  <c r="J45" i="8"/>
  <c r="J52" i="8" a="1"/>
  <c r="J52" i="8" s="1"/>
  <c r="K52" i="8" s="1" a="1"/>
  <c r="K52" i="8" s="1"/>
  <c r="J53" i="8" a="1"/>
  <c r="J53" i="8" s="1"/>
  <c r="K53" i="8" s="1" a="1"/>
  <c r="K53" i="8" s="1"/>
  <c r="J54" i="8" a="1"/>
  <c r="J54" i="8" s="1"/>
  <c r="K54" i="8" s="1" a="1"/>
  <c r="K54" i="8" s="1"/>
  <c r="J55" i="8" a="1"/>
  <c r="J55" i="8" s="1"/>
  <c r="K55" i="8" s="1" a="1"/>
  <c r="K55" i="8" s="1"/>
  <c r="J56" i="8" a="1"/>
  <c r="J56" i="8" s="1"/>
  <c r="K56" i="8" s="1" a="1"/>
  <c r="K56" i="8" s="1"/>
  <c r="J57" i="8" a="1"/>
  <c r="J57" i="8" s="1"/>
  <c r="K57" i="8" s="1" a="1"/>
  <c r="K57" i="8" s="1"/>
  <c r="J58" i="8" a="1"/>
  <c r="J58" i="8" s="1"/>
  <c r="K58" i="8" s="1" a="1"/>
  <c r="K58" i="8" s="1"/>
  <c r="J59" i="8" a="1"/>
  <c r="J59" i="8" s="1"/>
  <c r="K59" i="8" s="1" a="1"/>
  <c r="K59" i="8" s="1"/>
  <c r="J60" i="8" a="1"/>
  <c r="J60" i="8" s="1"/>
  <c r="K60" i="8" s="1" a="1"/>
  <c r="K60" i="8" s="1"/>
  <c r="J61" i="8" a="1"/>
  <c r="J61" i="8" s="1"/>
  <c r="K61" i="8" s="1" a="1"/>
  <c r="K61" i="8" s="1"/>
  <c r="J62" i="8" a="1"/>
  <c r="J62" i="8" s="1"/>
  <c r="K62" i="8" s="1" a="1"/>
  <c r="K62" i="8" s="1"/>
  <c r="J63" i="8" a="1"/>
  <c r="J63" i="8" s="1"/>
  <c r="K63" i="8" s="1" a="1"/>
  <c r="K63" i="8" s="1"/>
  <c r="J64" i="8" a="1"/>
  <c r="J64" i="8" s="1"/>
  <c r="K64" i="8" s="1" a="1"/>
  <c r="K64" i="8" s="1"/>
  <c r="J65" i="8" a="1"/>
  <c r="J65" i="8" s="1"/>
  <c r="K65" i="8" s="1" a="1"/>
  <c r="K65" i="8" s="1"/>
  <c r="J66" i="8" a="1"/>
  <c r="J66" i="8" s="1"/>
  <c r="K66" i="8" s="1" a="1"/>
  <c r="K66" i="8" s="1"/>
  <c r="J67" i="8" a="1"/>
  <c r="J67" i="8" s="1"/>
  <c r="K67" i="8" s="1" a="1"/>
  <c r="K67" i="8" s="1"/>
  <c r="J68" i="8" a="1"/>
  <c r="J68" i="8" s="1"/>
  <c r="K68" i="8" s="1" a="1"/>
  <c r="K68" i="8" s="1"/>
  <c r="J30" i="8"/>
  <c r="J34" i="8"/>
  <c r="J38" i="8"/>
  <c r="J42" i="8"/>
  <c r="J46" i="8"/>
  <c r="F73" i="8"/>
  <c r="J73" i="8" s="1" a="1"/>
  <c r="J73" i="8" s="1"/>
  <c r="K73" i="8" s="1" a="1"/>
  <c r="K73" i="8" s="1"/>
  <c r="J74" i="8" a="1"/>
  <c r="J74" i="8" s="1"/>
  <c r="K74" i="8" s="1" a="1"/>
  <c r="K74" i="8" s="1"/>
  <c r="J75" i="8" a="1"/>
  <c r="J75" i="8" s="1"/>
  <c r="K75" i="8" s="1" a="1"/>
  <c r="K75" i="8" s="1"/>
  <c r="J76" i="8" a="1"/>
  <c r="J76" i="8" s="1"/>
  <c r="K76" i="8" s="1" a="1"/>
  <c r="K76" i="8" s="1"/>
  <c r="J77" i="8" a="1"/>
  <c r="J77" i="8" s="1"/>
  <c r="K77" i="8" s="1" a="1"/>
  <c r="K77" i="8" s="1"/>
  <c r="J78" i="8" a="1"/>
  <c r="J78" i="8" s="1"/>
  <c r="K78" i="8" s="1" a="1"/>
  <c r="K78" i="8" s="1"/>
  <c r="J79" i="8" a="1"/>
  <c r="J79" i="8" s="1"/>
  <c r="K79" i="8" s="1" a="1"/>
  <c r="K79" i="8" s="1"/>
  <c r="J80" i="8" a="1"/>
  <c r="J80" i="8" s="1"/>
  <c r="K80" i="8" s="1" a="1"/>
  <c r="K80" i="8" s="1"/>
  <c r="J81" i="8" a="1"/>
  <c r="J81" i="8" s="1"/>
  <c r="K81" i="8" s="1" a="1"/>
  <c r="K81" i="8" s="1"/>
  <c r="J82" i="8" a="1"/>
  <c r="J82" i="8" s="1"/>
  <c r="K82" i="8" s="1" a="1"/>
  <c r="K82" i="8" s="1"/>
  <c r="J83" i="8" a="1"/>
  <c r="J83" i="8" s="1"/>
  <c r="K83" i="8" s="1" a="1"/>
  <c r="K83" i="8" s="1"/>
  <c r="J84" i="8" a="1"/>
  <c r="J84" i="8" s="1"/>
  <c r="K84" i="8" s="1" a="1"/>
  <c r="K84" i="8" s="1"/>
  <c r="J85" i="8" a="1"/>
  <c r="J85" i="8" s="1"/>
  <c r="K85" i="8" s="1" a="1"/>
  <c r="K85" i="8" s="1"/>
  <c r="J86" i="8" a="1"/>
  <c r="J86" i="8" s="1"/>
  <c r="K86" i="8" s="1" a="1"/>
  <c r="K86" i="8" s="1"/>
  <c r="J87" i="8" a="1"/>
  <c r="J87" i="8" s="1"/>
  <c r="K87" i="8" s="1" a="1"/>
  <c r="K87" i="8" s="1"/>
  <c r="J88" i="8" a="1"/>
  <c r="J88" i="8" s="1"/>
  <c r="K88" i="8" s="1" a="1"/>
  <c r="K88" i="8" s="1"/>
  <c r="J89" i="8" a="1"/>
  <c r="J89" i="8" s="1"/>
  <c r="K89" i="8" s="1" a="1"/>
  <c r="K89" i="8" s="1"/>
  <c r="J101" i="8" a="1"/>
  <c r="J101" i="8" s="1"/>
  <c r="L101" i="8" s="1" a="1"/>
  <c r="L101" i="8" s="1"/>
  <c r="J31" i="8"/>
  <c r="J35" i="8"/>
  <c r="J39" i="8"/>
  <c r="J43" i="8"/>
  <c r="J32" i="8"/>
  <c r="J36" i="8"/>
  <c r="J40" i="8"/>
  <c r="F134" i="6"/>
  <c r="F130" i="6"/>
  <c r="F142" i="6"/>
  <c r="F146" i="6"/>
  <c r="F131" i="6"/>
  <c r="F135" i="6"/>
  <c r="F136" i="6"/>
  <c r="F144" i="6"/>
  <c r="F141" i="6"/>
  <c r="F145" i="6"/>
  <c r="W113" i="3"/>
  <c r="X113" i="3" s="1"/>
  <c r="J51" i="6" a="1"/>
  <c r="J51" i="6" s="1"/>
  <c r="K51" i="6" s="1" a="1"/>
  <c r="K51" i="6" s="1"/>
  <c r="L101" i="6" a="1"/>
  <c r="L101" i="6" s="1"/>
  <c r="J29" i="6"/>
  <c r="J36" i="6"/>
  <c r="J44" i="6"/>
  <c r="J31" i="6"/>
  <c r="J39" i="6"/>
  <c r="J32" i="6"/>
  <c r="J46" i="6"/>
  <c r="J42" i="6"/>
  <c r="J38" i="6"/>
  <c r="J34" i="6"/>
  <c r="J30" i="6"/>
  <c r="J45" i="6"/>
  <c r="J41" i="6"/>
  <c r="J37" i="6"/>
  <c r="J33" i="6"/>
  <c r="J35" i="6"/>
  <c r="J43" i="6"/>
  <c r="J52" i="6" a="1"/>
  <c r="J52" i="6" s="1"/>
  <c r="K52" i="6" s="1" a="1"/>
  <c r="K52" i="6" s="1"/>
  <c r="J53" i="6" a="1"/>
  <c r="J53" i="6" s="1"/>
  <c r="K53" i="6" s="1" a="1"/>
  <c r="K53" i="6" s="1"/>
  <c r="J54" i="6" a="1"/>
  <c r="J54" i="6" s="1"/>
  <c r="K54" i="6" s="1" a="1"/>
  <c r="K54" i="6" s="1"/>
  <c r="J55" i="6" a="1"/>
  <c r="J55" i="6" s="1"/>
  <c r="K55" i="6" s="1" a="1"/>
  <c r="K55" i="6" s="1"/>
  <c r="J56" i="6" a="1"/>
  <c r="J56" i="6" s="1"/>
  <c r="K56" i="6" s="1" a="1"/>
  <c r="K56" i="6" s="1"/>
  <c r="J57" i="6" a="1"/>
  <c r="J57" i="6" s="1"/>
  <c r="K57" i="6" s="1" a="1"/>
  <c r="K57" i="6" s="1"/>
  <c r="J58" i="6" a="1"/>
  <c r="J58" i="6" s="1"/>
  <c r="K58" i="6" s="1" a="1"/>
  <c r="K58" i="6" s="1"/>
  <c r="J59" i="6" a="1"/>
  <c r="J59" i="6" s="1"/>
  <c r="K59" i="6" s="1" a="1"/>
  <c r="K59" i="6" s="1"/>
  <c r="J60" i="6" a="1"/>
  <c r="J60" i="6" s="1"/>
  <c r="K60" i="6" s="1" a="1"/>
  <c r="K60" i="6" s="1"/>
  <c r="J61" i="6" a="1"/>
  <c r="J61" i="6" s="1"/>
  <c r="K61" i="6" s="1" a="1"/>
  <c r="K61" i="6" s="1"/>
  <c r="J62" i="6" a="1"/>
  <c r="J62" i="6" s="1"/>
  <c r="K62" i="6" s="1" a="1"/>
  <c r="K62" i="6" s="1"/>
  <c r="J63" i="6" a="1"/>
  <c r="J63" i="6" s="1"/>
  <c r="K63" i="6" s="1" a="1"/>
  <c r="K63" i="6" s="1"/>
  <c r="J64" i="6" a="1"/>
  <c r="J64" i="6" s="1"/>
  <c r="K64" i="6" s="1" a="1"/>
  <c r="K64" i="6" s="1"/>
  <c r="J65" i="6" a="1"/>
  <c r="J65" i="6" s="1"/>
  <c r="K65" i="6" s="1" a="1"/>
  <c r="K65" i="6" s="1"/>
  <c r="J66" i="6" a="1"/>
  <c r="J66" i="6" s="1"/>
  <c r="K66" i="6" s="1" a="1"/>
  <c r="K66" i="6" s="1"/>
  <c r="J67" i="6" a="1"/>
  <c r="J67" i="6" s="1"/>
  <c r="K67" i="6" s="1" a="1"/>
  <c r="K67" i="6" s="1"/>
  <c r="K132" i="6"/>
  <c r="L132" i="6" s="1"/>
  <c r="K136" i="6"/>
  <c r="L136" i="6" s="1"/>
  <c r="K140" i="6"/>
  <c r="L140" i="6" s="1"/>
  <c r="K144" i="6"/>
  <c r="L144" i="6" s="1"/>
  <c r="J73" i="6" a="1"/>
  <c r="J73" i="6" s="1"/>
  <c r="K73" i="6" s="1" a="1"/>
  <c r="K73" i="6" s="1"/>
  <c r="K131" i="6"/>
  <c r="L131" i="6" s="1"/>
  <c r="K135" i="6"/>
  <c r="L135" i="6" s="1"/>
  <c r="K139" i="6"/>
  <c r="L139" i="6" s="1"/>
  <c r="K143" i="6"/>
  <c r="L143" i="6" s="1"/>
  <c r="J74" i="6" a="1"/>
  <c r="J74" i="6" s="1"/>
  <c r="K74" i="6" s="1" a="1"/>
  <c r="K74" i="6" s="1"/>
  <c r="J75" i="6" a="1"/>
  <c r="J75" i="6" s="1"/>
  <c r="K75" i="6" s="1" a="1"/>
  <c r="K75" i="6" s="1"/>
  <c r="J76" i="6" a="1"/>
  <c r="J76" i="6" s="1"/>
  <c r="K76" i="6" s="1" a="1"/>
  <c r="K76" i="6" s="1"/>
  <c r="J77" i="6" a="1"/>
  <c r="J77" i="6" s="1"/>
  <c r="K77" i="6" s="1" a="1"/>
  <c r="K77" i="6" s="1"/>
  <c r="J78" i="6" a="1"/>
  <c r="J78" i="6" s="1"/>
  <c r="K78" i="6" s="1" a="1"/>
  <c r="K78" i="6" s="1"/>
  <c r="J79" i="6" a="1"/>
  <c r="J79" i="6" s="1"/>
  <c r="K79" i="6" s="1" a="1"/>
  <c r="K79" i="6" s="1"/>
  <c r="J80" i="6" a="1"/>
  <c r="J80" i="6" s="1"/>
  <c r="K80" i="6" s="1" a="1"/>
  <c r="K80" i="6" s="1"/>
  <c r="J81" i="6" a="1"/>
  <c r="J81" i="6" s="1"/>
  <c r="K81" i="6" s="1" a="1"/>
  <c r="K81" i="6" s="1"/>
  <c r="J82" i="6" a="1"/>
  <c r="J82" i="6" s="1"/>
  <c r="K82" i="6" s="1" a="1"/>
  <c r="K82" i="6" s="1"/>
  <c r="J83" i="6" a="1"/>
  <c r="J83" i="6" s="1"/>
  <c r="K83" i="6" s="1" a="1"/>
  <c r="K83" i="6" s="1"/>
  <c r="J84" i="6" a="1"/>
  <c r="J84" i="6" s="1"/>
  <c r="K84" i="6" s="1" a="1"/>
  <c r="K84" i="6" s="1"/>
  <c r="J85" i="6" a="1"/>
  <c r="J85" i="6" s="1"/>
  <c r="K85" i="6" s="1" a="1"/>
  <c r="K85" i="6" s="1"/>
  <c r="J86" i="6" a="1"/>
  <c r="J86" i="6" s="1"/>
  <c r="K86" i="6" s="1" a="1"/>
  <c r="K86" i="6" s="1"/>
  <c r="J87" i="6" a="1"/>
  <c r="J87" i="6" s="1"/>
  <c r="K87" i="6" s="1" a="1"/>
  <c r="K87" i="6" s="1"/>
  <c r="J88" i="6" a="1"/>
  <c r="J88" i="6" s="1"/>
  <c r="K88" i="6" s="1" a="1"/>
  <c r="K88" i="6" s="1"/>
  <c r="J89" i="6" a="1"/>
  <c r="J89" i="6" s="1"/>
  <c r="K89" i="6" s="1" a="1"/>
  <c r="K89" i="6" s="1"/>
  <c r="K129" i="6"/>
  <c r="L129" i="6" s="1"/>
  <c r="K130" i="6"/>
  <c r="L130" i="6" s="1"/>
  <c r="K134" i="6"/>
  <c r="L134" i="6" s="1"/>
  <c r="K138" i="6"/>
  <c r="L138" i="6" s="1"/>
  <c r="K142" i="6"/>
  <c r="L142" i="6" s="1"/>
  <c r="J42" i="5"/>
  <c r="J34" i="5"/>
  <c r="J30" i="5"/>
  <c r="J44" i="5"/>
  <c r="J40" i="5"/>
  <c r="J36" i="5"/>
  <c r="J32" i="5"/>
  <c r="J43" i="5"/>
  <c r="J39" i="5"/>
  <c r="J35" i="5"/>
  <c r="J31" i="5"/>
  <c r="F101" i="5" a="1"/>
  <c r="F101" i="5" s="1"/>
  <c r="J38" i="5"/>
  <c r="J90" i="5" a="1"/>
  <c r="J90" i="5" s="1"/>
  <c r="K90" i="5" s="1" a="1"/>
  <c r="K90" i="5" s="1"/>
  <c r="J45" i="5"/>
  <c r="J41" i="5"/>
  <c r="J37" i="5"/>
  <c r="J33" i="5"/>
  <c r="J46" i="5"/>
  <c r="J101" i="5" a="1"/>
  <c r="J101" i="5" s="1"/>
  <c r="L101" i="5" s="1" a="1"/>
  <c r="L101" i="5" s="1"/>
  <c r="K145" i="5"/>
  <c r="L145" i="5" s="1"/>
  <c r="J51" i="5"/>
  <c r="K51" i="5" s="1" a="1"/>
  <c r="K51" i="5" s="1"/>
  <c r="K140" i="5"/>
  <c r="L140" i="5" s="1"/>
  <c r="K144" i="5"/>
  <c r="L144" i="5" s="1"/>
  <c r="K132" i="5"/>
  <c r="L132" i="5" s="1"/>
  <c r="K136" i="5"/>
  <c r="L136" i="5" s="1"/>
  <c r="J52" i="5" a="1"/>
  <c r="J52" i="5" s="1"/>
  <c r="K52" i="5" s="1" a="1"/>
  <c r="K52" i="5" s="1"/>
  <c r="J53" i="5" a="1"/>
  <c r="J53" i="5" s="1"/>
  <c r="K53" i="5" s="1" a="1"/>
  <c r="K53" i="5" s="1"/>
  <c r="J54" i="5" a="1"/>
  <c r="J54" i="5" s="1"/>
  <c r="K54" i="5" s="1" a="1"/>
  <c r="K54" i="5" s="1"/>
  <c r="J55" i="5" a="1"/>
  <c r="J55" i="5" s="1"/>
  <c r="K55" i="5" s="1" a="1"/>
  <c r="K55" i="5" s="1"/>
  <c r="J56" i="5" a="1"/>
  <c r="J56" i="5" s="1"/>
  <c r="K56" i="5" s="1" a="1"/>
  <c r="K56" i="5" s="1"/>
  <c r="J57" i="5" a="1"/>
  <c r="J57" i="5" s="1"/>
  <c r="K57" i="5" s="1" a="1"/>
  <c r="K57" i="5" s="1"/>
  <c r="J58" i="5" a="1"/>
  <c r="J58" i="5" s="1"/>
  <c r="K58" i="5" s="1" a="1"/>
  <c r="K58" i="5" s="1"/>
  <c r="J59" i="5" a="1"/>
  <c r="J59" i="5" s="1"/>
  <c r="K59" i="5" s="1" a="1"/>
  <c r="K59" i="5" s="1"/>
  <c r="J60" i="5" a="1"/>
  <c r="J60" i="5" s="1"/>
  <c r="K60" i="5" s="1" a="1"/>
  <c r="K60" i="5" s="1"/>
  <c r="J61" i="5" a="1"/>
  <c r="J61" i="5" s="1"/>
  <c r="K61" i="5" s="1" a="1"/>
  <c r="K61" i="5" s="1"/>
  <c r="J62" i="5" a="1"/>
  <c r="J62" i="5" s="1"/>
  <c r="K62" i="5" s="1" a="1"/>
  <c r="K62" i="5" s="1"/>
  <c r="J63" i="5" a="1"/>
  <c r="J63" i="5" s="1"/>
  <c r="K63" i="5" s="1" a="1"/>
  <c r="K63" i="5" s="1"/>
  <c r="J64" i="5" a="1"/>
  <c r="J64" i="5" s="1"/>
  <c r="K64" i="5" s="1" a="1"/>
  <c r="K64" i="5" s="1"/>
  <c r="J65" i="5" a="1"/>
  <c r="J65" i="5" s="1"/>
  <c r="K65" i="5" s="1" a="1"/>
  <c r="K65" i="5" s="1"/>
  <c r="J66" i="5" a="1"/>
  <c r="J66" i="5" s="1"/>
  <c r="K66" i="5" s="1" a="1"/>
  <c r="K66" i="5" s="1"/>
  <c r="J67" i="5" a="1"/>
  <c r="J67" i="5" s="1"/>
  <c r="K67" i="5" s="1" a="1"/>
  <c r="K67" i="5" s="1"/>
  <c r="J68" i="5" a="1"/>
  <c r="J68" i="5" s="1"/>
  <c r="K68" i="5" s="1" a="1"/>
  <c r="K68" i="5" s="1"/>
  <c r="J73" i="5" a="1"/>
  <c r="J73" i="5" s="1"/>
  <c r="K73" i="5" s="1" a="1"/>
  <c r="K73" i="5" s="1"/>
  <c r="K131" i="5"/>
  <c r="L131" i="5" s="1"/>
  <c r="K135" i="5"/>
  <c r="L135" i="5" s="1"/>
  <c r="K139" i="5"/>
  <c r="L139" i="5" s="1"/>
  <c r="K143" i="5"/>
  <c r="L143" i="5" s="1"/>
  <c r="J74" i="5" a="1"/>
  <c r="J74" i="5" s="1"/>
  <c r="K74" i="5" s="1" a="1"/>
  <c r="K74" i="5" s="1"/>
  <c r="J75" i="5" a="1"/>
  <c r="J75" i="5" s="1"/>
  <c r="K75" i="5" s="1" a="1"/>
  <c r="K75" i="5" s="1"/>
  <c r="J76" i="5" a="1"/>
  <c r="J76" i="5" s="1"/>
  <c r="K76" i="5" s="1" a="1"/>
  <c r="K76" i="5" s="1"/>
  <c r="J77" i="5" a="1"/>
  <c r="J77" i="5" s="1"/>
  <c r="K77" i="5" s="1" a="1"/>
  <c r="K77" i="5" s="1"/>
  <c r="J78" i="5" a="1"/>
  <c r="J78" i="5" s="1"/>
  <c r="K78" i="5" s="1" a="1"/>
  <c r="K78" i="5" s="1"/>
  <c r="J79" i="5" a="1"/>
  <c r="J79" i="5" s="1"/>
  <c r="K79" i="5" s="1" a="1"/>
  <c r="K79" i="5" s="1"/>
  <c r="J80" i="5" a="1"/>
  <c r="J80" i="5" s="1"/>
  <c r="K80" i="5" s="1" a="1"/>
  <c r="K80" i="5" s="1"/>
  <c r="J81" i="5" a="1"/>
  <c r="J81" i="5" s="1"/>
  <c r="K81" i="5" s="1" a="1"/>
  <c r="K81" i="5" s="1"/>
  <c r="J82" i="5" a="1"/>
  <c r="J82" i="5" s="1"/>
  <c r="K82" i="5" s="1" a="1"/>
  <c r="K82" i="5" s="1"/>
  <c r="J83" i="5" a="1"/>
  <c r="J83" i="5" s="1"/>
  <c r="K83" i="5" s="1" a="1"/>
  <c r="K83" i="5" s="1"/>
  <c r="J84" i="5" a="1"/>
  <c r="J84" i="5" s="1"/>
  <c r="K84" i="5" s="1" a="1"/>
  <c r="K84" i="5" s="1"/>
  <c r="J85" i="5" a="1"/>
  <c r="J85" i="5" s="1"/>
  <c r="K85" i="5" s="1" a="1"/>
  <c r="K85" i="5" s="1"/>
  <c r="J86" i="5" a="1"/>
  <c r="J86" i="5" s="1"/>
  <c r="K86" i="5" s="1" a="1"/>
  <c r="K86" i="5" s="1"/>
  <c r="J87" i="5" a="1"/>
  <c r="J87" i="5" s="1"/>
  <c r="K87" i="5" s="1" a="1"/>
  <c r="K87" i="5" s="1"/>
  <c r="J88" i="5" a="1"/>
  <c r="J88" i="5" s="1"/>
  <c r="K88" i="5" s="1" a="1"/>
  <c r="K88" i="5" s="1"/>
  <c r="J89" i="5" a="1"/>
  <c r="J89" i="5" s="1"/>
  <c r="K89" i="5" s="1" a="1"/>
  <c r="K89" i="5" s="1"/>
  <c r="K129" i="5"/>
  <c r="L129" i="5" s="1"/>
  <c r="K130" i="5"/>
  <c r="L130" i="5" s="1"/>
  <c r="K134" i="5"/>
  <c r="L134" i="5" s="1"/>
  <c r="K138" i="5"/>
  <c r="L138" i="5" s="1"/>
  <c r="K142" i="5"/>
  <c r="L142" i="5" s="1"/>
  <c r="K146" i="5"/>
  <c r="L146" i="5" s="1"/>
  <c r="K133" i="5"/>
  <c r="L133" i="5" s="1"/>
  <c r="K137" i="5"/>
  <c r="L137" i="5" s="1"/>
  <c r="K141" i="5"/>
  <c r="L141" i="5" s="1"/>
  <c r="F99" i="3" a="1"/>
  <c r="F99" i="3" s="1"/>
  <c r="W43" i="3"/>
  <c r="W39" i="3"/>
  <c r="W35" i="3"/>
  <c r="W31" i="3"/>
  <c r="W30" i="3"/>
  <c r="W41" i="3"/>
  <c r="W37" i="3"/>
  <c r="W33" i="3"/>
  <c r="W29" i="3"/>
  <c r="W42" i="3"/>
  <c r="W38" i="3"/>
  <c r="W34" i="3"/>
  <c r="L99" i="3" a="1"/>
  <c r="L99" i="3" s="1"/>
  <c r="W44" i="3"/>
  <c r="W40" i="3"/>
  <c r="W36" i="3"/>
  <c r="W32" i="3"/>
  <c r="W28" i="3"/>
  <c r="W27" i="3"/>
  <c r="W54" i="3" a="1"/>
  <c r="W54" i="3" s="1"/>
  <c r="X54" i="3" s="1" a="1"/>
  <c r="X54" i="3" s="1"/>
  <c r="W62" i="3" a="1"/>
  <c r="W62" i="3" s="1"/>
  <c r="X62" i="3" s="1" a="1"/>
  <c r="X62" i="3" s="1"/>
  <c r="W56" i="3" a="1"/>
  <c r="W56" i="3" s="1"/>
  <c r="X56" i="3" s="1" a="1"/>
  <c r="X56" i="3" s="1"/>
  <c r="W64" i="3" a="1"/>
  <c r="W64" i="3" s="1"/>
  <c r="X64" i="3" s="1" a="1"/>
  <c r="X64" i="3" s="1"/>
  <c r="W50" i="3" a="1"/>
  <c r="W50" i="3" s="1"/>
  <c r="X50" i="3" s="1" a="1"/>
  <c r="X50" i="3" s="1"/>
  <c r="W58" i="3" a="1"/>
  <c r="W58" i="3" s="1"/>
  <c r="X58" i="3" s="1" a="1"/>
  <c r="X58" i="3" s="1"/>
  <c r="W66" i="3" a="1"/>
  <c r="W66" i="3" s="1"/>
  <c r="X66" i="3" s="1" a="1"/>
  <c r="X66" i="3" s="1"/>
  <c r="W52" i="3" a="1"/>
  <c r="W52" i="3" s="1"/>
  <c r="X52" i="3" s="1" a="1"/>
  <c r="X52" i="3" s="1"/>
  <c r="W60" i="3" a="1"/>
  <c r="W60" i="3" s="1"/>
  <c r="X60" i="3" s="1" a="1"/>
  <c r="X60" i="3" s="1"/>
  <c r="W49" i="3"/>
  <c r="X49" i="3" s="1" a="1"/>
  <c r="X49" i="3" s="1"/>
  <c r="W86" i="3" a="1"/>
  <c r="W86" i="3" s="1"/>
  <c r="X86" i="3" s="1" a="1"/>
  <c r="X86" i="3" s="1"/>
  <c r="W84" i="3" a="1"/>
  <c r="W84" i="3" s="1"/>
  <c r="X84" i="3" s="1" a="1"/>
  <c r="X84" i="3" s="1"/>
  <c r="W78" i="3" a="1"/>
  <c r="W78" i="3" s="1"/>
  <c r="X78" i="3" s="1" a="1"/>
  <c r="X78" i="3" s="1"/>
  <c r="W76" i="3" a="1"/>
  <c r="W76" i="3" s="1"/>
  <c r="X76" i="3" s="1" a="1"/>
  <c r="X76" i="3" s="1"/>
  <c r="W87" i="3" a="1"/>
  <c r="W87" i="3" s="1"/>
  <c r="X87" i="3" s="1" a="1"/>
  <c r="X87" i="3" s="1"/>
  <c r="W85" i="3" a="1"/>
  <c r="W85" i="3" s="1"/>
  <c r="X85" i="3" s="1" a="1"/>
  <c r="X85" i="3" s="1"/>
  <c r="W83" i="3" a="1"/>
  <c r="W83" i="3" s="1"/>
  <c r="X83" i="3" s="1" a="1"/>
  <c r="X83" i="3" s="1"/>
  <c r="W81" i="3" a="1"/>
  <c r="W81" i="3" s="1"/>
  <c r="X81" i="3" s="1" a="1"/>
  <c r="X81" i="3" s="1"/>
  <c r="W79" i="3" a="1"/>
  <c r="W79" i="3" s="1"/>
  <c r="X79" i="3" s="1" a="1"/>
  <c r="X79" i="3" s="1"/>
  <c r="W77" i="3" a="1"/>
  <c r="W77" i="3" s="1"/>
  <c r="X77" i="3" s="1" a="1"/>
  <c r="X77" i="3" s="1"/>
  <c r="W75" i="3" a="1"/>
  <c r="W75" i="3" s="1"/>
  <c r="X75" i="3" s="1" a="1"/>
  <c r="X75" i="3" s="1"/>
  <c r="W73" i="3" a="1"/>
  <c r="W73" i="3" s="1"/>
  <c r="X73" i="3" s="1" a="1"/>
  <c r="X73" i="3" s="1"/>
  <c r="W71" i="3" a="1"/>
  <c r="W71" i="3" s="1"/>
  <c r="X71" i="3" s="1" a="1"/>
  <c r="X71" i="3" s="1"/>
  <c r="W88" i="3" a="1"/>
  <c r="W88" i="3" s="1"/>
  <c r="X88" i="3" s="1" a="1"/>
  <c r="X88" i="3" s="1"/>
  <c r="W82" i="3" a="1"/>
  <c r="W82" i="3" s="1"/>
  <c r="X82" i="3" s="1" a="1"/>
  <c r="X82" i="3" s="1"/>
  <c r="W80" i="3" a="1"/>
  <c r="W80" i="3" s="1"/>
  <c r="X80" i="3" s="1" a="1"/>
  <c r="X80" i="3" s="1"/>
  <c r="W74" i="3" a="1"/>
  <c r="W74" i="3" s="1"/>
  <c r="X74" i="3" s="1" a="1"/>
  <c r="X74" i="3" s="1"/>
  <c r="W72" i="3" a="1"/>
  <c r="W72" i="3" s="1"/>
  <c r="X72" i="3" s="1" a="1"/>
  <c r="X72" i="3" s="1"/>
  <c r="W51" i="3" a="1"/>
  <c r="W51" i="3" s="1"/>
  <c r="X51" i="3" s="1" a="1"/>
  <c r="X51" i="3" s="1"/>
  <c r="W53" i="3" a="1"/>
  <c r="W53" i="3" s="1"/>
  <c r="X53" i="3" s="1" a="1"/>
  <c r="X53" i="3" s="1"/>
  <c r="W55" i="3" a="1"/>
  <c r="W55" i="3" s="1"/>
  <c r="X55" i="3" s="1" a="1"/>
  <c r="X55" i="3" s="1"/>
  <c r="W57" i="3" a="1"/>
  <c r="W57" i="3" s="1"/>
  <c r="X57" i="3" s="1" a="1"/>
  <c r="X57" i="3" s="1"/>
  <c r="W59" i="3" a="1"/>
  <c r="W59" i="3" s="1"/>
  <c r="X59" i="3" s="1" a="1"/>
  <c r="X59" i="3" s="1"/>
  <c r="W61" i="3" a="1"/>
  <c r="W61" i="3" s="1"/>
  <c r="X61" i="3" s="1" a="1"/>
  <c r="X61" i="3" s="1"/>
  <c r="W63" i="3" a="1"/>
  <c r="W63" i="3" s="1"/>
  <c r="X63" i="3" s="1" a="1"/>
  <c r="X63" i="3" s="1"/>
  <c r="W65" i="3" a="1"/>
  <c r="W65" i="3" s="1"/>
  <c r="X65" i="3" s="1" a="1"/>
  <c r="X65" i="3" s="1"/>
  <c r="W99" i="3"/>
  <c r="X99" i="3" s="1"/>
  <c r="W102" i="3"/>
  <c r="X102" i="3" s="1"/>
  <c r="W106" i="3"/>
  <c r="X106" i="3" s="1"/>
  <c r="W110" i="3"/>
  <c r="X110" i="3" s="1"/>
  <c r="W114" i="3"/>
  <c r="X114" i="3" s="1"/>
  <c r="W103" i="3"/>
  <c r="X103" i="3" s="1"/>
  <c r="W107" i="3"/>
  <c r="X107" i="3" s="1"/>
  <c r="W111" i="3"/>
  <c r="X111" i="3" s="1"/>
  <c r="W115" i="3"/>
  <c r="X115" i="3" s="1"/>
  <c r="W100" i="3"/>
  <c r="X100" i="3" s="1"/>
  <c r="W104" i="3"/>
  <c r="X104" i="3" s="1"/>
  <c r="W108" i="3"/>
  <c r="X108" i="3" s="1"/>
  <c r="W112" i="3"/>
  <c r="X112" i="3" s="1"/>
  <c r="W116" i="3"/>
  <c r="X116" i="3" s="1"/>
  <c r="W101" i="3"/>
  <c r="X101" i="3" s="1"/>
  <c r="W105" i="3"/>
  <c r="X105" i="3" s="1"/>
  <c r="W109" i="3"/>
  <c r="X109" i="3" s="1"/>
  <c r="F143" i="8" l="1"/>
  <c r="F144" i="8"/>
  <c r="F145" i="8"/>
  <c r="F142" i="8"/>
  <c r="F131" i="8"/>
  <c r="F132" i="8"/>
  <c r="F133" i="8"/>
  <c r="F130" i="8"/>
  <c r="F146" i="8"/>
  <c r="F137" i="6"/>
  <c r="F143" i="6"/>
  <c r="F138" i="6"/>
  <c r="F132" i="6"/>
  <c r="F133" i="6"/>
  <c r="F139" i="6"/>
  <c r="F14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<sst xmlns="http://schemas.openxmlformats.org/spreadsheetml/2006/main" count="346" uniqueCount="58">
  <si>
    <t>T [K]</t>
  </si>
  <si>
    <t>kB</t>
  </si>
  <si>
    <t>J/K</t>
  </si>
  <si>
    <t xml:space="preserve">h </t>
  </si>
  <si>
    <t>J/Hz</t>
  </si>
  <si>
    <t>Q vibrational contributions</t>
  </si>
  <si>
    <t>somma</t>
  </si>
  <si>
    <t>Cv</t>
  </si>
  <si>
    <t>R</t>
  </si>
  <si>
    <t xml:space="preserve">Cv  vibrational contributions </t>
  </si>
  <si>
    <t>Vibrational entropy contributions</t>
  </si>
  <si>
    <t>S</t>
  </si>
  <si>
    <t>Qtrasl</t>
  </si>
  <si>
    <t>Volume</t>
  </si>
  <si>
    <t>A</t>
  </si>
  <si>
    <t>V tilde</t>
  </si>
  <si>
    <t>sigma</t>
  </si>
  <si>
    <t>c</t>
  </si>
  <si>
    <t>cm/s</t>
  </si>
  <si>
    <t>cm-1</t>
  </si>
  <si>
    <t>Qrot</t>
  </si>
  <si>
    <t>Costanti</t>
  </si>
  <si>
    <t>Costante di
Plank</t>
  </si>
  <si>
    <t>Costante di 
Boltzmann</t>
  </si>
  <si>
    <t>Numero di
Avogadro</t>
  </si>
  <si>
    <t>Numero di
simmetria</t>
  </si>
  <si>
    <t>Velocità 
della luce</t>
  </si>
  <si>
    <t>J/(K*mol)</t>
  </si>
  <si>
    <t>Costante 
dei gas</t>
  </si>
  <si>
    <t>Conversione</t>
  </si>
  <si>
    <t>Joule -&gt; cal</t>
  </si>
  <si>
    <t>Unità di
massa atomica</t>
  </si>
  <si>
    <t>cal/J</t>
  </si>
  <si>
    <t>Massa
molecolare</t>
  </si>
  <si>
    <t>Kg</t>
  </si>
  <si>
    <t>amu</t>
  </si>
  <si>
    <t>kg</t>
  </si>
  <si>
    <t>NA</t>
  </si>
  <si>
    <t>1/mol</t>
  </si>
  <si>
    <t>Temperature vibrazionali: theta vib [K]</t>
  </si>
  <si>
    <t>Costante rotazionale</t>
  </si>
  <si>
    <t>GHz</t>
  </si>
  <si>
    <t>Hz</t>
  </si>
  <si>
    <t>Numero d'onda</t>
  </si>
  <si>
    <t>Momento d'inerzia</t>
  </si>
  <si>
    <t>Kg*m^2</t>
  </si>
  <si>
    <t>Quantità rotazionali</t>
  </si>
  <si>
    <t>VIBRAZIONALE</t>
  </si>
  <si>
    <t>(kB*T)/p_at</t>
  </si>
  <si>
    <t>TRASLAZIONALE</t>
  </si>
  <si>
    <t>S rot</t>
  </si>
  <si>
    <t>S trasl</t>
  </si>
  <si>
    <t>ROTAZIONALE</t>
  </si>
  <si>
    <t>Temperature rotazionali</t>
  </si>
  <si>
    <t>K</t>
  </si>
  <si>
    <t>Qvib</t>
  </si>
  <si>
    <t xml:space="preserve">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</si>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</sst>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E+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014"/>
        <bgColor indexed="64"/>
      </patternFill>
    </fill>
    <fill>
      <patternFill patternType="solid">
        <fgColor rgb="FFEFBFC1"/>
        <bgColor indexed="64"/>
      </patternFill>
    </fill>
    <fill>
      <patternFill patternType="solid">
        <fgColor rgb="FFD2A3A7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3" xfId="0" applyFont="1" applyBorder="1"/>
    <xf numFmtId="164" fontId="2" fillId="0" borderId="8" xfId="0" applyNumberFormat="1" applyFont="1" applyBorder="1"/>
    <xf numFmtId="164" fontId="2" fillId="0" borderId="0" xfId="0" applyNumberFormat="1" applyFont="1"/>
    <xf numFmtId="164" fontId="2" fillId="0" borderId="9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4" xfId="0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164" fontId="2" fillId="0" borderId="12" xfId="0" applyNumberFormat="1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5" xfId="0" applyFont="1" applyBorder="1"/>
    <xf numFmtId="11" fontId="2" fillId="0" borderId="0" xfId="0" applyNumberFormat="1" applyFont="1"/>
    <xf numFmtId="0" fontId="0" fillId="0" borderId="0" xfId="0" applyAlignment="1">
      <alignment horizontal="center"/>
    </xf>
    <xf numFmtId="11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/>
    <xf numFmtId="11" fontId="2" fillId="0" borderId="2" xfId="0" applyNumberFormat="1" applyFont="1" applyBorder="1"/>
    <xf numFmtId="0" fontId="2" fillId="0" borderId="3" xfId="0" applyFont="1" applyBorder="1"/>
    <xf numFmtId="0" fontId="0" fillId="0" borderId="2" xfId="0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164" fontId="2" fillId="10" borderId="14" xfId="0" applyNumberFormat="1" applyFont="1" applyFill="1" applyBorder="1"/>
    <xf numFmtId="164" fontId="2" fillId="10" borderId="15" xfId="0" applyNumberFormat="1" applyFont="1" applyFill="1" applyBorder="1"/>
    <xf numFmtId="0" fontId="1" fillId="9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2" borderId="14" xfId="0" applyFont="1" applyFill="1" applyBorder="1"/>
    <xf numFmtId="0" fontId="2" fillId="12" borderId="15" xfId="0" applyFont="1" applyFill="1" applyBorder="1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2" fillId="13" borderId="14" xfId="0" applyFont="1" applyFill="1" applyBorder="1"/>
    <xf numFmtId="0" fontId="2" fillId="13" borderId="15" xfId="0" applyFont="1" applyFill="1" applyBorder="1"/>
    <xf numFmtId="0" fontId="1" fillId="14" borderId="1" xfId="0" applyFont="1" applyFill="1" applyBorder="1" applyAlignment="1">
      <alignment horizontal="center"/>
    </xf>
    <xf numFmtId="11" fontId="2" fillId="0" borderId="14" xfId="0" applyNumberFormat="1" applyFont="1" applyBorder="1"/>
    <xf numFmtId="11" fontId="2" fillId="0" borderId="15" xfId="0" applyNumberFormat="1" applyFont="1" applyBorder="1"/>
    <xf numFmtId="11" fontId="2" fillId="10" borderId="14" xfId="0" applyNumberFormat="1" applyFont="1" applyFill="1" applyBorder="1"/>
    <xf numFmtId="0" fontId="2" fillId="10" borderId="14" xfId="0" applyFont="1" applyFill="1" applyBorder="1"/>
    <xf numFmtId="0" fontId="2" fillId="10" borderId="15" xfId="0" applyFont="1" applyFill="1" applyBorder="1"/>
    <xf numFmtId="0" fontId="2" fillId="12" borderId="13" xfId="0" applyFont="1" applyFill="1" applyBorder="1"/>
    <xf numFmtId="11" fontId="2" fillId="13" borderId="14" xfId="0" applyNumberFormat="1" applyFont="1" applyFill="1" applyBorder="1"/>
    <xf numFmtId="0" fontId="0" fillId="10" borderId="14" xfId="0" applyFill="1" applyBorder="1"/>
    <xf numFmtId="0" fontId="0" fillId="10" borderId="15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1" fontId="0" fillId="0" borderId="9" xfId="0" applyNumberFormat="1" applyBorder="1"/>
    <xf numFmtId="0" fontId="0" fillId="10" borderId="13" xfId="0" applyFill="1" applyBorder="1"/>
    <xf numFmtId="0" fontId="1" fillId="13" borderId="3" xfId="0" applyFont="1" applyFill="1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9" xfId="0" applyBorder="1"/>
    <xf numFmtId="0" fontId="3" fillId="0" borderId="1" xfId="0" applyFont="1" applyBorder="1" applyAlignment="1">
      <alignment horizontal="center" wrapText="1"/>
    </xf>
    <xf numFmtId="3" fontId="0" fillId="0" borderId="4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2" fillId="10" borderId="13" xfId="0" applyNumberFormat="1" applyFont="1" applyFill="1" applyBorder="1"/>
    <xf numFmtId="164" fontId="0" fillId="10" borderId="14" xfId="0" applyNumberFormat="1" applyFill="1" applyBorder="1"/>
    <xf numFmtId="164" fontId="0" fillId="10" borderId="15" xfId="0" applyNumberFormat="1" applyFill="1" applyBorder="1"/>
    <xf numFmtId="164" fontId="2" fillId="13" borderId="13" xfId="0" applyNumberFormat="1" applyFont="1" applyFill="1" applyBorder="1"/>
    <xf numFmtId="164" fontId="2" fillId="13" borderId="14" xfId="0" applyNumberFormat="1" applyFont="1" applyFill="1" applyBorder="1"/>
    <xf numFmtId="164" fontId="2" fillId="13" borderId="15" xfId="0" applyNumberFormat="1" applyFont="1" applyFill="1" applyBorder="1"/>
    <xf numFmtId="164" fontId="2" fillId="0" borderId="13" xfId="0" applyNumberFormat="1" applyFont="1" applyBorder="1"/>
    <xf numFmtId="164" fontId="2" fillId="0" borderId="14" xfId="0" applyNumberFormat="1" applyFont="1" applyBorder="1"/>
    <xf numFmtId="164" fontId="0" fillId="0" borderId="14" xfId="0" applyNumberFormat="1" applyBorder="1"/>
    <xf numFmtId="164" fontId="0" fillId="0" borderId="15" xfId="0" applyNumberFormat="1" applyBorder="1"/>
    <xf numFmtId="164" fontId="2" fillId="0" borderId="15" xfId="0" applyNumberFormat="1" applyFont="1" applyBorder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0" borderId="0" xfId="0" applyFont="1"/>
    <xf numFmtId="0" fontId="0" fillId="0" borderId="7" xfId="0" applyBorder="1"/>
    <xf numFmtId="0" fontId="0" fillId="0" borderId="6" xfId="0" applyBorder="1"/>
    <xf numFmtId="11" fontId="2" fillId="0" borderId="7" xfId="0" applyNumberFormat="1" applyFont="1" applyBorder="1"/>
    <xf numFmtId="11" fontId="2" fillId="0" borderId="9" xfId="0" applyNumberFormat="1" applyFont="1" applyBorder="1"/>
    <xf numFmtId="164" fontId="0" fillId="10" borderId="13" xfId="0" applyNumberFormat="1" applyFill="1" applyBorder="1"/>
    <xf numFmtId="0" fontId="1" fillId="9" borderId="13" xfId="0" applyFont="1" applyFill="1" applyBorder="1" applyAlignment="1">
      <alignment horizontal="center"/>
    </xf>
    <xf numFmtId="0" fontId="1" fillId="11" borderId="13" xfId="0" applyFont="1" applyFill="1" applyBorder="1" applyAlignment="1">
      <alignment horizontal="center"/>
    </xf>
    <xf numFmtId="164" fontId="2" fillId="12" borderId="13" xfId="0" applyNumberFormat="1" applyFont="1" applyFill="1" applyBorder="1"/>
    <xf numFmtId="164" fontId="2" fillId="12" borderId="14" xfId="0" applyNumberFormat="1" applyFont="1" applyFill="1" applyBorder="1"/>
    <xf numFmtId="164" fontId="2" fillId="12" borderId="15" xfId="0" applyNumberFormat="1" applyFont="1" applyFill="1" applyBorder="1"/>
    <xf numFmtId="164" fontId="0" fillId="0" borderId="0" xfId="0" applyNumberFormat="1"/>
    <xf numFmtId="0" fontId="0" fillId="0" borderId="8" xfId="0" applyBorder="1" applyAlignment="1">
      <alignment horizontal="center"/>
    </xf>
    <xf numFmtId="165" fontId="2" fillId="13" borderId="14" xfId="0" applyNumberFormat="1" applyFont="1" applyFill="1" applyBorder="1"/>
    <xf numFmtId="165" fontId="2" fillId="13" borderId="15" xfId="0" applyNumberFormat="1" applyFont="1" applyFill="1" applyBorder="1"/>
    <xf numFmtId="165" fontId="2" fillId="13" borderId="13" xfId="0" applyNumberFormat="1" applyFont="1" applyFill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2" fillId="0" borderId="2" xfId="0" applyFont="1" applyBorder="1"/>
    <xf numFmtId="11" fontId="2" fillId="0" borderId="3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6" xfId="0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BFC1"/>
      <color rgb="FFD2A3A7"/>
      <color rgb="FFFFE014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F053-856D-304B-AB18-8722199C6293}">
  <dimension ref="B3:BL135"/>
  <sheetViews>
    <sheetView tabSelected="1" zoomScale="56" zoomScaleNormal="42" workbookViewId="0">
      <selection activeCell="Q133" sqref="Q133"/>
    </sheetView>
  </sheetViews>
  <sheetFormatPr baseColWidth="10" defaultRowHeight="16" x14ac:dyDescent="0.2"/>
  <cols>
    <col min="3" max="3" width="13.5" customWidth="1"/>
    <col min="5" max="5" width="12.33203125" customWidth="1"/>
    <col min="6" max="6" width="14.1640625" bestFit="1" customWidth="1"/>
    <col min="7" max="9" width="11.6640625" bestFit="1" customWidth="1"/>
    <col min="10" max="10" width="13.83203125" bestFit="1" customWidth="1"/>
    <col min="11" max="11" width="11.6640625" bestFit="1" customWidth="1"/>
    <col min="12" max="12" width="12.5" bestFit="1" customWidth="1"/>
    <col min="13" max="13" width="11.6640625" bestFit="1" customWidth="1"/>
    <col min="14" max="14" width="13.5" bestFit="1" customWidth="1"/>
    <col min="15" max="23" width="13.5" customWidth="1"/>
    <col min="24" max="25" width="11.5" bestFit="1" customWidth="1"/>
    <col min="26" max="26" width="14" bestFit="1" customWidth="1"/>
    <col min="27" max="30" width="12.5" bestFit="1" customWidth="1"/>
    <col min="31" max="31" width="11.5" bestFit="1" customWidth="1"/>
    <col min="32" max="40" width="11.5" customWidth="1"/>
    <col min="41" max="51" width="11.5" bestFit="1" customWidth="1"/>
    <col min="52" max="60" width="11.5" customWidth="1"/>
    <col min="61" max="62" width="11.5" bestFit="1" customWidth="1"/>
    <col min="63" max="63" width="11.33203125" bestFit="1" customWidth="1"/>
  </cols>
  <sheetData>
    <row r="3" spans="3:64" ht="17" customHeight="1" thickBot="1" x14ac:dyDescent="0.25">
      <c r="O3" s="79"/>
      <c r="P3" s="79"/>
    </row>
    <row r="4" spans="3:64" ht="17" customHeight="1" thickBot="1" x14ac:dyDescent="0.25">
      <c r="F4" s="149" t="s">
        <v>21</v>
      </c>
      <c r="G4" s="150"/>
      <c r="H4" s="150"/>
      <c r="I4" s="150"/>
      <c r="J4" s="150"/>
      <c r="K4" s="150"/>
      <c r="L4" s="150"/>
      <c r="M4" s="150"/>
      <c r="N4" s="150"/>
      <c r="O4" s="151"/>
      <c r="P4" s="79"/>
      <c r="Q4" s="133" t="s">
        <v>46</v>
      </c>
      <c r="R4" s="134"/>
      <c r="S4" s="134"/>
      <c r="T4" s="134"/>
      <c r="U4" s="134"/>
      <c r="V4" s="135"/>
      <c r="X4" s="27"/>
      <c r="Y4" s="27"/>
    </row>
    <row r="5" spans="3:64" ht="49" thickBot="1" x14ac:dyDescent="0.25">
      <c r="F5" s="33" t="s">
        <v>23</v>
      </c>
      <c r="G5" s="33" t="s">
        <v>22</v>
      </c>
      <c r="H5" s="33" t="s">
        <v>24</v>
      </c>
      <c r="I5" s="33" t="s">
        <v>25</v>
      </c>
      <c r="J5" s="33" t="s">
        <v>26</v>
      </c>
      <c r="K5" s="33" t="s">
        <v>28</v>
      </c>
      <c r="L5" s="34" t="s">
        <v>29</v>
      </c>
      <c r="M5" s="86" t="s">
        <v>31</v>
      </c>
      <c r="N5" s="33" t="s">
        <v>33</v>
      </c>
      <c r="O5" s="33" t="s">
        <v>33</v>
      </c>
      <c r="P5" s="27"/>
      <c r="T5" s="27">
        <v>1</v>
      </c>
      <c r="U5" s="27">
        <v>2</v>
      </c>
      <c r="V5" s="27">
        <v>3</v>
      </c>
      <c r="Z5" s="2"/>
    </row>
    <row r="6" spans="3:64" ht="17" thickBot="1" x14ac:dyDescent="0.25">
      <c r="F6" s="32" t="s">
        <v>1</v>
      </c>
      <c r="G6" s="32" t="s">
        <v>3</v>
      </c>
      <c r="H6" s="32" t="s">
        <v>37</v>
      </c>
      <c r="I6" s="32" t="s">
        <v>16</v>
      </c>
      <c r="J6" s="32" t="s">
        <v>17</v>
      </c>
      <c r="K6" s="32" t="s">
        <v>8</v>
      </c>
      <c r="L6" s="32" t="s">
        <v>30</v>
      </c>
      <c r="M6" s="32"/>
      <c r="N6" s="32"/>
      <c r="O6" s="32"/>
      <c r="P6" s="27"/>
      <c r="Q6" s="136" t="s">
        <v>40</v>
      </c>
      <c r="R6" s="137"/>
      <c r="S6" s="30" t="s">
        <v>41</v>
      </c>
      <c r="T6" s="39">
        <v>80.262900000000002</v>
      </c>
      <c r="U6" s="37">
        <v>19.866209999999999</v>
      </c>
      <c r="V6" s="87">
        <v>19.866209999999999</v>
      </c>
    </row>
    <row r="7" spans="3:64" ht="17" thickBot="1" x14ac:dyDescent="0.25">
      <c r="F7" s="31" t="s">
        <v>2</v>
      </c>
      <c r="G7" s="30" t="s">
        <v>4</v>
      </c>
      <c r="H7" s="30" t="s">
        <v>38</v>
      </c>
      <c r="I7" s="30"/>
      <c r="J7" s="30" t="s">
        <v>18</v>
      </c>
      <c r="K7" s="30" t="s">
        <v>27</v>
      </c>
      <c r="L7" s="30" t="s">
        <v>32</v>
      </c>
      <c r="M7" s="30" t="s">
        <v>34</v>
      </c>
      <c r="N7" s="30" t="s">
        <v>35</v>
      </c>
      <c r="O7" s="30" t="s">
        <v>36</v>
      </c>
      <c r="P7" s="27"/>
      <c r="Q7" s="27"/>
      <c r="R7" s="27"/>
      <c r="S7" s="30" t="s">
        <v>42</v>
      </c>
      <c r="T7" s="88" cm="1">
        <f t="array" ref="T7:V7">T6:V6*1000000000</f>
        <v>80262900000</v>
      </c>
      <c r="U7" s="89">
        <v>19866210000</v>
      </c>
      <c r="V7" s="90">
        <v>19866210000</v>
      </c>
      <c r="Z7" s="1"/>
    </row>
    <row r="8" spans="3:64" ht="17" thickBot="1" x14ac:dyDescent="0.25">
      <c r="F8" s="28">
        <v>1.3806490000000001E-23</v>
      </c>
      <c r="G8" s="28">
        <v>6.6260701499999998E-34</v>
      </c>
      <c r="H8" s="28">
        <v>6.0221407599999999E+23</v>
      </c>
      <c r="I8" s="28">
        <v>6</v>
      </c>
      <c r="J8" s="28">
        <v>29979245800</v>
      </c>
      <c r="K8" s="29">
        <v>8.3144626180000003</v>
      </c>
      <c r="L8" s="29">
        <v>0.239005736</v>
      </c>
      <c r="M8" s="29">
        <v>1.6605390666E-27</v>
      </c>
      <c r="N8" s="29">
        <v>30.068000000000001</v>
      </c>
      <c r="O8" s="29">
        <f>N8*M8</f>
        <v>4.9929088654528802E-26</v>
      </c>
      <c r="Q8" s="136" t="s">
        <v>43</v>
      </c>
      <c r="R8" s="137"/>
      <c r="S8" s="30" t="s">
        <v>19</v>
      </c>
      <c r="T8" s="44" cm="1">
        <f t="array" ref="T8:V8">T7:V7/$J$8</f>
        <v>2.6772821616479758</v>
      </c>
      <c r="U8" s="45">
        <v>0.66266543636664799</v>
      </c>
      <c r="V8" s="46">
        <v>0.66266543636664799</v>
      </c>
    </row>
    <row r="9" spans="3:64" ht="17" thickBot="1" x14ac:dyDescent="0.25">
      <c r="Q9" s="138" t="s">
        <v>44</v>
      </c>
      <c r="R9" s="139"/>
      <c r="S9" s="30" t="s">
        <v>45</v>
      </c>
      <c r="T9" s="48" cm="1">
        <f t="array" ref="T9:V9">$G$8/(8*(PI())^2*$J$8*T8:V8)</f>
        <v>1.0455659939012336E-46</v>
      </c>
      <c r="U9" s="49">
        <v>4.2242661691331835E-46</v>
      </c>
      <c r="V9" s="47">
        <v>4.2242661691331835E-46</v>
      </c>
    </row>
    <row r="10" spans="3:64" ht="17" thickBot="1" x14ac:dyDescent="0.25">
      <c r="Q10" s="3"/>
      <c r="R10" s="26"/>
      <c r="S10" s="3"/>
      <c r="T10" s="3"/>
      <c r="V10" s="3"/>
    </row>
    <row r="11" spans="3:64" ht="17" thickBot="1" x14ac:dyDescent="0.25">
      <c r="Q11" s="138" t="s">
        <v>53</v>
      </c>
      <c r="R11" s="139"/>
      <c r="S11" s="30" t="s">
        <v>54</v>
      </c>
      <c r="T11" s="50">
        <v>3.8520099999999999</v>
      </c>
      <c r="U11" s="45">
        <v>0.95343</v>
      </c>
      <c r="V11" s="46">
        <v>0.95343</v>
      </c>
    </row>
    <row r="13" spans="3:64" x14ac:dyDescent="0.2">
      <c r="C13" s="2"/>
    </row>
    <row r="14" spans="3:64" ht="17" thickBot="1" x14ac:dyDescent="0.25">
      <c r="E14" s="2"/>
    </row>
    <row r="15" spans="3:64" ht="17" thickBot="1" x14ac:dyDescent="0.25">
      <c r="E15" s="140" t="s">
        <v>39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2"/>
    </row>
    <row r="16" spans="3:64" ht="17" thickBot="1" x14ac:dyDescent="0.25">
      <c r="C16" s="3"/>
      <c r="D16" s="3"/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 s="27">
        <v>10</v>
      </c>
      <c r="O16" s="27">
        <v>11</v>
      </c>
      <c r="P16" s="27">
        <v>12</v>
      </c>
      <c r="Q16" s="27">
        <v>13</v>
      </c>
      <c r="R16" s="27">
        <v>14</v>
      </c>
      <c r="S16" s="27">
        <v>15</v>
      </c>
      <c r="T16" s="27">
        <v>16</v>
      </c>
      <c r="U16" s="27">
        <v>17</v>
      </c>
      <c r="V16" s="27">
        <v>18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2:64" ht="17" thickBot="1" x14ac:dyDescent="0.25">
      <c r="C17" s="3"/>
      <c r="D17" s="3"/>
      <c r="E17" s="36">
        <v>443.75</v>
      </c>
      <c r="F17" s="37">
        <v>1186.55</v>
      </c>
      <c r="G17" s="37">
        <v>1186.55</v>
      </c>
      <c r="H17" s="37">
        <v>1437.86</v>
      </c>
      <c r="I17" s="37">
        <v>1754.22</v>
      </c>
      <c r="J17" s="37">
        <v>1754.22</v>
      </c>
      <c r="K17" s="37">
        <v>2026.88</v>
      </c>
      <c r="L17" s="37">
        <v>2058.19</v>
      </c>
      <c r="M17" s="37">
        <v>2169.62</v>
      </c>
      <c r="N17" s="49">
        <v>2169.62</v>
      </c>
      <c r="O17" s="49">
        <v>2171.98</v>
      </c>
      <c r="P17" s="49">
        <v>2171.98</v>
      </c>
      <c r="Q17" s="49">
        <v>4368.2700000000004</v>
      </c>
      <c r="R17" s="49">
        <v>4369.79</v>
      </c>
      <c r="S17" s="49">
        <v>4445.0600000000004</v>
      </c>
      <c r="T17" s="49">
        <v>4445.0600000000004</v>
      </c>
      <c r="U17" s="49">
        <v>4478.8999999999996</v>
      </c>
      <c r="V17" s="47">
        <v>4478.8999999999996</v>
      </c>
      <c r="W17" s="3"/>
      <c r="X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2:64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2:64" x14ac:dyDescent="0.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6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2:64" ht="17" thickBot="1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26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2:64" x14ac:dyDescent="0.2">
      <c r="B21" s="4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  <c r="Z21" s="26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2:64" ht="17" thickBot="1" x14ac:dyDescent="0.25">
      <c r="B22" s="8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17"/>
      <c r="Z22" s="26"/>
      <c r="AA22" s="3"/>
      <c r="AB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2:64" ht="17" thickBot="1" x14ac:dyDescent="0.25">
      <c r="B23" s="83"/>
      <c r="C23" s="3"/>
      <c r="D23" s="3"/>
      <c r="E23" s="140" t="s">
        <v>47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2"/>
      <c r="Y23" s="84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3"/>
    </row>
    <row r="24" spans="2:64" x14ac:dyDescent="0.2">
      <c r="B24" s="8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17"/>
      <c r="Z24" s="26"/>
      <c r="AA24" s="3"/>
      <c r="AB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2:64" ht="17" thickBot="1" x14ac:dyDescent="0.25">
      <c r="B25" s="8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17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2:64" ht="17" thickBot="1" x14ac:dyDescent="0.25">
      <c r="B26" s="83"/>
      <c r="C26" s="102" t="s">
        <v>0</v>
      </c>
      <c r="D26" s="3"/>
      <c r="E26" s="143" t="s">
        <v>5</v>
      </c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52"/>
      <c r="W26" s="59" t="s">
        <v>55</v>
      </c>
      <c r="Y26" s="85"/>
      <c r="BL26" s="3"/>
    </row>
    <row r="27" spans="2:64" x14ac:dyDescent="0.2">
      <c r="B27" s="83"/>
      <c r="C27" s="3">
        <v>298.14999999999998</v>
      </c>
      <c r="D27" s="3"/>
      <c r="E27" s="13" cm="1">
        <f t="array" ref="E27:V44">EXP(-E17:V17/(2*C27:C44))/(1-EXP(-E17:V17/C27:C44))</f>
        <v>0.61365825183134659</v>
      </c>
      <c r="F27" s="14">
        <v>0.1393194025775665</v>
      </c>
      <c r="G27" s="14">
        <v>0.1393194025775665</v>
      </c>
      <c r="H27" s="14">
        <v>9.0425886142361842E-2</v>
      </c>
      <c r="I27" s="14">
        <v>5.2915818453133194E-2</v>
      </c>
      <c r="J27" s="14">
        <v>5.2915818453133194E-2</v>
      </c>
      <c r="K27" s="14">
        <v>3.3440819035063622E-2</v>
      </c>
      <c r="L27" s="14">
        <v>3.172670653413967E-2</v>
      </c>
      <c r="M27" s="14">
        <v>2.6310714362912709E-2</v>
      </c>
      <c r="N27" s="1">
        <v>2.6310714362912709E-2</v>
      </c>
      <c r="O27" s="1">
        <v>2.6206646268113941E-2</v>
      </c>
      <c r="P27" s="1">
        <v>2.6206646268113941E-2</v>
      </c>
      <c r="Q27" s="1">
        <v>6.5844849728793225E-4</v>
      </c>
      <c r="R27" s="1">
        <v>6.5677221343176046E-4</v>
      </c>
      <c r="S27" s="1">
        <v>5.7888784057620092E-4</v>
      </c>
      <c r="T27" s="1">
        <v>5.7888784057620092E-4</v>
      </c>
      <c r="U27" s="1">
        <v>5.4695074489616692E-4</v>
      </c>
      <c r="V27" s="80">
        <v>5.4695074489616692E-4</v>
      </c>
      <c r="W27" s="81">
        <f>PRODUCT(E27:V27)</f>
        <v>6.5951630506144817E-35</v>
      </c>
      <c r="Y27" s="85"/>
      <c r="BL27" s="3"/>
    </row>
    <row r="28" spans="2:64" x14ac:dyDescent="0.2">
      <c r="B28" s="83"/>
      <c r="C28" s="3">
        <v>400</v>
      </c>
      <c r="D28" s="3"/>
      <c r="E28" s="13">
        <v>0.8567915531803848</v>
      </c>
      <c r="F28" s="14">
        <v>0.23923117108769193</v>
      </c>
      <c r="G28" s="14">
        <v>0.23923117108769193</v>
      </c>
      <c r="H28" s="14">
        <v>0.17042323130963255</v>
      </c>
      <c r="I28" s="14">
        <v>0.11301432053681573</v>
      </c>
      <c r="J28" s="14">
        <v>0.11301432053681573</v>
      </c>
      <c r="K28" s="14">
        <v>7.9875984930482619E-2</v>
      </c>
      <c r="L28" s="14">
        <v>7.6773576203529481E-2</v>
      </c>
      <c r="M28" s="14">
        <v>6.6696286810874875E-2</v>
      </c>
      <c r="N28" s="14">
        <v>6.6696286810874875E-2</v>
      </c>
      <c r="O28" s="14">
        <v>6.649809022547977E-2</v>
      </c>
      <c r="P28" s="14">
        <v>6.649809022547977E-2</v>
      </c>
      <c r="Q28" s="14">
        <v>4.252197293949515E-3</v>
      </c>
      <c r="R28" s="14">
        <v>4.244125498399625E-3</v>
      </c>
      <c r="S28" s="14">
        <v>3.8630043179337424E-3</v>
      </c>
      <c r="T28" s="14">
        <v>3.8630043179337424E-3</v>
      </c>
      <c r="U28" s="14">
        <v>3.7030025513550232E-3</v>
      </c>
      <c r="V28" s="15">
        <v>3.7030025513550232E-3</v>
      </c>
      <c r="W28" s="76">
        <f t="shared" ref="W28:W44" si="0">PRODUCT(E28:V28)</f>
        <v>4.7546236923866755E-26</v>
      </c>
      <c r="Y28" s="85"/>
      <c r="BL28" s="3"/>
    </row>
    <row r="29" spans="2:64" x14ac:dyDescent="0.2">
      <c r="B29" s="83"/>
      <c r="C29" s="3">
        <v>500</v>
      </c>
      <c r="D29" s="3"/>
      <c r="E29" s="13">
        <v>1.0906136403231228</v>
      </c>
      <c r="F29" s="14">
        <v>0.33664505924449978</v>
      </c>
      <c r="G29" s="14">
        <v>0.33664505924449978</v>
      </c>
      <c r="H29" s="14">
        <v>0.2516205711824171</v>
      </c>
      <c r="I29" s="14">
        <v>0.17838360818264185</v>
      </c>
      <c r="J29" s="14">
        <v>0.17838360818264185</v>
      </c>
      <c r="K29" s="14">
        <v>0.13407303208782936</v>
      </c>
      <c r="L29" s="14">
        <v>0.12980107268504715</v>
      </c>
      <c r="M29" s="14">
        <v>0.1157308887145341</v>
      </c>
      <c r="N29" s="14">
        <v>0.1157308887145341</v>
      </c>
      <c r="O29" s="14">
        <v>0.11545089947275303</v>
      </c>
      <c r="P29" s="14">
        <v>0.11545089947275303</v>
      </c>
      <c r="Q29" s="14">
        <v>1.2675181900703707E-2</v>
      </c>
      <c r="R29" s="14">
        <v>1.2655924088302616E-2</v>
      </c>
      <c r="S29" s="14">
        <v>1.1738018657111143E-2</v>
      </c>
      <c r="T29" s="14">
        <v>1.1738018657111143E-2</v>
      </c>
      <c r="U29" s="14">
        <v>1.1347347502727064E-2</v>
      </c>
      <c r="V29" s="15">
        <v>1.1347347502727064E-2</v>
      </c>
      <c r="W29" s="76">
        <f t="shared" si="0"/>
        <v>8.7500541475817184E-21</v>
      </c>
      <c r="Y29" s="85"/>
      <c r="BL29" s="3"/>
    </row>
    <row r="30" spans="2:64" x14ac:dyDescent="0.2">
      <c r="B30" s="83"/>
      <c r="C30" s="3">
        <v>600</v>
      </c>
      <c r="D30" s="3"/>
      <c r="E30" s="13">
        <v>1.3217813414042328</v>
      </c>
      <c r="F30" s="14">
        <v>0.4317866519357979</v>
      </c>
      <c r="G30" s="14">
        <v>0.4317866519357979</v>
      </c>
      <c r="H30" s="14">
        <v>0.33195356799025338</v>
      </c>
      <c r="I30" s="14">
        <v>0.24497039692198017</v>
      </c>
      <c r="J30" s="14">
        <v>0.24497039692198017</v>
      </c>
      <c r="K30" s="14">
        <v>0.19121434850943564</v>
      </c>
      <c r="L30" s="14">
        <v>0.18595586341146988</v>
      </c>
      <c r="M30" s="14">
        <v>0.16851012960682538</v>
      </c>
      <c r="N30" s="14">
        <v>0.16851012960682538</v>
      </c>
      <c r="O30" s="14">
        <v>0.16816081112657902</v>
      </c>
      <c r="P30" s="14">
        <v>0.16816081112657902</v>
      </c>
      <c r="Q30" s="14">
        <v>2.6264530844575029E-2</v>
      </c>
      <c r="R30" s="14">
        <v>2.6231237748876791E-2</v>
      </c>
      <c r="S30" s="14">
        <v>2.4634426494578664E-2</v>
      </c>
      <c r="T30" s="14">
        <v>2.4634426494578664E-2</v>
      </c>
      <c r="U30" s="14">
        <v>2.3948642867725429E-2</v>
      </c>
      <c r="V30" s="15">
        <v>2.3948642867725429E-2</v>
      </c>
      <c r="W30" s="76">
        <f t="shared" si="0"/>
        <v>3.3610093514259076E-17</v>
      </c>
      <c r="Y30" s="85"/>
      <c r="BL30" s="3"/>
    </row>
    <row r="31" spans="2:64" x14ac:dyDescent="0.2">
      <c r="B31" s="83"/>
      <c r="C31" s="3">
        <v>700</v>
      </c>
      <c r="D31" s="3"/>
      <c r="E31" s="13">
        <v>1.5513574488324846</v>
      </c>
      <c r="F31" s="14">
        <v>0.52481898130357607</v>
      </c>
      <c r="G31" s="14">
        <v>0.52481898130357607</v>
      </c>
      <c r="H31" s="14">
        <v>0.41072304650288499</v>
      </c>
      <c r="I31" s="14">
        <v>0.31101904094719002</v>
      </c>
      <c r="J31" s="14">
        <v>0.31101904094719002</v>
      </c>
      <c r="K31" s="14">
        <v>0.24884716506161261</v>
      </c>
      <c r="L31" s="14">
        <v>0.24272250269956946</v>
      </c>
      <c r="M31" s="14">
        <v>0.22232666947839852</v>
      </c>
      <c r="N31" s="14">
        <v>0.22232666947839852</v>
      </c>
      <c r="O31" s="14">
        <v>0.22191695055187313</v>
      </c>
      <c r="P31" s="14">
        <v>0.22191695055187313</v>
      </c>
      <c r="Q31" s="14">
        <v>4.4234871562045371E-2</v>
      </c>
      <c r="R31" s="14">
        <v>4.4186684017159944E-2</v>
      </c>
      <c r="S31" s="14">
        <v>4.1865435008247479E-2</v>
      </c>
      <c r="T31" s="14">
        <v>4.1865435008247479E-2</v>
      </c>
      <c r="U31" s="14">
        <v>4.0862245747431962E-2</v>
      </c>
      <c r="V31" s="15">
        <v>4.0862245747431962E-2</v>
      </c>
      <c r="W31" s="76">
        <f t="shared" si="0"/>
        <v>1.4278173257722156E-14</v>
      </c>
      <c r="Y31" s="85"/>
      <c r="BL31" s="3"/>
    </row>
    <row r="32" spans="2:64" x14ac:dyDescent="0.2">
      <c r="B32" s="83"/>
      <c r="C32" s="3">
        <v>800</v>
      </c>
      <c r="D32" s="3"/>
      <c r="E32" s="13">
        <v>1.7799106589167113</v>
      </c>
      <c r="F32" s="14">
        <v>0.61617162612106913</v>
      </c>
      <c r="G32" s="14">
        <v>0.61617162612106913</v>
      </c>
      <c r="H32" s="14">
        <v>0.48799489122981071</v>
      </c>
      <c r="I32" s="14">
        <v>0.37604484559962104</v>
      </c>
      <c r="J32" s="14">
        <v>0.37604484559962104</v>
      </c>
      <c r="K32" s="14">
        <v>0.30602149399428047</v>
      </c>
      <c r="L32" s="14">
        <v>0.29910149214698473</v>
      </c>
      <c r="M32" s="14">
        <v>0.27601420724078407</v>
      </c>
      <c r="N32" s="14">
        <v>0.27601420724078407</v>
      </c>
      <c r="O32" s="14">
        <v>0.27554965604419307</v>
      </c>
      <c r="P32" s="14">
        <v>0.27554965604419307</v>
      </c>
      <c r="Q32" s="14">
        <v>6.5486742355437833E-2</v>
      </c>
      <c r="R32" s="14">
        <v>6.5424029175972453E-2</v>
      </c>
      <c r="S32" s="14">
        <v>6.2393631202502915E-2</v>
      </c>
      <c r="T32" s="14">
        <v>6.2393631202502915E-2</v>
      </c>
      <c r="U32" s="14">
        <v>6.1078053002555602E-2</v>
      </c>
      <c r="V32" s="15">
        <v>6.1078053002555602E-2</v>
      </c>
      <c r="W32" s="76">
        <f t="shared" si="0"/>
        <v>1.536281668578219E-12</v>
      </c>
      <c r="Y32" s="85"/>
      <c r="BL32" s="3"/>
    </row>
    <row r="33" spans="2:64" x14ac:dyDescent="0.2">
      <c r="B33" s="83"/>
      <c r="C33" s="3">
        <v>900</v>
      </c>
      <c r="D33" s="3"/>
      <c r="E33" s="13">
        <v>2.007769772543162</v>
      </c>
      <c r="F33" s="14">
        <v>0.70623138516201156</v>
      </c>
      <c r="G33" s="14">
        <v>0.70623138516201156</v>
      </c>
      <c r="H33" s="14">
        <v>0.56400526439764287</v>
      </c>
      <c r="I33" s="14">
        <v>0.4400124858104561</v>
      </c>
      <c r="J33" s="14">
        <v>0.4400124858104561</v>
      </c>
      <c r="K33" s="14">
        <v>0.36243412588235002</v>
      </c>
      <c r="L33" s="14">
        <v>0.3547585760352161</v>
      </c>
      <c r="M33" s="14">
        <v>0.32912927577780093</v>
      </c>
      <c r="N33" s="14">
        <v>0.32912927577780093</v>
      </c>
      <c r="O33" s="14">
        <v>0.32861317852733607</v>
      </c>
      <c r="P33" s="14">
        <v>0.32861317852733607</v>
      </c>
      <c r="Q33" s="14">
        <v>8.9011820665069255E-2</v>
      </c>
      <c r="R33" s="14">
        <v>8.8935507066701808E-2</v>
      </c>
      <c r="S33" s="14">
        <v>8.5239534557670069E-2</v>
      </c>
      <c r="T33" s="14">
        <v>8.5239534557670069E-2</v>
      </c>
      <c r="U33" s="14">
        <v>8.3629738587689004E-2</v>
      </c>
      <c r="V33" s="15">
        <v>8.3629738587689004E-2</v>
      </c>
      <c r="W33" s="76">
        <f t="shared" si="0"/>
        <v>6.6162598197479685E-11</v>
      </c>
      <c r="Y33" s="85"/>
      <c r="BL33" s="3"/>
    </row>
    <row r="34" spans="2:64" x14ac:dyDescent="0.2">
      <c r="B34" s="83"/>
      <c r="C34" s="3">
        <v>1000</v>
      </c>
      <c r="D34" s="3"/>
      <c r="E34" s="13">
        <v>2.2351371866965768</v>
      </c>
      <c r="F34" s="14">
        <v>0.79529735577762983</v>
      </c>
      <c r="G34" s="14">
        <v>0.79529735577762983</v>
      </c>
      <c r="H34" s="14">
        <v>0.63899283150801234</v>
      </c>
      <c r="I34" s="14">
        <v>0.50302850917343167</v>
      </c>
      <c r="J34" s="14">
        <v>0.50302850917343167</v>
      </c>
      <c r="K34" s="14">
        <v>0.41804378519733953</v>
      </c>
      <c r="L34" s="14">
        <v>0.40963430074744345</v>
      </c>
      <c r="M34" s="14">
        <v>0.38154663653133014</v>
      </c>
      <c r="N34" s="14">
        <v>0.38154663653133014</v>
      </c>
      <c r="O34" s="14">
        <v>0.38098087306031553</v>
      </c>
      <c r="P34" s="14">
        <v>0.38098087306031553</v>
      </c>
      <c r="Q34" s="14">
        <v>0.11402006189458917</v>
      </c>
      <c r="R34" s="14">
        <v>0.11393121840841677</v>
      </c>
      <c r="S34" s="14">
        <v>0.10962123393478594</v>
      </c>
      <c r="T34" s="14">
        <v>0.10962123393478594</v>
      </c>
      <c r="U34" s="14">
        <v>0.10773947251712557</v>
      </c>
      <c r="V34" s="15">
        <v>0.10773947251712557</v>
      </c>
      <c r="W34" s="76">
        <f t="shared" si="0"/>
        <v>1.4987431589742902E-9</v>
      </c>
      <c r="Y34" s="85"/>
      <c r="BL34" s="3"/>
    </row>
    <row r="35" spans="2:64" x14ac:dyDescent="0.2">
      <c r="B35" s="83"/>
      <c r="C35" s="3">
        <v>1100</v>
      </c>
      <c r="D35" s="3"/>
      <c r="E35" s="13">
        <v>2.4621439698848806</v>
      </c>
      <c r="F35" s="14">
        <v>0.88359223080358584</v>
      </c>
      <c r="G35" s="14">
        <v>0.88359223080358584</v>
      </c>
      <c r="H35" s="14">
        <v>0.71315851809805431</v>
      </c>
      <c r="I35" s="14">
        <v>0.56523026481251426</v>
      </c>
      <c r="J35" s="14">
        <v>0.56523026481251426</v>
      </c>
      <c r="K35" s="14">
        <v>0.47290720633473288</v>
      </c>
      <c r="L35" s="14">
        <v>0.46377498321704197</v>
      </c>
      <c r="M35" s="14">
        <v>0.43327405109131845</v>
      </c>
      <c r="N35" s="14">
        <v>0.43327405109131845</v>
      </c>
      <c r="O35" s="14">
        <v>0.43265966244036386</v>
      </c>
      <c r="P35" s="14">
        <v>0.43265966244036386</v>
      </c>
      <c r="Q35" s="14">
        <v>0.13993942066685597</v>
      </c>
      <c r="R35" s="14">
        <v>0.13983905846842221</v>
      </c>
      <c r="S35" s="14">
        <v>0.13496430778024895</v>
      </c>
      <c r="T35" s="14">
        <v>0.13496430778024895</v>
      </c>
      <c r="U35" s="14">
        <v>0.13283218279049483</v>
      </c>
      <c r="V35" s="15">
        <v>0.13283218279049483</v>
      </c>
      <c r="W35" s="76">
        <f t="shared" si="0"/>
        <v>2.1230908538369285E-8</v>
      </c>
      <c r="Y35" s="85"/>
      <c r="BL35" s="3"/>
    </row>
    <row r="36" spans="2:64" x14ac:dyDescent="0.2">
      <c r="B36" s="83"/>
      <c r="C36" s="3">
        <v>1200</v>
      </c>
      <c r="D36" s="3"/>
      <c r="E36" s="13">
        <v>2.6888785987947958</v>
      </c>
      <c r="F36" s="14">
        <v>0.97128106147853766</v>
      </c>
      <c r="G36" s="14">
        <v>0.97128106147853766</v>
      </c>
      <c r="H36" s="14">
        <v>0.78666224202616741</v>
      </c>
      <c r="I36" s="14">
        <v>0.62674803360954601</v>
      </c>
      <c r="J36" s="14">
        <v>0.62674803360954601</v>
      </c>
      <c r="K36" s="14">
        <v>0.5271109465229642</v>
      </c>
      <c r="L36" s="14">
        <v>0.51726124935745132</v>
      </c>
      <c r="M36" s="14">
        <v>0.48436973947363526</v>
      </c>
      <c r="N36" s="14">
        <v>0.48436973947363526</v>
      </c>
      <c r="O36" s="14">
        <v>0.48370727166487576</v>
      </c>
      <c r="P36" s="14">
        <v>0.48370727166487576</v>
      </c>
      <c r="Q36" s="14">
        <v>0.16637425562268102</v>
      </c>
      <c r="R36" s="14">
        <v>0.1662632457242342</v>
      </c>
      <c r="S36" s="14">
        <v>0.16086645815040002</v>
      </c>
      <c r="T36" s="14">
        <v>0.16086645815040002</v>
      </c>
      <c r="U36" s="14">
        <v>0.15850291167636935</v>
      </c>
      <c r="V36" s="15">
        <v>0.15850291167636935</v>
      </c>
      <c r="W36" s="76">
        <f t="shared" si="0"/>
        <v>2.1098636458113825E-7</v>
      </c>
      <c r="Y36" s="85"/>
      <c r="BL36" s="3"/>
    </row>
    <row r="37" spans="2:64" x14ac:dyDescent="0.2">
      <c r="B37" s="83"/>
      <c r="C37" s="3">
        <v>1300</v>
      </c>
      <c r="D37" s="3"/>
      <c r="E37" s="13">
        <v>2.9154028952363897</v>
      </c>
      <c r="F37" s="14">
        <v>1.0584870824410759</v>
      </c>
      <c r="G37" s="14">
        <v>1.0584870824410759</v>
      </c>
      <c r="H37" s="14">
        <v>0.85962908420744799</v>
      </c>
      <c r="I37" s="14">
        <v>0.6876942175686086</v>
      </c>
      <c r="J37" s="14">
        <v>0.6876942175686086</v>
      </c>
      <c r="K37" s="14">
        <v>0.58074395815612134</v>
      </c>
      <c r="L37" s="14">
        <v>0.57017869050822667</v>
      </c>
      <c r="M37" s="14">
        <v>0.53490632345264166</v>
      </c>
      <c r="N37" s="14">
        <v>0.53490632345264166</v>
      </c>
      <c r="O37" s="14">
        <v>0.53419603152240513</v>
      </c>
      <c r="P37" s="14">
        <v>0.53419603152240513</v>
      </c>
      <c r="Q37" s="14">
        <v>0.19305919118945419</v>
      </c>
      <c r="R37" s="14">
        <v>0.19293824740993054</v>
      </c>
      <c r="S37" s="14">
        <v>0.18705463300853589</v>
      </c>
      <c r="T37" s="14">
        <v>0.18705463300853589</v>
      </c>
      <c r="U37" s="14">
        <v>0.18447539686971559</v>
      </c>
      <c r="V37" s="15">
        <v>0.18447539686971559</v>
      </c>
      <c r="W37" s="76">
        <f t="shared" si="0"/>
        <v>1.5923798363145011E-6</v>
      </c>
      <c r="Y37" s="85"/>
      <c r="BL37" s="3"/>
    </row>
    <row r="38" spans="2:64" x14ac:dyDescent="0.2">
      <c r="B38" s="83"/>
      <c r="C38" s="3">
        <v>1400</v>
      </c>
      <c r="D38" s="3"/>
      <c r="E38" s="13">
        <v>3.1417613296060289</v>
      </c>
      <c r="F38" s="14">
        <v>1.1453033970413349</v>
      </c>
      <c r="G38" s="14">
        <v>1.1453033970413349</v>
      </c>
      <c r="H38" s="14">
        <v>0.93215666746925585</v>
      </c>
      <c r="I38" s="14">
        <v>0.74816224799765052</v>
      </c>
      <c r="J38" s="14">
        <v>0.74816224799765052</v>
      </c>
      <c r="K38" s="14">
        <v>0.63388744456968926</v>
      </c>
      <c r="L38" s="14">
        <v>0.62260662621467555</v>
      </c>
      <c r="M38" s="14">
        <v>0.58495566876673821</v>
      </c>
      <c r="N38" s="14">
        <v>0.58495566876673821</v>
      </c>
      <c r="O38" s="14">
        <v>0.58419763758837029</v>
      </c>
      <c r="P38" s="14">
        <v>0.58419763758837029</v>
      </c>
      <c r="Q38" s="14">
        <v>0.21982059214896194</v>
      </c>
      <c r="R38" s="14">
        <v>0.21969028258253281</v>
      </c>
      <c r="S38" s="14">
        <v>0.21334798874912428</v>
      </c>
      <c r="T38" s="14">
        <v>0.21334798874912428</v>
      </c>
      <c r="U38" s="14">
        <v>0.21056571940338531</v>
      </c>
      <c r="V38" s="15">
        <v>0.21056571940338531</v>
      </c>
      <c r="W38" s="76">
        <f t="shared" si="0"/>
        <v>9.6586811869575077E-6</v>
      </c>
      <c r="Y38" s="85"/>
      <c r="BL38" s="3"/>
    </row>
    <row r="39" spans="2:64" x14ac:dyDescent="0.2">
      <c r="B39" s="83"/>
      <c r="C39" s="3">
        <v>1500</v>
      </c>
      <c r="D39" s="3"/>
      <c r="E39" s="13">
        <v>3.3679866930394544</v>
      </c>
      <c r="F39" s="14">
        <v>1.2318012759028525</v>
      </c>
      <c r="G39" s="14">
        <v>1.2318012759028525</v>
      </c>
      <c r="H39" s="14">
        <v>1.0043215298353068</v>
      </c>
      <c r="I39" s="14">
        <v>0.80822865972946956</v>
      </c>
      <c r="J39" s="14">
        <v>0.80822865972946956</v>
      </c>
      <c r="K39" s="14">
        <v>0.68661196306171357</v>
      </c>
      <c r="L39" s="14">
        <v>0.67461458458542567</v>
      </c>
      <c r="M39" s="14">
        <v>0.6345830917570302</v>
      </c>
      <c r="N39" s="14">
        <v>0.6345830917570302</v>
      </c>
      <c r="O39" s="14">
        <v>0.6337773079088499</v>
      </c>
      <c r="P39" s="14">
        <v>0.6337773079088499</v>
      </c>
      <c r="Q39" s="14">
        <v>0.24654771545431614</v>
      </c>
      <c r="R39" s="14">
        <v>0.24640848403925128</v>
      </c>
      <c r="S39" s="14">
        <v>0.23962959179123014</v>
      </c>
      <c r="T39" s="14">
        <v>0.23962959179123014</v>
      </c>
      <c r="U39" s="14">
        <v>0.23665427239691669</v>
      </c>
      <c r="V39" s="15">
        <v>0.23665427239691669</v>
      </c>
      <c r="W39" s="76">
        <f t="shared" si="0"/>
        <v>4.9076843402467802E-5</v>
      </c>
      <c r="Y39" s="85"/>
      <c r="BL39" s="3"/>
    </row>
    <row r="40" spans="2:64" x14ac:dyDescent="0.2">
      <c r="B40" s="83"/>
      <c r="C40" s="3">
        <v>1600</v>
      </c>
      <c r="D40" s="3"/>
      <c r="E40" s="13">
        <v>3.5941036864817191</v>
      </c>
      <c r="F40" s="14">
        <v>1.3180360018846415</v>
      </c>
      <c r="G40" s="14">
        <v>1.3180360018846415</v>
      </c>
      <c r="H40" s="14">
        <v>1.0761841300079116</v>
      </c>
      <c r="I40" s="14">
        <v>0.86795588558781833</v>
      </c>
      <c r="J40" s="14">
        <v>0.86795588558781833</v>
      </c>
      <c r="K40" s="14">
        <v>0.73897745494605449</v>
      </c>
      <c r="L40" s="14">
        <v>0.72626197481422994</v>
      </c>
      <c r="M40" s="14">
        <v>0.68384570673383782</v>
      </c>
      <c r="N40" s="14">
        <v>0.68384570673383782</v>
      </c>
      <c r="O40" s="14">
        <v>0.68299210150030254</v>
      </c>
      <c r="P40" s="14">
        <v>0.68299210150030254</v>
      </c>
      <c r="Q40" s="14">
        <v>0.27317222116081563</v>
      </c>
      <c r="R40" s="14">
        <v>0.27302441065868693</v>
      </c>
      <c r="S40" s="14">
        <v>0.26582602865996852</v>
      </c>
      <c r="T40" s="14">
        <v>0.26582602865996852</v>
      </c>
      <c r="U40" s="14">
        <v>0.2626654326349751</v>
      </c>
      <c r="V40" s="15">
        <v>0.2626654326349751</v>
      </c>
      <c r="W40" s="76">
        <f t="shared" si="0"/>
        <v>2.1549540140835548E-4</v>
      </c>
      <c r="Y40" s="85"/>
      <c r="BL40" s="3"/>
    </row>
    <row r="41" spans="2:64" x14ac:dyDescent="0.2">
      <c r="B41" s="83"/>
      <c r="C41" s="3">
        <v>1700</v>
      </c>
      <c r="D41" s="3"/>
      <c r="E41" s="13">
        <v>3.8201312656835942</v>
      </c>
      <c r="F41" s="14">
        <v>1.4040510037398712</v>
      </c>
      <c r="G41" s="14">
        <v>1.4040510037398712</v>
      </c>
      <c r="H41" s="14">
        <v>1.1477926434601458</v>
      </c>
      <c r="I41" s="14">
        <v>0.92739490879073117</v>
      </c>
      <c r="J41" s="14">
        <v>0.92739490879073117</v>
      </c>
      <c r="K41" s="14">
        <v>0.79103434112316018</v>
      </c>
      <c r="L41" s="14">
        <v>0.77759897519039622</v>
      </c>
      <c r="M41" s="14">
        <v>0.73279253429275015</v>
      </c>
      <c r="N41" s="14">
        <v>0.73279253429275015</v>
      </c>
      <c r="O41" s="14">
        <v>0.7318910095057628</v>
      </c>
      <c r="P41" s="14">
        <v>0.7318910095057628</v>
      </c>
      <c r="Q41" s="14">
        <v>0.29965402292279159</v>
      </c>
      <c r="R41" s="14">
        <v>0.29949789570057173</v>
      </c>
      <c r="S41" s="14">
        <v>0.29189316375824553</v>
      </c>
      <c r="T41" s="14">
        <v>0.29189316375824553</v>
      </c>
      <c r="U41" s="14">
        <v>0.28855328925114077</v>
      </c>
      <c r="V41" s="15">
        <v>0.28855328925114077</v>
      </c>
      <c r="W41" s="76">
        <f t="shared" si="0"/>
        <v>8.3744561866139395E-4</v>
      </c>
      <c r="Y41" s="85"/>
      <c r="BL41" s="3"/>
    </row>
    <row r="42" spans="2:64" x14ac:dyDescent="0.2">
      <c r="B42" s="83"/>
      <c r="C42" s="3">
        <v>1800</v>
      </c>
      <c r="D42" s="3"/>
      <c r="E42" s="13">
        <v>4.0460842167588398</v>
      </c>
      <c r="F42" s="14">
        <v>1.4898808071073504</v>
      </c>
      <c r="G42" s="14">
        <v>1.4898808071073504</v>
      </c>
      <c r="H42" s="14">
        <v>1.2191858075671815</v>
      </c>
      <c r="I42" s="14">
        <v>0.98658751995579685</v>
      </c>
      <c r="J42" s="14">
        <v>0.98658751995579685</v>
      </c>
      <c r="K42" s="14">
        <v>0.84282489316904619</v>
      </c>
      <c r="L42" s="14">
        <v>0.82866778235567218</v>
      </c>
      <c r="M42" s="14">
        <v>0.78146528694826556</v>
      </c>
      <c r="N42" s="14">
        <v>0.78146528694826556</v>
      </c>
      <c r="O42" s="14">
        <v>0.7805157305258722</v>
      </c>
      <c r="P42" s="14">
        <v>0.7805157305258722</v>
      </c>
      <c r="Q42" s="14">
        <v>0.32597166607785499</v>
      </c>
      <c r="R42" s="14">
        <v>0.32580742155712061</v>
      </c>
      <c r="S42" s="14">
        <v>0.31780636050224637</v>
      </c>
      <c r="T42" s="14">
        <v>0.31780636050224637</v>
      </c>
      <c r="U42" s="14">
        <v>0.314291803125191</v>
      </c>
      <c r="V42" s="15">
        <v>0.314291803125191</v>
      </c>
      <c r="W42" s="76">
        <f t="shared" si="0"/>
        <v>2.9343486756555461E-3</v>
      </c>
      <c r="Y42" s="85"/>
      <c r="BL42" s="3"/>
    </row>
    <row r="43" spans="2:64" x14ac:dyDescent="0.2">
      <c r="B43" s="83"/>
      <c r="C43" s="3">
        <v>1900</v>
      </c>
      <c r="D43" s="3"/>
      <c r="E43" s="13">
        <v>4.2719742410649468</v>
      </c>
      <c r="F43" s="14">
        <v>1.5755531658124682</v>
      </c>
      <c r="G43" s="14">
        <v>1.5755531658124682</v>
      </c>
      <c r="H43" s="14">
        <v>1.2903950513229954</v>
      </c>
      <c r="I43" s="14">
        <v>1.0455681517967623</v>
      </c>
      <c r="J43" s="14">
        <v>1.0455681517967623</v>
      </c>
      <c r="K43" s="14">
        <v>0.89438456066026606</v>
      </c>
      <c r="L43" s="14">
        <v>0.87950386644778678</v>
      </c>
      <c r="M43" s="14">
        <v>0.82989934591335945</v>
      </c>
      <c r="N43" s="14">
        <v>0.82989934591335945</v>
      </c>
      <c r="O43" s="14">
        <v>0.82890164115258702</v>
      </c>
      <c r="P43" s="14">
        <v>0.82890164115258702</v>
      </c>
      <c r="Q43" s="14">
        <v>0.35211584103219862</v>
      </c>
      <c r="R43" s="14">
        <v>0.35194362977475352</v>
      </c>
      <c r="S43" s="14">
        <v>0.34355383169210268</v>
      </c>
      <c r="T43" s="14">
        <v>0.34355383169210268</v>
      </c>
      <c r="U43" s="14">
        <v>0.33986808994414602</v>
      </c>
      <c r="V43" s="15">
        <v>0.33986808994414602</v>
      </c>
      <c r="W43" s="76">
        <f t="shared" si="0"/>
        <v>9.4082764313099566E-3</v>
      </c>
      <c r="Y43" s="85" t="s">
        <v>56</v>
      </c>
      <c r="BL43" s="3"/>
    </row>
    <row r="44" spans="2:64" ht="17" thickBot="1" x14ac:dyDescent="0.25">
      <c r="B44" s="83"/>
      <c r="C44" s="3">
        <v>2000</v>
      </c>
      <c r="D44" s="3"/>
      <c r="E44" s="19">
        <v>4.4978107186156349</v>
      </c>
      <c r="F44" s="20">
        <v>1.6610906202965532</v>
      </c>
      <c r="G44" s="20">
        <v>1.6610906202965532</v>
      </c>
      <c r="H44" s="20">
        <v>1.3614460958080328</v>
      </c>
      <c r="I44" s="20">
        <v>1.1043653403189233</v>
      </c>
      <c r="J44" s="20">
        <v>1.1043653403189233</v>
      </c>
      <c r="K44" s="20">
        <v>0.94574314160382678</v>
      </c>
      <c r="L44" s="20">
        <v>0.93013709849265203</v>
      </c>
      <c r="M44" s="20">
        <v>0.87812472008693476</v>
      </c>
      <c r="N44" s="20">
        <v>0.87812472008693476</v>
      </c>
      <c r="O44" s="20">
        <v>0.87707875113905098</v>
      </c>
      <c r="P44" s="20">
        <v>0.87707875113905098</v>
      </c>
      <c r="Q44" s="20">
        <v>0.37808503285518624</v>
      </c>
      <c r="R44" s="20">
        <v>0.37790496768380727</v>
      </c>
      <c r="S44" s="20">
        <v>0.36913214337877948</v>
      </c>
      <c r="T44" s="20">
        <v>0.36913214337877948</v>
      </c>
      <c r="U44" s="20">
        <v>0.36527786252986388</v>
      </c>
      <c r="V44" s="21">
        <v>0.36527786252986388</v>
      </c>
      <c r="W44" s="77">
        <f t="shared" si="0"/>
        <v>2.7932260737876673E-2</v>
      </c>
      <c r="Y44" s="85"/>
      <c r="BL44" s="3"/>
    </row>
    <row r="45" spans="2:64" x14ac:dyDescent="0.2">
      <c r="B45" s="83"/>
      <c r="C45" s="3"/>
      <c r="D45" s="3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3"/>
      <c r="Y45" s="17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2:64" x14ac:dyDescent="0.2">
      <c r="B46" s="83"/>
      <c r="C46" s="3"/>
      <c r="D46" s="3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3"/>
      <c r="Y46" s="17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2:64" ht="17" thickBot="1" x14ac:dyDescent="0.25">
      <c r="B47" s="83"/>
      <c r="C47" s="3"/>
      <c r="D47" s="3"/>
      <c r="P47" s="14"/>
      <c r="Q47" s="14"/>
      <c r="R47" s="14"/>
      <c r="S47" s="14"/>
      <c r="T47" s="14"/>
      <c r="U47" s="14"/>
      <c r="V47" s="14"/>
      <c r="W47" s="14"/>
      <c r="X47" s="3"/>
      <c r="Y47" s="17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2:64" ht="17" thickBot="1" x14ac:dyDescent="0.25">
      <c r="B48" s="83"/>
      <c r="C48" s="102" t="s">
        <v>0</v>
      </c>
      <c r="D48" s="3"/>
      <c r="E48" s="145" t="s">
        <v>9</v>
      </c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53"/>
      <c r="W48" s="4" t="s">
        <v>6</v>
      </c>
      <c r="X48" s="60" t="s">
        <v>7</v>
      </c>
      <c r="Y48" s="17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2:64" x14ac:dyDescent="0.2">
      <c r="B49" s="83"/>
      <c r="C49" s="3">
        <v>298.14999999999998</v>
      </c>
      <c r="D49" s="3"/>
      <c r="E49" s="9" cm="1">
        <f t="array" ref="E49:V66">(E17:V17^2 * EXP(E17:V17/C27:C44)) / (C27:C44^2 * (EXP(E17:V17/C27:C44) - 1)^2)</f>
        <v>0.83418093863292764</v>
      </c>
      <c r="F49" s="10">
        <v>0.30741543339398658</v>
      </c>
      <c r="G49" s="10">
        <v>0.30741543339398658</v>
      </c>
      <c r="H49" s="10">
        <v>0.19017311656879904</v>
      </c>
      <c r="I49" s="10">
        <v>9.6932524689584909E-2</v>
      </c>
      <c r="J49" s="10">
        <v>9.6932524689584909E-2</v>
      </c>
      <c r="K49" s="10">
        <v>5.1682112691067671E-2</v>
      </c>
      <c r="L49" s="10">
        <v>4.7967963771853007E-2</v>
      </c>
      <c r="M49" s="10">
        <v>3.6657513522632516E-2</v>
      </c>
      <c r="N49" s="10">
        <v>3.6657513522632516E-2</v>
      </c>
      <c r="O49" s="10">
        <v>3.6447262093535771E-2</v>
      </c>
      <c r="P49" s="10">
        <v>3.6447262093535771E-2</v>
      </c>
      <c r="Q49" s="10">
        <v>9.3066405893738291E-5</v>
      </c>
      <c r="R49" s="10">
        <v>9.2657599902092822E-5</v>
      </c>
      <c r="S49" s="10">
        <v>7.4485970800213333E-5</v>
      </c>
      <c r="T49" s="10">
        <v>7.4485970800213333E-5</v>
      </c>
      <c r="U49" s="10">
        <v>6.7510222775498497E-5</v>
      </c>
      <c r="V49" s="11">
        <v>6.7510222775498497E-5</v>
      </c>
      <c r="W49" s="9">
        <f t="array" ref="W49">SUM(E49:V49)</f>
        <v>2.0793793154570741</v>
      </c>
      <c r="X49" s="61">
        <f t="array" ref="X49">PRODUCT(W49,$K$8,$L$8)</f>
        <v>4.1321514285496779</v>
      </c>
      <c r="Y49" s="85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2:64" x14ac:dyDescent="0.2">
      <c r="B50" s="83"/>
      <c r="C50" s="3">
        <v>400</v>
      </c>
      <c r="D50" s="3"/>
      <c r="E50" s="16">
        <v>0.90345619882713202</v>
      </c>
      <c r="F50" s="3">
        <v>0.50360222143686628</v>
      </c>
      <c r="G50" s="3">
        <v>0.50360222143686628</v>
      </c>
      <c r="H50" s="3">
        <v>0.37529330133782896</v>
      </c>
      <c r="I50" s="3">
        <v>0.24564905073725413</v>
      </c>
      <c r="J50" s="3">
        <v>0.24564905073725413</v>
      </c>
      <c r="K50" s="3">
        <v>0.16382061229057485</v>
      </c>
      <c r="L50" s="3">
        <v>0.1560538497760186</v>
      </c>
      <c r="M50" s="3">
        <v>0.13087318769961184</v>
      </c>
      <c r="N50" s="3">
        <v>0.13087318769961184</v>
      </c>
      <c r="O50" s="3">
        <v>0.13037970883483357</v>
      </c>
      <c r="P50" s="3">
        <v>0.13037970883483357</v>
      </c>
      <c r="Q50" s="3">
        <v>2.1563824015967373E-3</v>
      </c>
      <c r="R50" s="3">
        <v>2.1496986575245841E-3</v>
      </c>
      <c r="S50" s="3">
        <v>1.8428316373927766E-3</v>
      </c>
      <c r="T50" s="3">
        <v>1.8428316373927766E-3</v>
      </c>
      <c r="U50" s="3">
        <v>1.719217297652047E-3</v>
      </c>
      <c r="V50" s="17">
        <v>1.719217297652047E-3</v>
      </c>
      <c r="W50" s="16">
        <f t="array" ref="W50">SUM(E50:V50)</f>
        <v>3.631062478577896</v>
      </c>
      <c r="X50" s="61">
        <f t="array" ref="X50">PRODUCT(W50,$K$8,$L$8)</f>
        <v>7.2156628165317187</v>
      </c>
      <c r="Y50" s="85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2:64" x14ac:dyDescent="0.2">
      <c r="B51" s="83"/>
      <c r="C51" s="3">
        <v>500</v>
      </c>
      <c r="D51" s="3"/>
      <c r="E51" s="16">
        <v>0.93686836326641887</v>
      </c>
      <c r="F51" s="3">
        <v>0.63822905094870142</v>
      </c>
      <c r="G51" s="3">
        <v>0.63822905094870142</v>
      </c>
      <c r="H51" s="3">
        <v>0.52358293522184174</v>
      </c>
      <c r="I51" s="3">
        <v>0.39168595228537145</v>
      </c>
      <c r="J51" s="3">
        <v>0.39168595228537145</v>
      </c>
      <c r="K51" s="3">
        <v>0.29539213538277365</v>
      </c>
      <c r="L51" s="3">
        <v>0.2854877527054952</v>
      </c>
      <c r="M51" s="3">
        <v>0.25218887184521666</v>
      </c>
      <c r="N51" s="3">
        <v>0.25218887184521666</v>
      </c>
      <c r="O51" s="3">
        <v>0.25151638173998891</v>
      </c>
      <c r="P51" s="3">
        <v>0.25151638173998891</v>
      </c>
      <c r="Q51" s="3">
        <v>1.2262734923713291E-2</v>
      </c>
      <c r="R51" s="3">
        <v>1.2234010438522057E-2</v>
      </c>
      <c r="S51" s="3">
        <v>1.0889422222013077E-2</v>
      </c>
      <c r="T51" s="3">
        <v>1.0889422222013077E-2</v>
      </c>
      <c r="U51" s="3">
        <v>1.0332167388659313E-2</v>
      </c>
      <c r="V51" s="17">
        <v>1.0332167388659313E-2</v>
      </c>
      <c r="W51" s="16">
        <f t="array" ref="W51">SUM(E51:V51)</f>
        <v>5.1755116247986672</v>
      </c>
      <c r="X51" s="61">
        <f t="array" ref="X51">PRODUCT(W51,$K$8,$L$8)</f>
        <v>10.284798735331444</v>
      </c>
      <c r="Y51" s="85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2:64" x14ac:dyDescent="0.2">
      <c r="B52" s="83"/>
      <c r="C52" s="3">
        <v>600</v>
      </c>
      <c r="D52" s="3"/>
      <c r="E52" s="16">
        <v>0.95563812010804317</v>
      </c>
      <c r="F52" s="3">
        <v>0.72913511082993732</v>
      </c>
      <c r="G52" s="3">
        <v>0.72913511082993732</v>
      </c>
      <c r="H52" s="3">
        <v>0.63282756138330309</v>
      </c>
      <c r="I52" s="3">
        <v>0.51297101603427009</v>
      </c>
      <c r="J52" s="3">
        <v>0.51297101603427009</v>
      </c>
      <c r="K52" s="3">
        <v>0.41724825609813376</v>
      </c>
      <c r="L52" s="3">
        <v>0.40690045949839482</v>
      </c>
      <c r="M52" s="3">
        <v>0.37129309762717599</v>
      </c>
      <c r="N52" s="3">
        <v>0.37129309762717599</v>
      </c>
      <c r="O52" s="3">
        <v>0.37056016407389275</v>
      </c>
      <c r="P52" s="3">
        <v>0.37056016407389275</v>
      </c>
      <c r="Q52" s="3">
        <v>3.6564171921702797E-2</v>
      </c>
      <c r="R52" s="3">
        <v>3.6496918659196638E-2</v>
      </c>
      <c r="S52" s="3">
        <v>3.3307164838627029E-2</v>
      </c>
      <c r="T52" s="3">
        <v>3.3307164838627029E-2</v>
      </c>
      <c r="U52" s="3">
        <v>3.1959652367242311E-2</v>
      </c>
      <c r="V52" s="17">
        <v>3.1959652367242311E-2</v>
      </c>
      <c r="W52" s="16">
        <f t="array" ref="W52">SUM(E52:V52)</f>
        <v>6.5841278992110661</v>
      </c>
      <c r="X52" s="61">
        <f t="array" ref="X52">PRODUCT(W52,$K$8,$L$8)</f>
        <v>13.084006992970611</v>
      </c>
      <c r="Y52" s="85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2:64" x14ac:dyDescent="0.2">
      <c r="B53" s="83"/>
      <c r="C53" s="3">
        <v>700</v>
      </c>
      <c r="D53" s="3"/>
      <c r="E53" s="16">
        <v>0.96717353137246032</v>
      </c>
      <c r="F53" s="3">
        <v>0.79139823097952133</v>
      </c>
      <c r="G53" s="3">
        <v>0.79139823097952133</v>
      </c>
      <c r="H53" s="3">
        <v>0.71176277325324711</v>
      </c>
      <c r="I53" s="3">
        <v>0.60749959386771823</v>
      </c>
      <c r="J53" s="3">
        <v>0.60749959386771823</v>
      </c>
      <c r="K53" s="3">
        <v>0.51918888899279525</v>
      </c>
      <c r="L53" s="3">
        <v>0.50932492564946352</v>
      </c>
      <c r="M53" s="3">
        <v>0.47484776208568424</v>
      </c>
      <c r="N53" s="3">
        <v>0.47484776208568424</v>
      </c>
      <c r="O53" s="3">
        <v>0.47412899559792854</v>
      </c>
      <c r="P53" s="3">
        <v>0.47412899559792854</v>
      </c>
      <c r="Q53" s="3">
        <v>7.6199550454040491E-2</v>
      </c>
      <c r="R53" s="3">
        <v>7.6086547038064861E-2</v>
      </c>
      <c r="S53" s="3">
        <v>7.0675744379276179E-2</v>
      </c>
      <c r="T53" s="3">
        <v>7.0675744379276179E-2</v>
      </c>
      <c r="U53" s="3">
        <v>6.8358278138506534E-2</v>
      </c>
      <c r="V53" s="17">
        <v>6.8358278138506534E-2</v>
      </c>
      <c r="W53" s="16">
        <f t="array" ref="W53">SUM(E53:V53)</f>
        <v>7.8335534268573417</v>
      </c>
      <c r="X53" s="61">
        <f t="array" ref="X53">PRODUCT(W53,$K$8,$L$8)</f>
        <v>15.566870720887968</v>
      </c>
      <c r="Y53" s="85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2:64" x14ac:dyDescent="0.2">
      <c r="B54" s="83"/>
      <c r="C54" s="3">
        <v>800</v>
      </c>
      <c r="D54" s="3"/>
      <c r="E54" s="16">
        <v>0.97474982475154703</v>
      </c>
      <c r="F54" s="3">
        <v>0.83520965258853064</v>
      </c>
      <c r="G54" s="3">
        <v>0.83520965258853064</v>
      </c>
      <c r="H54" s="3">
        <v>0.76927883025706667</v>
      </c>
      <c r="I54" s="3">
        <v>0.67993503985553427</v>
      </c>
      <c r="J54" s="3">
        <v>0.67993503985553427</v>
      </c>
      <c r="K54" s="3">
        <v>0.60114600156948961</v>
      </c>
      <c r="L54" s="3">
        <v>0.59214506320234594</v>
      </c>
      <c r="M54" s="3">
        <v>0.56033822659535459</v>
      </c>
      <c r="N54" s="3">
        <v>0.56033822659535459</v>
      </c>
      <c r="O54" s="3">
        <v>0.55966921161241501</v>
      </c>
      <c r="P54" s="3">
        <v>0.55966921161241501</v>
      </c>
      <c r="Q54" s="3">
        <v>0.12786325260539541</v>
      </c>
      <c r="R54" s="3">
        <v>0.12770730283831044</v>
      </c>
      <c r="S54" s="3">
        <v>0.12018653211957504</v>
      </c>
      <c r="T54" s="3">
        <v>0.12018653211957504</v>
      </c>
      <c r="U54" s="3">
        <v>0.11693193251039098</v>
      </c>
      <c r="V54" s="17">
        <v>0.11693193251039098</v>
      </c>
      <c r="W54" s="16">
        <f t="array" ref="W54">SUM(E54:V54)</f>
        <v>8.9374314657877587</v>
      </c>
      <c r="X54" s="61">
        <f t="array" ref="X54">PRODUCT(W54,$K$8,$L$8)</f>
        <v>17.76050185956662</v>
      </c>
      <c r="Y54" s="85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2:64" x14ac:dyDescent="0.2">
      <c r="B55" s="83"/>
      <c r="C55" s="3">
        <v>900</v>
      </c>
      <c r="D55" s="3"/>
      <c r="E55" s="16">
        <v>0.97998524380455121</v>
      </c>
      <c r="F55" s="3">
        <v>0.86692413969698545</v>
      </c>
      <c r="G55" s="3">
        <v>0.86692413969698545</v>
      </c>
      <c r="H55" s="3">
        <v>0.81192235815648794</v>
      </c>
      <c r="I55" s="3">
        <v>0.73555152089678333</v>
      </c>
      <c r="J55" s="3">
        <v>0.73555152089678333</v>
      </c>
      <c r="K55" s="3">
        <v>0.66623772703157025</v>
      </c>
      <c r="L55" s="3">
        <v>0.658190659318453</v>
      </c>
      <c r="M55" s="3">
        <v>0.62952844839790678</v>
      </c>
      <c r="N55" s="3">
        <v>0.62952844839790678</v>
      </c>
      <c r="O55" s="3">
        <v>0.62892169640697593</v>
      </c>
      <c r="P55" s="3">
        <v>0.62892169640697593</v>
      </c>
      <c r="Q55" s="3">
        <v>0.18665056016727588</v>
      </c>
      <c r="R55" s="3">
        <v>0.18646034574165235</v>
      </c>
      <c r="S55" s="3">
        <v>0.17723617769383695</v>
      </c>
      <c r="T55" s="3">
        <v>0.17723617769383695</v>
      </c>
      <c r="U55" s="3">
        <v>0.17321248478738974</v>
      </c>
      <c r="V55" s="17">
        <v>0.17321248478738974</v>
      </c>
      <c r="W55" s="16">
        <f t="array" ref="W55">SUM(E55:V55)</f>
        <v>9.9121958299797512</v>
      </c>
      <c r="X55" s="61">
        <f t="array" ref="X55">PRODUCT(W55,$K$8,$L$8)</f>
        <v>19.697557754108828</v>
      </c>
      <c r="Y55" s="85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2:64" x14ac:dyDescent="0.2">
      <c r="B56" s="83"/>
      <c r="C56" s="3">
        <v>1000</v>
      </c>
      <c r="D56" s="3"/>
      <c r="E56" s="16">
        <v>0.98375080409167748</v>
      </c>
      <c r="F56" s="3">
        <v>0.89049434186343057</v>
      </c>
      <c r="G56" s="3">
        <v>0.89049434186343057</v>
      </c>
      <c r="H56" s="3">
        <v>0.84416079114745068</v>
      </c>
      <c r="I56" s="3">
        <v>0.77866977093403189</v>
      </c>
      <c r="J56" s="3">
        <v>0.77866977093403189</v>
      </c>
      <c r="K56" s="3">
        <v>0.71795895631222917</v>
      </c>
      <c r="L56" s="3">
        <v>0.71082641444532635</v>
      </c>
      <c r="M56" s="3">
        <v>0.68527140528095232</v>
      </c>
      <c r="N56" s="3">
        <v>0.68527140528095232</v>
      </c>
      <c r="O56" s="3">
        <v>0.68472784498267547</v>
      </c>
      <c r="P56" s="3">
        <v>0.68472784498267547</v>
      </c>
      <c r="Q56" s="3">
        <v>0.24807413906756898</v>
      </c>
      <c r="R56" s="3">
        <v>0.24786009777393092</v>
      </c>
      <c r="S56" s="3">
        <v>0.23743493960750722</v>
      </c>
      <c r="T56" s="3">
        <v>0.23743493960750722</v>
      </c>
      <c r="U56" s="3">
        <v>0.23285867508699826</v>
      </c>
      <c r="V56" s="17">
        <v>0.23285867508699826</v>
      </c>
      <c r="W56" s="16">
        <f t="array" ref="W56">SUM(E56:V56)</f>
        <v>10.771545158349372</v>
      </c>
      <c r="X56" s="61">
        <f t="array" ref="X56">PRODUCT(W56,$K$8,$L$8)</f>
        <v>21.405260398089965</v>
      </c>
      <c r="Y56" s="85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2:64" x14ac:dyDescent="0.2">
      <c r="B57" s="83"/>
      <c r="C57" s="3">
        <v>1100</v>
      </c>
      <c r="D57" s="3"/>
      <c r="E57" s="16">
        <v>0.98654806664089767</v>
      </c>
      <c r="F57" s="3">
        <v>0.90842796314400309</v>
      </c>
      <c r="G57" s="3">
        <v>0.90842796314400309</v>
      </c>
      <c r="H57" s="3">
        <v>0.86900041089317159</v>
      </c>
      <c r="I57" s="3">
        <v>0.81251906755650727</v>
      </c>
      <c r="J57" s="3">
        <v>0.81251906755650727</v>
      </c>
      <c r="K57" s="3">
        <v>0.75931602999219905</v>
      </c>
      <c r="L57" s="3">
        <v>0.75300904695041937</v>
      </c>
      <c r="M57" s="3">
        <v>0.73031015657337461</v>
      </c>
      <c r="N57" s="3">
        <v>0.73031015657337461</v>
      </c>
      <c r="O57" s="3">
        <v>0.72982559101694322</v>
      </c>
      <c r="P57" s="3">
        <v>0.72982559101694322</v>
      </c>
      <c r="Q57" s="3">
        <v>0.30882590371795504</v>
      </c>
      <c r="R57" s="3">
        <v>0.30859774274567336</v>
      </c>
      <c r="S57" s="3">
        <v>0.2974457362301024</v>
      </c>
      <c r="T57" s="3">
        <v>0.2974457362301024</v>
      </c>
      <c r="U57" s="3">
        <v>0.29252566853062084</v>
      </c>
      <c r="V57" s="17">
        <v>0.29252566853062084</v>
      </c>
      <c r="W57" s="16">
        <f t="array" ref="W57">SUM(E57:V57)</f>
        <v>11.527405567043418</v>
      </c>
      <c r="X57" s="61">
        <f t="array" ref="X57">PRODUCT(W57,$K$8,$L$8)</f>
        <v>22.907309420291909</v>
      </c>
      <c r="Y57" s="85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2:64" x14ac:dyDescent="0.2">
      <c r="B58" s="83"/>
      <c r="C58" s="3">
        <v>1200</v>
      </c>
      <c r="D58" s="3"/>
      <c r="E58" s="16">
        <v>0.98868200380220961</v>
      </c>
      <c r="F58" s="3">
        <v>0.92235782532038801</v>
      </c>
      <c r="G58" s="3">
        <v>0.92235782532038801</v>
      </c>
      <c r="H58" s="3">
        <v>0.88847931921040479</v>
      </c>
      <c r="I58" s="3">
        <v>0.83944371967166709</v>
      </c>
      <c r="J58" s="3">
        <v>0.83944371967166709</v>
      </c>
      <c r="K58" s="3">
        <v>0.79267954831395238</v>
      </c>
      <c r="L58" s="3">
        <v>0.78709712192519854</v>
      </c>
      <c r="M58" s="3">
        <v>0.76693554349008097</v>
      </c>
      <c r="N58" s="3">
        <v>0.76693554349008097</v>
      </c>
      <c r="O58" s="3">
        <v>0.76650392697407232</v>
      </c>
      <c r="P58" s="3">
        <v>0.76650392697407232</v>
      </c>
      <c r="Q58" s="3">
        <v>0.36679947610328839</v>
      </c>
      <c r="R58" s="3">
        <v>0.36656512988673878</v>
      </c>
      <c r="S58" s="3">
        <v>0.35507799814898661</v>
      </c>
      <c r="T58" s="3">
        <v>0.35507799814898661</v>
      </c>
      <c r="U58" s="3">
        <v>0.34998926943297826</v>
      </c>
      <c r="V58" s="17">
        <v>0.34998926943297826</v>
      </c>
      <c r="W58" s="16">
        <f t="array" ref="W58">SUM(E58:V58)</f>
        <v>12.190919165318141</v>
      </c>
      <c r="X58" s="61">
        <f t="array" ref="X58">PRODUCT(W58,$K$8,$L$8)</f>
        <v>24.225846467665761</v>
      </c>
      <c r="Y58" s="85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2:64" x14ac:dyDescent="0.2">
      <c r="B59" s="83"/>
      <c r="C59" s="3">
        <v>1300</v>
      </c>
      <c r="D59" s="3"/>
      <c r="E59" s="16">
        <v>0.99034654085307139</v>
      </c>
      <c r="F59" s="3">
        <v>0.93337573731837686</v>
      </c>
      <c r="G59" s="3">
        <v>0.93337573731837686</v>
      </c>
      <c r="H59" s="3">
        <v>0.90400056363086445</v>
      </c>
      <c r="I59" s="3">
        <v>0.86113681590554081</v>
      </c>
      <c r="J59" s="3">
        <v>0.86113681590554081</v>
      </c>
      <c r="K59" s="3">
        <v>0.81985824887800629</v>
      </c>
      <c r="L59" s="3">
        <v>0.81490350813899004</v>
      </c>
      <c r="M59" s="3">
        <v>0.79695924066347101</v>
      </c>
      <c r="N59" s="3">
        <v>0.79695924066347101</v>
      </c>
      <c r="O59" s="3">
        <v>0.79657423266662142</v>
      </c>
      <c r="P59" s="3">
        <v>0.79657423266662142</v>
      </c>
      <c r="Q59" s="3">
        <v>0.42083631411117683</v>
      </c>
      <c r="R59" s="3">
        <v>0.42060176108930614</v>
      </c>
      <c r="S59" s="3">
        <v>0.40907740199963599</v>
      </c>
      <c r="T59" s="3">
        <v>0.40907740199963599</v>
      </c>
      <c r="U59" s="3">
        <v>0.40395494997817111</v>
      </c>
      <c r="V59" s="17">
        <v>0.40395494997817111</v>
      </c>
      <c r="W59" s="16">
        <f t="array" ref="W59">SUM(E59:V59)</f>
        <v>12.772703693765049</v>
      </c>
      <c r="X59" s="61">
        <f t="array" ref="X59">PRODUCT(W59,$K$8,$L$8)</f>
        <v>25.381971159519569</v>
      </c>
      <c r="Y59" s="85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2:64" x14ac:dyDescent="0.2">
      <c r="B60" s="83"/>
      <c r="C60" s="3">
        <v>1400</v>
      </c>
      <c r="D60" s="3"/>
      <c r="E60" s="16">
        <v>0.99166969258967896</v>
      </c>
      <c r="F60" s="3">
        <v>0.94223040336451125</v>
      </c>
      <c r="G60" s="3">
        <v>0.94223040336451125</v>
      </c>
      <c r="H60" s="3">
        <v>0.91654745039079089</v>
      </c>
      <c r="I60" s="3">
        <v>0.87882747321497345</v>
      </c>
      <c r="J60" s="3">
        <v>0.87882747321497345</v>
      </c>
      <c r="K60" s="3">
        <v>0.84221758094669275</v>
      </c>
      <c r="L60" s="3">
        <v>0.83780381398884374</v>
      </c>
      <c r="M60" s="3">
        <v>0.82178306640708021</v>
      </c>
      <c r="N60" s="3">
        <v>0.82178306640708021</v>
      </c>
      <c r="O60" s="3">
        <v>0.82143871046744021</v>
      </c>
      <c r="P60" s="3">
        <v>0.82143871046744021</v>
      </c>
      <c r="Q60" s="3">
        <v>0.47043499787823823</v>
      </c>
      <c r="R60" s="3">
        <v>0.47020447339729882</v>
      </c>
      <c r="S60" s="3">
        <v>0.45885586783909238</v>
      </c>
      <c r="T60" s="3">
        <v>0.45885586783909238</v>
      </c>
      <c r="U60" s="3">
        <v>0.45379739416690401</v>
      </c>
      <c r="V60" s="17">
        <v>0.45379739416690401</v>
      </c>
      <c r="W60" s="16">
        <f t="array" ref="W60">SUM(E60:V60)</f>
        <v>13.282743840111547</v>
      </c>
      <c r="X60" s="61">
        <f t="array" ref="X60">PRODUCT(W60,$K$8,$L$8)</f>
        <v>26.395525109814635</v>
      </c>
      <c r="Y60" s="85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2:64" x14ac:dyDescent="0.2">
      <c r="B61" s="83"/>
      <c r="C61" s="3">
        <v>1500</v>
      </c>
      <c r="D61" s="3"/>
      <c r="E61" s="16">
        <v>0.99273868978122048</v>
      </c>
      <c r="F61" s="3">
        <v>0.9494473100732137</v>
      </c>
      <c r="G61" s="3">
        <v>0.9494473100732137</v>
      </c>
      <c r="H61" s="3">
        <v>0.92682178202631027</v>
      </c>
      <c r="I61" s="3">
        <v>0.89341675108679186</v>
      </c>
      <c r="J61" s="3">
        <v>0.89341675108679186</v>
      </c>
      <c r="K61" s="3">
        <v>0.86078816773634925</v>
      </c>
      <c r="L61" s="3">
        <v>0.85684025448302215</v>
      </c>
      <c r="M61" s="3">
        <v>0.84248431811097602</v>
      </c>
      <c r="N61" s="3">
        <v>0.84248431811097602</v>
      </c>
      <c r="O61" s="3">
        <v>0.84217529331810026</v>
      </c>
      <c r="P61" s="3">
        <v>0.84217529331810026</v>
      </c>
      <c r="Q61" s="3">
        <v>0.51551154419939205</v>
      </c>
      <c r="R61" s="3">
        <v>0.51528788112198742</v>
      </c>
      <c r="S61" s="3">
        <v>0.50425897044324497</v>
      </c>
      <c r="T61" s="3">
        <v>0.50425897044324497</v>
      </c>
      <c r="U61" s="3">
        <v>0.49933144096548254</v>
      </c>
      <c r="V61" s="17">
        <v>0.49933144096548254</v>
      </c>
      <c r="W61" s="16">
        <f t="array" ref="W61">SUM(E61:V61)</f>
        <v>13.730216487343899</v>
      </c>
      <c r="X61" s="61">
        <f t="array" ref="X61">PRODUCT(W61,$K$8,$L$8)</f>
        <v>27.284744659491473</v>
      </c>
      <c r="Y61" s="85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2:64" x14ac:dyDescent="0.2">
      <c r="B62" s="83"/>
      <c r="C62" s="3">
        <v>1600</v>
      </c>
      <c r="D62" s="3"/>
      <c r="E62" s="16">
        <v>0.99361461455663846</v>
      </c>
      <c r="F62" s="3">
        <v>0.95540314856938191</v>
      </c>
      <c r="G62" s="3">
        <v>0.95540314856938191</v>
      </c>
      <c r="H62" s="3">
        <v>0.93533332025500393</v>
      </c>
      <c r="I62" s="3">
        <v>0.90557298007154119</v>
      </c>
      <c r="J62" s="3">
        <v>0.90557298007154119</v>
      </c>
      <c r="K62" s="3">
        <v>0.87635180861130813</v>
      </c>
      <c r="L62" s="3">
        <v>0.87280570181902051</v>
      </c>
      <c r="M62" s="3">
        <v>0.85989145915698961</v>
      </c>
      <c r="N62" s="3">
        <v>0.85989145915698961</v>
      </c>
      <c r="O62" s="3">
        <v>0.85961313115713267</v>
      </c>
      <c r="P62" s="3">
        <v>0.85961313115713267</v>
      </c>
      <c r="Q62" s="3">
        <v>0.55622697981394553</v>
      </c>
      <c r="R62" s="3">
        <v>0.55601194822428734</v>
      </c>
      <c r="S62" s="3">
        <v>0.54539392478307114</v>
      </c>
      <c r="T62" s="3">
        <v>0.54539392478307114</v>
      </c>
      <c r="U62" s="3">
        <v>0.54064054435179199</v>
      </c>
      <c r="V62" s="17">
        <v>0.54064054435179199</v>
      </c>
      <c r="W62" s="16">
        <f t="array" ref="W62">SUM(E62:V62)</f>
        <v>14.123374749460019</v>
      </c>
      <c r="X62" s="61">
        <f t="array" ref="X62">PRODUCT(W62,$K$8,$L$8)</f>
        <v>28.066030431824036</v>
      </c>
      <c r="Y62" s="85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2:64" x14ac:dyDescent="0.2">
      <c r="B63" s="83"/>
      <c r="C63" s="3">
        <v>1700</v>
      </c>
      <c r="D63" s="3"/>
      <c r="E63" s="16">
        <v>0.99434126234910047</v>
      </c>
      <c r="F63" s="3">
        <v>0.96037315797319256</v>
      </c>
      <c r="G63" s="3">
        <v>0.96037315797319256</v>
      </c>
      <c r="H63" s="3">
        <v>0.94245849944451598</v>
      </c>
      <c r="I63" s="3">
        <v>0.91579799474807455</v>
      </c>
      <c r="J63" s="3">
        <v>0.91579799474807455</v>
      </c>
      <c r="K63" s="3">
        <v>0.8895060530108827</v>
      </c>
      <c r="L63" s="3">
        <v>0.88630753996358946</v>
      </c>
      <c r="M63" s="3">
        <v>0.87464452239540613</v>
      </c>
      <c r="N63" s="3">
        <v>0.87464452239540613</v>
      </c>
      <c r="O63" s="3">
        <v>0.87439290637034017</v>
      </c>
      <c r="P63" s="3">
        <v>0.87439290637034017</v>
      </c>
      <c r="Q63" s="3">
        <v>0.59287253279926144</v>
      </c>
      <c r="R63" s="3">
        <v>0.59266712926230125</v>
      </c>
      <c r="S63" s="3">
        <v>0.58251251420655803</v>
      </c>
      <c r="T63" s="3">
        <v>0.58251251420655803</v>
      </c>
      <c r="U63" s="3">
        <v>0.57795888948717711</v>
      </c>
      <c r="V63" s="17">
        <v>0.57795888948717711</v>
      </c>
      <c r="W63" s="16">
        <f t="array" ref="W63">SUM(E63:V63)</f>
        <v>14.46951298719115</v>
      </c>
      <c r="X63" s="61">
        <f t="array" ref="X63">PRODUCT(W63,$K$8,$L$8)</f>
        <v>28.753877811512893</v>
      </c>
      <c r="Y63" s="85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2:64" x14ac:dyDescent="0.2">
      <c r="B64" s="83"/>
      <c r="C64" s="3">
        <v>1800</v>
      </c>
      <c r="D64" s="3"/>
      <c r="E64" s="16">
        <v>0.99495069134088443</v>
      </c>
      <c r="F64" s="3">
        <v>0.96456195510322351</v>
      </c>
      <c r="G64" s="3">
        <v>0.96456195510322351</v>
      </c>
      <c r="H64" s="3">
        <v>0.94847959253517655</v>
      </c>
      <c r="I64" s="3">
        <v>0.92447323249473312</v>
      </c>
      <c r="J64" s="3">
        <v>0.92447323249473312</v>
      </c>
      <c r="K64" s="3">
        <v>0.9007116351461002</v>
      </c>
      <c r="L64" s="3">
        <v>0.89781493591556272</v>
      </c>
      <c r="M64" s="3">
        <v>0.88724124685478034</v>
      </c>
      <c r="N64" s="3">
        <v>0.88724124685478034</v>
      </c>
      <c r="O64" s="3">
        <v>0.8870129370814791</v>
      </c>
      <c r="P64" s="3">
        <v>0.8870129370814791</v>
      </c>
      <c r="Q64" s="3">
        <v>0.62579723825851397</v>
      </c>
      <c r="R64" s="3">
        <v>0.62560191361380546</v>
      </c>
      <c r="S64" s="3">
        <v>0.61593575343781015</v>
      </c>
      <c r="T64" s="3">
        <v>0.61593575343781015</v>
      </c>
      <c r="U64" s="3">
        <v>0.611594866039192</v>
      </c>
      <c r="V64" s="17">
        <v>0.611594866039192</v>
      </c>
      <c r="W64" s="16">
        <f t="array" ref="W64">SUM(E64:V64)</f>
        <v>14.77499598883248</v>
      </c>
      <c r="X64" s="61">
        <f t="array" ref="X64">PRODUCT(W64,$K$8,$L$8)</f>
        <v>29.360934932956077</v>
      </c>
      <c r="Y64" s="85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2:64" x14ac:dyDescent="0.2">
      <c r="B65" s="83"/>
      <c r="C65" s="3">
        <v>1900</v>
      </c>
      <c r="D65" s="3"/>
      <c r="E65" s="16">
        <v>0.99546680122685993</v>
      </c>
      <c r="F65" s="3">
        <v>0.96812405412960389</v>
      </c>
      <c r="G65" s="3">
        <v>0.96812405412960389</v>
      </c>
      <c r="H65" s="3">
        <v>0.95361128136162721</v>
      </c>
      <c r="I65" s="3">
        <v>0.93189204944443293</v>
      </c>
      <c r="J65" s="3">
        <v>0.93189204944443293</v>
      </c>
      <c r="K65" s="3">
        <v>0.91032707550921077</v>
      </c>
      <c r="L65" s="3">
        <v>0.90769351309143864</v>
      </c>
      <c r="M65" s="3">
        <v>0.89807166442486841</v>
      </c>
      <c r="N65" s="3">
        <v>0.89807166442486841</v>
      </c>
      <c r="O65" s="3">
        <v>0.89786375612004488</v>
      </c>
      <c r="P65" s="3">
        <v>0.89786375612004488</v>
      </c>
      <c r="Q65" s="3">
        <v>0.65536444056420795</v>
      </c>
      <c r="R65" s="3">
        <v>0.65517927135738196</v>
      </c>
      <c r="S65" s="3">
        <v>0.6460076283714612</v>
      </c>
      <c r="T65" s="3">
        <v>0.6460076283714612</v>
      </c>
      <c r="U65" s="3">
        <v>0.6418836475734524</v>
      </c>
      <c r="V65" s="17">
        <v>0.6418836475734524</v>
      </c>
      <c r="W65" s="16">
        <f t="array" ref="W65">SUM(E65:V65)</f>
        <v>15.045327983238455</v>
      </c>
      <c r="X65" s="61">
        <f t="array" ref="X65">PRODUCT(W65,$K$8,$L$8)</f>
        <v>29.898139823167167</v>
      </c>
      <c r="Y65" s="85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2:64" ht="17" thickBot="1" x14ac:dyDescent="0.25">
      <c r="B66" s="83"/>
      <c r="C66" s="3">
        <v>2000</v>
      </c>
      <c r="D66" s="3"/>
      <c r="E66" s="22">
        <v>0.995907701700672</v>
      </c>
      <c r="F66" s="23">
        <v>0.97117780318894342</v>
      </c>
      <c r="G66" s="23">
        <v>0.97117780318894342</v>
      </c>
      <c r="H66" s="23">
        <v>0.95801898323424695</v>
      </c>
      <c r="I66" s="23">
        <v>0.93828259708960016</v>
      </c>
      <c r="J66" s="23">
        <v>0.93828259708960016</v>
      </c>
      <c r="K66" s="23">
        <v>0.91863393483402267</v>
      </c>
      <c r="L66" s="23">
        <v>0.91623076290775396</v>
      </c>
      <c r="M66" s="23">
        <v>0.90744385952108908</v>
      </c>
      <c r="N66" s="23">
        <v>0.90744385952108908</v>
      </c>
      <c r="O66" s="23">
        <v>0.90725387437034888</v>
      </c>
      <c r="P66" s="23">
        <v>0.90725387437034888</v>
      </c>
      <c r="Q66" s="23">
        <v>0.68192706496968369</v>
      </c>
      <c r="R66" s="23">
        <v>0.68175187875068666</v>
      </c>
      <c r="S66" s="23">
        <v>0.67306807656561229</v>
      </c>
      <c r="T66" s="23">
        <v>0.67306807656561229</v>
      </c>
      <c r="U66" s="23">
        <v>0.6691591895833835</v>
      </c>
      <c r="V66" s="24">
        <v>0.6691591895833835</v>
      </c>
      <c r="W66" s="22">
        <f t="array" ref="W66">SUM(E66:V66)</f>
        <v>15.285241127035025</v>
      </c>
      <c r="X66" s="62">
        <f t="array" ref="X66">PRODUCT(W66,$K$8,$L$8)</f>
        <v>30.374896243940224</v>
      </c>
      <c r="Y66" s="85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2:64" x14ac:dyDescent="0.2">
      <c r="B67" s="8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85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2:64" x14ac:dyDescent="0.2">
      <c r="B68" s="8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85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2:64" ht="17" thickBot="1" x14ac:dyDescent="0.25">
      <c r="B69" s="8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85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2:64" ht="17" thickBot="1" x14ac:dyDescent="0.25">
      <c r="B70" s="83"/>
      <c r="C70" s="102" t="s">
        <v>0</v>
      </c>
      <c r="D70" s="3"/>
      <c r="E70" s="147" t="s">
        <v>10</v>
      </c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54"/>
      <c r="W70" s="5" t="s">
        <v>6</v>
      </c>
      <c r="X70" s="68" t="s">
        <v>11</v>
      </c>
      <c r="Y70" s="85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2:64" x14ac:dyDescent="0.2">
      <c r="B71" s="83"/>
      <c r="C71" s="3">
        <v>298.14999999999998</v>
      </c>
      <c r="D71" s="3"/>
      <c r="E71" s="9" cm="1">
        <f t="array" ref="E71:V88">(E17:V17/C27:C44) / (EXP(E17:V17/C27:C44) - 1)-LN(1 - EXP(-E17:V17/C27:C44))</f>
        <v>0.68980577001716248</v>
      </c>
      <c r="F71" s="10">
        <v>9.4669893740735561E-2</v>
      </c>
      <c r="G71" s="10">
        <v>9.4669893740735561E-2</v>
      </c>
      <c r="H71" s="10">
        <v>4.7194741229684777E-2</v>
      </c>
      <c r="I71" s="10">
        <v>1.9217326386822289E-2</v>
      </c>
      <c r="J71" s="10">
        <v>1.9217326386822289E-2</v>
      </c>
      <c r="K71" s="10">
        <v>8.7102700899042047E-3</v>
      </c>
      <c r="L71" s="10">
        <v>7.9467402608435107E-3</v>
      </c>
      <c r="M71" s="10">
        <v>5.7255429265613191E-3</v>
      </c>
      <c r="N71" s="10">
        <v>5.7255429265613191E-3</v>
      </c>
      <c r="O71" s="10">
        <v>5.6858048266887192E-3</v>
      </c>
      <c r="P71" s="10">
        <v>5.6858048266887192E-3</v>
      </c>
      <c r="Q71" s="10">
        <v>6.7856653634972311E-6</v>
      </c>
      <c r="R71" s="10">
        <v>6.7533584123512458E-6</v>
      </c>
      <c r="S71" s="10">
        <v>5.3312155722054123E-6</v>
      </c>
      <c r="T71" s="10">
        <v>5.3312155722054123E-6</v>
      </c>
      <c r="U71" s="10">
        <v>4.7931528172062893E-6</v>
      </c>
      <c r="V71" s="10">
        <v>4.7931528172062893E-6</v>
      </c>
      <c r="W71" s="12">
        <f t="array" ref="W71">SUM(E71:V71)</f>
        <v>1.0042884451197653</v>
      </c>
      <c r="X71" s="66">
        <f t="array" ref="X71">PRODUCT(W71,$K$8,$L$8)</f>
        <v>1.9957262738594566</v>
      </c>
      <c r="Y71" s="85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2:64" x14ac:dyDescent="0.2">
      <c r="B72" s="83"/>
      <c r="C72" s="3">
        <v>400</v>
      </c>
      <c r="D72" s="3"/>
      <c r="E72" s="16">
        <v>0.94595490686241335</v>
      </c>
      <c r="F72" s="3">
        <v>0.21389139121334505</v>
      </c>
      <c r="G72" s="3">
        <v>0.21389139121334505</v>
      </c>
      <c r="H72" s="3">
        <v>0.12938996484915516</v>
      </c>
      <c r="I72" s="3">
        <v>6.7849841109031903E-2</v>
      </c>
      <c r="J72" s="3">
        <v>6.7849841109031903E-2</v>
      </c>
      <c r="K72" s="3">
        <v>3.8445899295746655E-2</v>
      </c>
      <c r="L72" s="3">
        <v>3.5994424102085421E-2</v>
      </c>
      <c r="M72" s="3">
        <v>2.8440929676390534E-2</v>
      </c>
      <c r="N72" s="3">
        <v>2.8440929676390534E-2</v>
      </c>
      <c r="O72" s="3">
        <v>2.8298918325764418E-2</v>
      </c>
      <c r="P72" s="3">
        <v>2.8298918325764418E-2</v>
      </c>
      <c r="Q72" s="3">
        <v>2.1553583163986148E-4</v>
      </c>
      <c r="R72" s="3">
        <v>2.1478678222381297E-4</v>
      </c>
      <c r="S72" s="3">
        <v>1.8075187338394586E-4</v>
      </c>
      <c r="T72" s="3">
        <v>1.8075187338394586E-4</v>
      </c>
      <c r="U72" s="3">
        <v>1.6724908435988459E-4</v>
      </c>
      <c r="V72" s="3">
        <v>1.6724908435988459E-4</v>
      </c>
      <c r="W72" s="18">
        <f t="array" ref="W72">SUM(E72:V72)</f>
        <v>1.8278736802878155</v>
      </c>
      <c r="X72" s="66">
        <f t="array" ref="X72">PRODUCT(W72,$K$8,$L$8)</f>
        <v>3.6323583595662523</v>
      </c>
      <c r="Y72" s="85"/>
      <c r="AB72" t="s">
        <v>56</v>
      </c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2:64" x14ac:dyDescent="0.2">
      <c r="B73" s="83"/>
      <c r="C73" s="3">
        <v>500</v>
      </c>
      <c r="D73" s="3"/>
      <c r="E73" s="16">
        <v>1.1515327090015108</v>
      </c>
      <c r="F73" s="3">
        <v>0.34170384866987069</v>
      </c>
      <c r="G73" s="3">
        <v>0.34170384866987069</v>
      </c>
      <c r="H73" s="3">
        <v>0.22983290557315167</v>
      </c>
      <c r="I73" s="3">
        <v>0.13869917814377955</v>
      </c>
      <c r="J73" s="3">
        <v>0.13869917814377955</v>
      </c>
      <c r="K73" s="3">
        <v>8.911328599140389E-2</v>
      </c>
      <c r="L73" s="3">
        <v>8.4661161434722465E-2</v>
      </c>
      <c r="M73" s="3">
        <v>7.0492268669809857E-2</v>
      </c>
      <c r="N73" s="3">
        <v>7.0492268669809857E-2</v>
      </c>
      <c r="O73" s="3">
        <v>7.0218465400967697E-2</v>
      </c>
      <c r="P73" s="3">
        <v>7.0218465400967697E-2</v>
      </c>
      <c r="Q73" s="3">
        <v>1.5640106799561053E-3</v>
      </c>
      <c r="R73" s="3">
        <v>1.5597494320894242E-3</v>
      </c>
      <c r="S73" s="3">
        <v>1.3624742477045323E-3</v>
      </c>
      <c r="T73" s="3">
        <v>1.3624742477045323E-3</v>
      </c>
      <c r="U73" s="3">
        <v>1.2820158424743813E-3</v>
      </c>
      <c r="V73" s="3">
        <v>1.2820158424743813E-3</v>
      </c>
      <c r="W73" s="18">
        <f t="array" ref="W73">SUM(E73:V73)</f>
        <v>2.8057803240620474</v>
      </c>
      <c r="X73" s="66">
        <f t="array" ref="X73">PRODUCT(W73,$K$8,$L$8)</f>
        <v>5.5756586054724115</v>
      </c>
      <c r="Y73" s="85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spans="2:64" x14ac:dyDescent="0.2">
      <c r="B74" s="83"/>
      <c r="C74" s="3">
        <v>600</v>
      </c>
      <c r="D74" s="3"/>
      <c r="E74" s="16">
        <v>1.3241520826141939</v>
      </c>
      <c r="F74" s="3">
        <v>0.46663875214639594</v>
      </c>
      <c r="G74" s="3">
        <v>0.46663875214639594</v>
      </c>
      <c r="H74" s="3">
        <v>0.33548554142180653</v>
      </c>
      <c r="I74" s="3">
        <v>0.22125691811952769</v>
      </c>
      <c r="J74" s="3">
        <v>0.22125691811952769</v>
      </c>
      <c r="K74" s="3">
        <v>0.15400766299092622</v>
      </c>
      <c r="L74" s="3">
        <v>0.14769083917940809</v>
      </c>
      <c r="M74" s="3">
        <v>0.12717595234395512</v>
      </c>
      <c r="N74" s="3">
        <v>0.12717595234395512</v>
      </c>
      <c r="O74" s="3">
        <v>0.12677269690108223</v>
      </c>
      <c r="P74" s="3">
        <v>0.12677269690108223</v>
      </c>
      <c r="Q74" s="3">
        <v>5.7078938326204183E-3</v>
      </c>
      <c r="R74" s="3">
        <v>5.6951847375213008E-3</v>
      </c>
      <c r="S74" s="3">
        <v>5.0994228625633941E-3</v>
      </c>
      <c r="T74" s="3">
        <v>5.0994228625633941E-3</v>
      </c>
      <c r="U74" s="3">
        <v>4.851953808482334E-3</v>
      </c>
      <c r="V74" s="3">
        <v>4.851953808482334E-3</v>
      </c>
      <c r="W74" s="18">
        <f t="array" ref="W74">SUM(E74:V74)</f>
        <v>3.8763305971404907</v>
      </c>
      <c r="X74" s="66">
        <f t="array" ref="X74">PRODUCT(W74,$K$8,$L$8)</f>
        <v>7.7030606659584064</v>
      </c>
      <c r="Y74" s="85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spans="2:64" x14ac:dyDescent="0.2">
      <c r="B75" s="83"/>
      <c r="C75" s="3">
        <v>700</v>
      </c>
      <c r="D75" s="3"/>
      <c r="E75" s="16">
        <v>1.4723969322911907</v>
      </c>
      <c r="F75" s="3">
        <v>0.58400273636516697</v>
      </c>
      <c r="G75" s="3">
        <v>0.58400273636516697</v>
      </c>
      <c r="H75" s="3">
        <v>0.43929131510648506</v>
      </c>
      <c r="I75" s="3">
        <v>0.30774935485159144</v>
      </c>
      <c r="J75" s="3">
        <v>0.30774935485159144</v>
      </c>
      <c r="K75" s="3">
        <v>0.2262512192255331</v>
      </c>
      <c r="L75" s="3">
        <v>0.21836792408936584</v>
      </c>
      <c r="M75" s="3">
        <v>0.19241915830816309</v>
      </c>
      <c r="N75" s="3">
        <v>0.19241915830816309</v>
      </c>
      <c r="O75" s="3">
        <v>0.19190331496017043</v>
      </c>
      <c r="P75" s="3">
        <v>0.19190331496017043</v>
      </c>
      <c r="Q75" s="3">
        <v>1.4137917249101838E-2</v>
      </c>
      <c r="R75" s="3">
        <v>1.4111426833344771E-2</v>
      </c>
      <c r="S75" s="3">
        <v>1.2858573317252781E-2</v>
      </c>
      <c r="T75" s="3">
        <v>1.2858573317252781E-2</v>
      </c>
      <c r="U75" s="3">
        <v>1.2331381442307877E-2</v>
      </c>
      <c r="V75" s="3">
        <v>1.2331381442307877E-2</v>
      </c>
      <c r="W75" s="18">
        <f t="array" ref="W75">SUM(E75:V75)</f>
        <v>4.9870857732843268</v>
      </c>
      <c r="X75" s="66">
        <f t="array" ref="X75">PRODUCT(W75,$K$8,$L$8)</f>
        <v>9.9103580809867005</v>
      </c>
      <c r="Y75" s="85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  <row r="76" spans="2:64" x14ac:dyDescent="0.2">
      <c r="B76" s="83"/>
      <c r="C76" s="3">
        <v>800</v>
      </c>
      <c r="D76" s="3"/>
      <c r="E76" s="16">
        <v>1.602072498742231</v>
      </c>
      <c r="F76" s="3">
        <v>0.69270311349497204</v>
      </c>
      <c r="G76" s="3">
        <v>0.69270311349497204</v>
      </c>
      <c r="H76" s="3">
        <v>0.53828574461442169</v>
      </c>
      <c r="I76" s="3">
        <v>0.39381339371958057</v>
      </c>
      <c r="J76" s="3">
        <v>0.39381339371958057</v>
      </c>
      <c r="K76" s="3">
        <v>0.30113682511372231</v>
      </c>
      <c r="L76" s="3">
        <v>0.29199052493022182</v>
      </c>
      <c r="M76" s="3">
        <v>0.26160252180277332</v>
      </c>
      <c r="N76" s="3">
        <v>0.26160252180277332</v>
      </c>
      <c r="O76" s="3">
        <v>0.26099370984052139</v>
      </c>
      <c r="P76" s="3">
        <v>0.26099370984052139</v>
      </c>
      <c r="Q76" s="3">
        <v>2.7578346296487068E-2</v>
      </c>
      <c r="R76" s="3">
        <v>2.753388937806843E-2</v>
      </c>
      <c r="S76" s="3">
        <v>2.5417449291267814E-2</v>
      </c>
      <c r="T76" s="3">
        <v>2.5417449291267814E-2</v>
      </c>
      <c r="U76" s="3">
        <v>2.4518315902507224E-2</v>
      </c>
      <c r="V76" s="3">
        <v>2.4518315902507224E-2</v>
      </c>
      <c r="W76" s="18">
        <f t="array" ref="W76">SUM(E76:V76)</f>
        <v>6.1066948371783987</v>
      </c>
      <c r="X76" s="66">
        <f t="array" ref="X76">PRODUCT(W76,$K$8,$L$8)</f>
        <v>12.135249979447332</v>
      </c>
      <c r="Y76" s="85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  <row r="77" spans="2:64" x14ac:dyDescent="0.2">
      <c r="B77" s="83"/>
      <c r="C77" s="3">
        <v>900</v>
      </c>
      <c r="D77" s="3"/>
      <c r="E77" s="16">
        <v>1.7172015782256063</v>
      </c>
      <c r="F77" s="3">
        <v>0.79300378145512029</v>
      </c>
      <c r="G77" s="3">
        <v>0.79300378145512029</v>
      </c>
      <c r="H77" s="3">
        <v>0.63147671225432234</v>
      </c>
      <c r="I77" s="3">
        <v>0.47725108606412481</v>
      </c>
      <c r="J77" s="3">
        <v>0.47725108606412481</v>
      </c>
      <c r="K77" s="3">
        <v>0.37584761538855566</v>
      </c>
      <c r="L77" s="3">
        <v>0.36569617445592528</v>
      </c>
      <c r="M77" s="3">
        <v>0.33174199537056537</v>
      </c>
      <c r="N77" s="3">
        <v>0.33174199537056537</v>
      </c>
      <c r="O77" s="3">
        <v>0.33105792892490082</v>
      </c>
      <c r="P77" s="3">
        <v>0.33105792892490082</v>
      </c>
      <c r="Q77" s="3">
        <v>4.598645275828088E-2</v>
      </c>
      <c r="R77" s="3">
        <v>4.5921549500619586E-2</v>
      </c>
      <c r="S77" s="3">
        <v>4.2816187892844387E-2</v>
      </c>
      <c r="T77" s="3">
        <v>4.2816187892844387E-2</v>
      </c>
      <c r="U77" s="3">
        <v>4.1487295302465019E-2</v>
      </c>
      <c r="V77" s="3">
        <v>4.1487295302465019E-2</v>
      </c>
      <c r="W77" s="18">
        <f t="array" ref="W77">SUM(E77:V77)</f>
        <v>7.2168466326033522</v>
      </c>
      <c r="X77" s="66">
        <f t="array" ref="X77">PRODUCT(W77,$K$8,$L$8)</f>
        <v>14.341348353742193</v>
      </c>
      <c r="Y77" s="85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</row>
    <row r="78" spans="2:64" x14ac:dyDescent="0.2">
      <c r="B78" s="83"/>
      <c r="C78" s="3">
        <v>1000</v>
      </c>
      <c r="D78" s="3"/>
      <c r="E78" s="16">
        <v>1.8206585093458068</v>
      </c>
      <c r="F78" s="3">
        <v>0.88562198771393197</v>
      </c>
      <c r="G78" s="3">
        <v>0.88562198771393197</v>
      </c>
      <c r="H78" s="3">
        <v>0.71876606232297258</v>
      </c>
      <c r="I78" s="3">
        <v>0.55707472272767711</v>
      </c>
      <c r="J78" s="3">
        <v>0.55707472272767711</v>
      </c>
      <c r="K78" s="3">
        <v>0.44882279356533988</v>
      </c>
      <c r="L78" s="3">
        <v>0.4378714891075759</v>
      </c>
      <c r="M78" s="3">
        <v>0.40105984851880438</v>
      </c>
      <c r="N78" s="3">
        <v>0.40105984851880438</v>
      </c>
      <c r="O78" s="3">
        <v>0.40031514637847165</v>
      </c>
      <c r="P78" s="3">
        <v>0.40031514637847165</v>
      </c>
      <c r="Q78" s="3">
        <v>6.8824446876041584E-2</v>
      </c>
      <c r="R78" s="3">
        <v>6.873817829570486E-2</v>
      </c>
      <c r="S78" s="3">
        <v>6.4594375075643057E-2</v>
      </c>
      <c r="T78" s="3">
        <v>6.4594375075643057E-2</v>
      </c>
      <c r="U78" s="3">
        <v>6.2811016305948777E-2</v>
      </c>
      <c r="V78" s="3">
        <v>6.2811016305948777E-2</v>
      </c>
      <c r="W78" s="18">
        <f t="array" ref="W78">SUM(E78:V78)</f>
        <v>8.3066356729543944</v>
      </c>
      <c r="X78" s="66">
        <f t="array" ref="X78">PRODUCT(W78,$K$8,$L$8)</f>
        <v>16.50698177446057</v>
      </c>
      <c r="Y78" s="85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</row>
    <row r="79" spans="2:64" x14ac:dyDescent="0.2">
      <c r="B79" s="83"/>
      <c r="C79" s="3">
        <v>1100</v>
      </c>
      <c r="D79" s="3"/>
      <c r="E79" s="16">
        <v>1.9145574360932889</v>
      </c>
      <c r="F79" s="3">
        <v>0.97137353303115981</v>
      </c>
      <c r="G79" s="3">
        <v>0.97137353303115981</v>
      </c>
      <c r="H79" s="3">
        <v>0.80043766956656082</v>
      </c>
      <c r="I79" s="3">
        <v>0.63294056075327532</v>
      </c>
      <c r="J79" s="3">
        <v>0.63294056075327532</v>
      </c>
      <c r="K79" s="3">
        <v>0.51926317443706727</v>
      </c>
      <c r="L79" s="3">
        <v>0.50767157194931267</v>
      </c>
      <c r="M79" s="3">
        <v>0.46856062593073733</v>
      </c>
      <c r="N79" s="3">
        <v>0.46856062593073733</v>
      </c>
      <c r="O79" s="3">
        <v>0.46776692753207239</v>
      </c>
      <c r="P79" s="3">
        <v>0.46776692753207239</v>
      </c>
      <c r="Q79" s="3">
        <v>9.5332855233509706E-2</v>
      </c>
      <c r="R79" s="3">
        <v>9.5225453368271012E-2</v>
      </c>
      <c r="S79" s="3">
        <v>9.0050460382898032E-2</v>
      </c>
      <c r="T79" s="3">
        <v>9.0050460382898032E-2</v>
      </c>
      <c r="U79" s="3">
        <v>8.7813268533334085E-2</v>
      </c>
      <c r="V79" s="3">
        <v>8.7813268533334085E-2</v>
      </c>
      <c r="W79" s="18">
        <f t="array" ref="W79">SUM(E79:V79)</f>
        <v>9.3694989129749651</v>
      </c>
      <c r="X79" s="66">
        <f t="array" ref="X79">PRODUCT(W79,$K$8,$L$8)</f>
        <v>18.61910813012673</v>
      </c>
      <c r="Y79" s="85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</row>
    <row r="80" spans="2:64" x14ac:dyDescent="0.2">
      <c r="B80" s="83"/>
      <c r="C80" s="3">
        <v>1200</v>
      </c>
      <c r="D80" s="3"/>
      <c r="E80" s="16">
        <v>2.0004938314865122</v>
      </c>
      <c r="F80" s="3">
        <v>1.0510388593975355</v>
      </c>
      <c r="G80" s="3">
        <v>1.0510388593975355</v>
      </c>
      <c r="H80" s="3">
        <v>0.87691886189556389</v>
      </c>
      <c r="I80" s="3">
        <v>0.7048367067254524</v>
      </c>
      <c r="J80" s="3">
        <v>0.7048367067254524</v>
      </c>
      <c r="K80" s="3">
        <v>0.58681350420220757</v>
      </c>
      <c r="L80" s="3">
        <v>0.57470491761147569</v>
      </c>
      <c r="M80" s="3">
        <v>0.53373006694607772</v>
      </c>
      <c r="N80" s="3">
        <v>0.53373006694607772</v>
      </c>
      <c r="O80" s="3">
        <v>0.53289652222477069</v>
      </c>
      <c r="P80" s="3">
        <v>0.53289652222477069</v>
      </c>
      <c r="Q80" s="3">
        <v>0.12471521589770057</v>
      </c>
      <c r="R80" s="3">
        <v>0.12458764590970539</v>
      </c>
      <c r="S80" s="3">
        <v>0.11842543564236789</v>
      </c>
      <c r="T80" s="3">
        <v>0.11842543564236789</v>
      </c>
      <c r="U80" s="3">
        <v>0.11575178603287878</v>
      </c>
      <c r="V80" s="3">
        <v>0.11575178603287878</v>
      </c>
      <c r="W80" s="18">
        <f t="array" ref="W80">SUM(E80:V80)</f>
        <v>10.401592730941333</v>
      </c>
      <c r="X80" s="66">
        <f t="array" ref="X80">PRODUCT(W80,$K$8,$L$8)</f>
        <v>20.670089359287203</v>
      </c>
      <c r="Y80" s="85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</row>
    <row r="81" spans="2:64" x14ac:dyDescent="0.2">
      <c r="B81" s="83"/>
      <c r="C81" s="3">
        <v>1300</v>
      </c>
      <c r="D81" s="3"/>
      <c r="E81" s="16">
        <v>2.0796989873823146</v>
      </c>
      <c r="F81" s="3">
        <v>1.1253185447499425</v>
      </c>
      <c r="G81" s="3">
        <v>1.1253185447499425</v>
      </c>
      <c r="H81" s="3">
        <v>0.94867075689713376</v>
      </c>
      <c r="I81" s="3">
        <v>0.77291498960860994</v>
      </c>
      <c r="J81" s="3">
        <v>0.77291498960860994</v>
      </c>
      <c r="K81" s="3">
        <v>0.65137117476962703</v>
      </c>
      <c r="L81" s="3">
        <v>0.63884115726732371</v>
      </c>
      <c r="M81" s="3">
        <v>0.59634214090133331</v>
      </c>
      <c r="N81" s="3">
        <v>0.59634214090133331</v>
      </c>
      <c r="O81" s="3">
        <v>0.59547593037768309</v>
      </c>
      <c r="P81" s="3">
        <v>0.59547593037768309</v>
      </c>
      <c r="Q81" s="3">
        <v>0.1562371798646624</v>
      </c>
      <c r="R81" s="3">
        <v>0.1560908103169944</v>
      </c>
      <c r="S81" s="3">
        <v>0.14900598216164923</v>
      </c>
      <c r="T81" s="3">
        <v>0.14900598216164923</v>
      </c>
      <c r="U81" s="3">
        <v>0.14592291609481792</v>
      </c>
      <c r="V81" s="3">
        <v>0.14592291609481792</v>
      </c>
      <c r="W81" s="18">
        <f t="array" ref="W81">SUM(E81:V81)</f>
        <v>11.400871074286128</v>
      </c>
      <c r="X81" s="66">
        <f t="array" ref="X81">PRODUCT(W81,$K$8,$L$8)</f>
        <v>22.655859537569135</v>
      </c>
      <c r="Y81" s="85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</row>
    <row r="82" spans="2:64" x14ac:dyDescent="0.2">
      <c r="B82" s="83"/>
      <c r="C82" s="3">
        <v>1400</v>
      </c>
      <c r="D82" s="3"/>
      <c r="E82" s="16">
        <v>2.1531417869010969</v>
      </c>
      <c r="F82" s="3">
        <v>1.1948247125426577</v>
      </c>
      <c r="G82" s="3">
        <v>1.1948247125426577</v>
      </c>
      <c r="H82" s="3">
        <v>1.0161395206563939</v>
      </c>
      <c r="I82" s="3">
        <v>0.8374011353037607</v>
      </c>
      <c r="J82" s="3">
        <v>0.8374011353037607</v>
      </c>
      <c r="K82" s="3">
        <v>0.71297373568985034</v>
      </c>
      <c r="L82" s="3">
        <v>0.70009682989416455</v>
      </c>
      <c r="M82" s="3">
        <v>0.65634010380008811</v>
      </c>
      <c r="N82" s="3">
        <v>0.65634010380008811</v>
      </c>
      <c r="O82" s="3">
        <v>0.65544688378854077</v>
      </c>
      <c r="P82" s="3">
        <v>0.65544688378854077</v>
      </c>
      <c r="Q82" s="3">
        <v>0.18926765914821625</v>
      </c>
      <c r="R82" s="3">
        <v>0.18910403335281895</v>
      </c>
      <c r="S82" s="3">
        <v>0.18117050696903245</v>
      </c>
      <c r="T82" s="3">
        <v>0.18117050696903245</v>
      </c>
      <c r="U82" s="3">
        <v>0.17770966721878592</v>
      </c>
      <c r="V82" s="3">
        <v>0.17770966721878592</v>
      </c>
      <c r="W82" s="18">
        <f t="array" ref="W82">SUM(E82:V82)</f>
        <v>12.36650958488827</v>
      </c>
      <c r="X82" s="66">
        <f t="array" ref="X82">PRODUCT(W82,$K$8,$L$8)</f>
        <v>24.574780497004632</v>
      </c>
      <c r="Y82" s="85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</row>
    <row r="83" spans="2:64" x14ac:dyDescent="0.2">
      <c r="B83" s="83"/>
      <c r="C83" s="3">
        <v>1500</v>
      </c>
      <c r="D83" s="3"/>
      <c r="E83" s="16">
        <v>2.2215976430180233</v>
      </c>
      <c r="F83" s="3">
        <v>1.2600861957611742</v>
      </c>
      <c r="G83" s="3">
        <v>1.2600861957611742</v>
      </c>
      <c r="H83" s="3">
        <v>1.0797365494520665</v>
      </c>
      <c r="I83" s="3">
        <v>0.89854716421126368</v>
      </c>
      <c r="J83" s="3">
        <v>0.89854716421126368</v>
      </c>
      <c r="K83" s="3">
        <v>0.77173331194758743</v>
      </c>
      <c r="L83" s="3">
        <v>0.75856817219038974</v>
      </c>
      <c r="M83" s="3">
        <v>0.71376428158562877</v>
      </c>
      <c r="N83" s="3">
        <v>0.71376428158562877</v>
      </c>
      <c r="O83" s="3">
        <v>0.71284853686350036</v>
      </c>
      <c r="P83" s="3">
        <v>0.71284853686350036</v>
      </c>
      <c r="Q83" s="3">
        <v>0.22328714228345925</v>
      </c>
      <c r="R83" s="3">
        <v>0.22310783301426998</v>
      </c>
      <c r="S83" s="3">
        <v>0.21440157538870019</v>
      </c>
      <c r="T83" s="3">
        <v>0.21440157538870019</v>
      </c>
      <c r="U83" s="3">
        <v>0.21059589244380833</v>
      </c>
      <c r="V83" s="3">
        <v>0.21059589244380833</v>
      </c>
      <c r="W83" s="18">
        <f t="array" ref="W83">SUM(E83:V83)</f>
        <v>13.29851794441395</v>
      </c>
      <c r="X83" s="66">
        <f t="array" ref="X83">PRODUCT(W83,$K$8,$L$8)</f>
        <v>26.426871477041985</v>
      </c>
      <c r="Y83" s="85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</row>
    <row r="84" spans="2:64" x14ac:dyDescent="0.2">
      <c r="B84" s="83"/>
      <c r="C84" s="3">
        <v>1600</v>
      </c>
      <c r="D84" s="3"/>
      <c r="E84" s="16">
        <v>2.2856963982966181</v>
      </c>
      <c r="F84" s="3">
        <v>1.3215582050663466</v>
      </c>
      <c r="G84" s="3">
        <v>1.3215582050663466</v>
      </c>
      <c r="H84" s="3">
        <v>1.1398323238767274</v>
      </c>
      <c r="I84" s="3">
        <v>0.95660661259211921</v>
      </c>
      <c r="J84" s="3">
        <v>0.95660661259211921</v>
      </c>
      <c r="K84" s="3">
        <v>0.82779854397664021</v>
      </c>
      <c r="L84" s="3">
        <v>0.81439175493052418</v>
      </c>
      <c r="M84" s="3">
        <v>0.76870848388136748</v>
      </c>
      <c r="N84" s="3">
        <v>0.76870848388136748</v>
      </c>
      <c r="O84" s="3">
        <v>0.76777379818288916</v>
      </c>
      <c r="P84" s="3">
        <v>0.76777379818288916</v>
      </c>
      <c r="Q84" s="3">
        <v>0.25787997651951677</v>
      </c>
      <c r="R84" s="3">
        <v>0.25768650071359456</v>
      </c>
      <c r="S84" s="3">
        <v>0.24828119576641905</v>
      </c>
      <c r="T84" s="3">
        <v>0.24828119576641905</v>
      </c>
      <c r="U84" s="3">
        <v>0.24416287696627978</v>
      </c>
      <c r="V84" s="3">
        <v>0.24416287696627978</v>
      </c>
      <c r="W84" s="18">
        <f t="array" ref="W84">SUM(E84:V84)</f>
        <v>14.197467843224462</v>
      </c>
      <c r="X84" s="66">
        <f t="array" ref="X84">PRODUCT(W84,$K$8,$L$8)</f>
        <v>28.213268543201085</v>
      </c>
      <c r="Y84" s="85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</row>
    <row r="85" spans="2:64" x14ac:dyDescent="0.2">
      <c r="B85" s="83"/>
      <c r="C85" s="3">
        <v>1700</v>
      </c>
      <c r="D85" s="3"/>
      <c r="E85" s="16">
        <v>2.3459563766953537</v>
      </c>
      <c r="F85" s="3">
        <v>1.3796326997044628</v>
      </c>
      <c r="G85" s="3">
        <v>1.3796326997044628</v>
      </c>
      <c r="H85" s="3">
        <v>1.1967565697770128</v>
      </c>
      <c r="I85" s="3">
        <v>1.0118221438912789</v>
      </c>
      <c r="J85" s="3">
        <v>1.0118221438912789</v>
      </c>
      <c r="K85" s="3">
        <v>0.88133264883574669</v>
      </c>
      <c r="L85" s="3">
        <v>0.86772155962720077</v>
      </c>
      <c r="M85" s="3">
        <v>0.82129379800560365</v>
      </c>
      <c r="N85" s="3">
        <v>0.82129379800560365</v>
      </c>
      <c r="O85" s="3">
        <v>0.82034305889569359</v>
      </c>
      <c r="P85" s="3">
        <v>0.82034305889569359</v>
      </c>
      <c r="Q85" s="3">
        <v>0.29272032309952722</v>
      </c>
      <c r="R85" s="3">
        <v>0.29251409650925603</v>
      </c>
      <c r="S85" s="3">
        <v>0.28247879594963898</v>
      </c>
      <c r="T85" s="3">
        <v>0.28247879594963898</v>
      </c>
      <c r="U85" s="3">
        <v>0.27807820565308228</v>
      </c>
      <c r="V85" s="3">
        <v>0.27807820565308228</v>
      </c>
      <c r="W85" s="18">
        <f t="array" ref="W85">SUM(E85:V85)</f>
        <v>15.06429897874362</v>
      </c>
      <c r="X85" s="66">
        <f t="array" ref="X85">PRODUCT(W85,$K$8,$L$8)</f>
        <v>29.935839066203279</v>
      </c>
      <c r="Y85" s="85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</row>
    <row r="86" spans="2:64" x14ac:dyDescent="0.2">
      <c r="B86" s="83"/>
      <c r="C86" s="3">
        <v>1800</v>
      </c>
      <c r="D86" s="3"/>
      <c r="E86" s="16">
        <v>2.4028090927014314</v>
      </c>
      <c r="F86" s="3">
        <v>1.4346479949270616</v>
      </c>
      <c r="G86" s="3">
        <v>1.4346479949270616</v>
      </c>
      <c r="H86" s="3">
        <v>1.2508011399053323</v>
      </c>
      <c r="I86" s="3">
        <v>1.0644198926246686</v>
      </c>
      <c r="J86" s="3">
        <v>1.0644198926246686</v>
      </c>
      <c r="K86" s="3">
        <v>0.93250095185603477</v>
      </c>
      <c r="L86" s="3">
        <v>0.91871578420141509</v>
      </c>
      <c r="M86" s="3">
        <v>0.87165292809907169</v>
      </c>
      <c r="N86" s="3">
        <v>0.87165292809907169</v>
      </c>
      <c r="O86" s="3">
        <v>0.87068848170739144</v>
      </c>
      <c r="P86" s="3">
        <v>0.87068848170739144</v>
      </c>
      <c r="Q86" s="3">
        <v>0.32755683183914075</v>
      </c>
      <c r="R86" s="3">
        <v>0.32733914888134913</v>
      </c>
      <c r="S86" s="3">
        <v>0.31673718548243313</v>
      </c>
      <c r="T86" s="3">
        <v>0.31673718548243313</v>
      </c>
      <c r="U86" s="3">
        <v>0.31208230114848917</v>
      </c>
      <c r="V86" s="3">
        <v>0.31208230114848917</v>
      </c>
      <c r="W86" s="18">
        <f t="array" ref="W86">SUM(E86:V86)</f>
        <v>15.900180517362937</v>
      </c>
      <c r="X86" s="66">
        <f t="array" ref="X86">PRODUCT(W86,$K$8,$L$8)</f>
        <v>31.596906418479445</v>
      </c>
      <c r="Y86" s="85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</row>
    <row r="87" spans="2:64" x14ac:dyDescent="0.2">
      <c r="B87" s="83"/>
      <c r="C87" s="3">
        <v>1900</v>
      </c>
      <c r="D87" s="3"/>
      <c r="E87" s="16">
        <v>2.4566175141558038</v>
      </c>
      <c r="F87" s="3">
        <v>1.4868971402386413</v>
      </c>
      <c r="G87" s="3">
        <v>1.4868971402386413</v>
      </c>
      <c r="H87" s="3">
        <v>1.3022238742683072</v>
      </c>
      <c r="I87" s="3">
        <v>1.1146074428659136</v>
      </c>
      <c r="J87" s="3">
        <v>1.1146074428659136</v>
      </c>
      <c r="K87" s="3">
        <v>0.98146400073831297</v>
      </c>
      <c r="L87" s="3">
        <v>0.96752942606068282</v>
      </c>
      <c r="M87" s="3">
        <v>0.91992094993757034</v>
      </c>
      <c r="N87" s="3">
        <v>0.91992094993757034</v>
      </c>
      <c r="O87" s="3">
        <v>0.91894471809560074</v>
      </c>
      <c r="P87" s="3">
        <v>0.91894471809560074</v>
      </c>
      <c r="Q87" s="3">
        <v>0.3621983724923673</v>
      </c>
      <c r="R87" s="3">
        <v>0.36197040124026686</v>
      </c>
      <c r="S87" s="3">
        <v>0.35085906923160065</v>
      </c>
      <c r="T87" s="3">
        <v>0.35085906923160065</v>
      </c>
      <c r="U87" s="3">
        <v>0.34597529276030436</v>
      </c>
      <c r="V87" s="3">
        <v>0.34597529276030436</v>
      </c>
      <c r="W87" s="18">
        <f t="array" ref="W87">SUM(E87:V87)</f>
        <v>16.706412815215</v>
      </c>
      <c r="X87" s="66">
        <f t="array" ref="X87">PRODUCT(W87,$K$8,$L$8)</f>
        <v>33.199054673272485</v>
      </c>
      <c r="Y87" s="85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</row>
    <row r="88" spans="2:64" ht="17" thickBot="1" x14ac:dyDescent="0.25">
      <c r="B88" s="83"/>
      <c r="C88" s="3">
        <v>2000</v>
      </c>
      <c r="D88" s="3"/>
      <c r="E88" s="22">
        <v>2.507689785763219</v>
      </c>
      <c r="F88" s="23">
        <v>1.5366350203408063</v>
      </c>
      <c r="G88" s="23">
        <v>1.5366350203408063</v>
      </c>
      <c r="H88" s="23">
        <v>1.3512526095799893</v>
      </c>
      <c r="I88" s="23">
        <v>1.1625737304641124</v>
      </c>
      <c r="J88" s="23">
        <v>1.1625737304641124</v>
      </c>
      <c r="K88" s="23">
        <v>1.0283739744847185</v>
      </c>
      <c r="L88" s="23">
        <v>1.0143103026676616</v>
      </c>
      <c r="M88" s="23">
        <v>0.96622998109348945</v>
      </c>
      <c r="N88" s="23">
        <v>0.96622998109348945</v>
      </c>
      <c r="O88" s="23">
        <v>0.96524355046479204</v>
      </c>
      <c r="P88" s="23">
        <v>0.96524355046479204</v>
      </c>
      <c r="Q88" s="23">
        <v>0.3965017095760035</v>
      </c>
      <c r="R88" s="23">
        <v>0.39626449536224173</v>
      </c>
      <c r="S88" s="23">
        <v>0.38469517316033458</v>
      </c>
      <c r="T88" s="23">
        <v>0.38469517316033458</v>
      </c>
      <c r="U88" s="23">
        <v>0.37960535088441705</v>
      </c>
      <c r="V88" s="23">
        <v>0.37960535088441705</v>
      </c>
      <c r="W88" s="25">
        <f t="array" ref="W88">SUM(E88:V88)</f>
        <v>17.48435849024974</v>
      </c>
      <c r="X88" s="67">
        <f t="array" ref="X88">PRODUCT(W88,$K$8,$L$8)</f>
        <v>34.744991630773782</v>
      </c>
      <c r="Y88" s="85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</row>
    <row r="89" spans="2:64" x14ac:dyDescent="0.2">
      <c r="B89" s="8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Y89" s="85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</row>
    <row r="90" spans="2:64" ht="17" thickBot="1" x14ac:dyDescent="0.25">
      <c r="B90" s="41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4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</row>
    <row r="91" spans="2:64" x14ac:dyDescent="0.2">
      <c r="C91" s="3"/>
      <c r="D91" s="3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</row>
    <row r="92" spans="2:64" ht="17" thickBot="1" x14ac:dyDescent="0.25">
      <c r="C92" s="3"/>
      <c r="D92" s="3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AR92" s="14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</row>
    <row r="93" spans="2:64" x14ac:dyDescent="0.2">
      <c r="B93" s="40"/>
      <c r="C93" s="10"/>
      <c r="D93" s="10"/>
      <c r="E93" s="7"/>
      <c r="F93" s="7"/>
      <c r="G93" s="7"/>
      <c r="H93" s="7"/>
      <c r="I93" s="7"/>
      <c r="J93" s="7"/>
      <c r="K93" s="7"/>
      <c r="L93" s="7"/>
      <c r="M93" s="8"/>
      <c r="N93" s="14"/>
      <c r="O93" s="6"/>
      <c r="P93" s="7"/>
      <c r="Q93" s="7"/>
      <c r="R93" s="7"/>
      <c r="S93" s="7"/>
      <c r="T93" s="7"/>
      <c r="U93" s="7"/>
      <c r="V93" s="7"/>
      <c r="W93" s="10"/>
      <c r="X93" s="10"/>
      <c r="Y93" s="11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</row>
    <row r="94" spans="2:64" ht="17" thickBot="1" x14ac:dyDescent="0.25">
      <c r="B94" s="83"/>
      <c r="C94" s="3"/>
      <c r="D94" s="3"/>
      <c r="E94" s="14"/>
      <c r="F94" s="14"/>
      <c r="G94" s="14"/>
      <c r="H94" s="14"/>
      <c r="I94" s="14"/>
      <c r="J94" s="14"/>
      <c r="K94" s="14"/>
      <c r="L94" s="14"/>
      <c r="M94" s="15"/>
      <c r="N94" s="14"/>
      <c r="O94" s="13"/>
      <c r="P94" s="14"/>
      <c r="Q94" s="14"/>
      <c r="R94" s="14"/>
      <c r="S94" s="14"/>
      <c r="T94" s="14"/>
      <c r="U94" s="14"/>
      <c r="V94" s="14"/>
      <c r="W94" s="3"/>
      <c r="X94" s="3"/>
      <c r="Y94" s="17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</row>
    <row r="95" spans="2:64" ht="17" thickBot="1" x14ac:dyDescent="0.25">
      <c r="B95" s="83"/>
      <c r="C95" s="3"/>
      <c r="D95" s="3"/>
      <c r="E95" s="130" t="s">
        <v>49</v>
      </c>
      <c r="F95" s="131"/>
      <c r="G95" s="131"/>
      <c r="H95" s="131"/>
      <c r="I95" s="131"/>
      <c r="J95" s="131"/>
      <c r="K95" s="131"/>
      <c r="L95" s="132"/>
      <c r="M95" s="17"/>
      <c r="N95" s="3"/>
      <c r="O95" s="83"/>
      <c r="P95" s="3"/>
      <c r="Q95" s="3"/>
      <c r="R95" s="133" t="s">
        <v>52</v>
      </c>
      <c r="S95" s="134"/>
      <c r="T95" s="134"/>
      <c r="U95" s="134"/>
      <c r="V95" s="134"/>
      <c r="W95" s="134"/>
      <c r="X95" s="135"/>
      <c r="Y95" s="85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</row>
    <row r="96" spans="2:64" x14ac:dyDescent="0.2">
      <c r="B96" s="83"/>
      <c r="C96" s="3"/>
      <c r="D96" s="3"/>
      <c r="E96" s="54" t="s">
        <v>48</v>
      </c>
      <c r="F96" s="3"/>
      <c r="G96" s="3"/>
      <c r="H96" s="3"/>
      <c r="I96" s="3"/>
      <c r="J96" s="3"/>
      <c r="K96" s="3"/>
      <c r="L96" s="3"/>
      <c r="M96" s="17"/>
      <c r="N96" s="3"/>
      <c r="O96" s="83"/>
      <c r="P96" s="3"/>
      <c r="Q96" s="3"/>
      <c r="R96" s="3"/>
      <c r="S96" s="3"/>
      <c r="T96" s="3"/>
      <c r="U96" s="3"/>
      <c r="V96" s="3"/>
      <c r="W96" s="3"/>
      <c r="X96" s="3"/>
      <c r="Y96" s="85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</row>
    <row r="97" spans="2:64" ht="17" thickBot="1" x14ac:dyDescent="0.25">
      <c r="B97" s="83"/>
      <c r="C97" s="3"/>
      <c r="D97" s="3"/>
      <c r="E97" s="3"/>
      <c r="F97" s="3"/>
      <c r="G97" s="3"/>
      <c r="H97" s="3"/>
      <c r="I97" s="3"/>
      <c r="J97" s="3"/>
      <c r="K97" s="3"/>
      <c r="L97" s="3"/>
      <c r="M97" s="17"/>
      <c r="N97" s="3"/>
      <c r="O97" s="83"/>
      <c r="P97" s="3"/>
      <c r="Q97" s="3"/>
      <c r="R97" s="3"/>
      <c r="Y97" s="85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</row>
    <row r="98" spans="2:64" ht="17" thickBot="1" x14ac:dyDescent="0.25">
      <c r="B98" s="83"/>
      <c r="C98" s="102" t="s">
        <v>0</v>
      </c>
      <c r="D98" s="3"/>
      <c r="E98" s="34" t="s">
        <v>13</v>
      </c>
      <c r="F98" s="59" t="s">
        <v>12</v>
      </c>
      <c r="G98" s="3"/>
      <c r="H98" s="60" t="s">
        <v>7</v>
      </c>
      <c r="I98" s="3"/>
      <c r="J98" s="34" t="s">
        <v>14</v>
      </c>
      <c r="K98" s="34" t="s">
        <v>15</v>
      </c>
      <c r="L98" s="68" t="s">
        <v>51</v>
      </c>
      <c r="M98" s="17"/>
      <c r="O98" s="83"/>
      <c r="P98" s="102" t="s">
        <v>0</v>
      </c>
      <c r="Q98" s="103"/>
      <c r="R98" s="59" t="s">
        <v>20</v>
      </c>
      <c r="S98" s="3"/>
      <c r="T98" s="60" t="s">
        <v>7</v>
      </c>
      <c r="U98" s="3"/>
      <c r="V98" s="3"/>
      <c r="W98" s="3"/>
      <c r="X98" s="68" t="s">
        <v>50</v>
      </c>
      <c r="Y98" s="85"/>
      <c r="Z98" s="3"/>
      <c r="AA98" s="3"/>
      <c r="AB98" s="3"/>
      <c r="AC98" s="3"/>
      <c r="AD98" s="3"/>
      <c r="AE98" s="3"/>
      <c r="AF98" s="3"/>
      <c r="AG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</row>
    <row r="99" spans="2:64" x14ac:dyDescent="0.2">
      <c r="B99" s="83"/>
      <c r="C99" s="3">
        <v>298.14999999999998</v>
      </c>
      <c r="D99" s="3"/>
      <c r="E99" s="69">
        <f t="shared" ref="E99:E116" si="1">$F$8*C99/101325</f>
        <v>4.0625758633111278E-26</v>
      </c>
      <c r="F99" s="71" cm="1">
        <f t="array" ref="F99:F116">E99:E116*(2*PI()*$O$8*$F$8*C99:C116/($G$8)^2)^(3/2)</f>
        <v>6480534.1164770797</v>
      </c>
      <c r="G99" s="3"/>
      <c r="H99" s="74">
        <f t="shared" ref="H99:H116" si="2">$K$8*$L$8*3/2</f>
        <v>2.9808063861893652</v>
      </c>
      <c r="I99" s="3"/>
      <c r="J99" s="69" cm="1">
        <f t="array" ref="J99:J116" xml:space="preserve"> (2 * PI() * $O$8 * $F$8 * C99:C116/ (($G$8)^2))^(3/2)</f>
        <v>1.5951786094636125E+32</v>
      </c>
      <c r="K99" s="18" cm="1">
        <f t="array" ref="K99:K116">$K$8*C99:C116/101325</f>
        <v>2.4465403696587219E-2</v>
      </c>
      <c r="L99" s="75" cm="1">
        <f t="array" ref="L99:L116">LN(J99:J116 * K99:K116*EXP(5/2) / $H$8)*$K$8*$L$8</f>
        <v>36.135945186894851</v>
      </c>
      <c r="M99" s="17"/>
      <c r="O99" s="83"/>
      <c r="P99" s="3">
        <v>298.14999999999998</v>
      </c>
      <c r="Q99" s="3"/>
      <c r="R99" s="91" cm="1">
        <f t="array" ref="R99:R116">( SQRT($T$9*$U$9*$V$9)*8 * (PI())^2* (2 * PI() *$F$8 * P99:P116)^(3/2))/($I$8*($G$8)^3)</f>
        <v>812.72635034609527</v>
      </c>
      <c r="S99" s="3"/>
      <c r="T99" s="74">
        <f t="shared" ref="T99:T116" si="3">$K$8*$L$8*3/2</f>
        <v>2.9808063861893652</v>
      </c>
      <c r="U99" s="3"/>
      <c r="V99" s="97" cm="1">
        <f t="array" ref="V99:V116">(SQRT(PI())/$I$8)*((P99:P116)^3/($T$11*$U$11*$V$11))^(1/2)</f>
        <v>812.72457209049014</v>
      </c>
      <c r="W99" s="97">
        <f t="shared" ref="W99:W116" si="4">(LN(V99)+1.5)*$F$8</f>
        <v>1.1321863390541665E-22</v>
      </c>
      <c r="X99" s="94">
        <f t="shared" ref="X99:X116" si="5">W99*$H$8*$L$8</f>
        <v>16.295854436916827</v>
      </c>
      <c r="Y99" s="85"/>
      <c r="Z99" s="3"/>
      <c r="AA99" s="3"/>
      <c r="AB99" s="3"/>
      <c r="AC99" s="3"/>
      <c r="AD99" s="3"/>
      <c r="AE99" s="3"/>
      <c r="AF99" s="3"/>
      <c r="AG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</row>
    <row r="100" spans="2:64" x14ac:dyDescent="0.2">
      <c r="B100" s="83"/>
      <c r="C100" s="3">
        <v>400</v>
      </c>
      <c r="D100" s="3"/>
      <c r="E100" s="69">
        <f t="shared" si="1"/>
        <v>5.4503784850727862E-26</v>
      </c>
      <c r="F100" s="72">
        <v>13510572.285246886</v>
      </c>
      <c r="G100" s="3"/>
      <c r="H100" s="61">
        <f t="shared" si="2"/>
        <v>2.9808063861893652</v>
      </c>
      <c r="I100" s="3"/>
      <c r="J100" s="18">
        <v>2.4788319420841948E+32</v>
      </c>
      <c r="K100" s="18">
        <v>3.2822946431778931E-2</v>
      </c>
      <c r="L100" s="66">
        <v>37.595883701805995</v>
      </c>
      <c r="M100" s="17"/>
      <c r="O100" s="83"/>
      <c r="P100" s="3">
        <v>400</v>
      </c>
      <c r="Q100" s="3"/>
      <c r="R100" s="57">
        <v>1262.9382223779985</v>
      </c>
      <c r="S100" s="3"/>
      <c r="T100" s="61">
        <f t="shared" si="3"/>
        <v>2.9808063861893652</v>
      </c>
      <c r="U100" s="3"/>
      <c r="V100" s="98">
        <v>1262.9354590530857</v>
      </c>
      <c r="W100" s="98">
        <f t="shared" si="4"/>
        <v>1.1930455882161123E-22</v>
      </c>
      <c r="X100" s="95">
        <f t="shared" si="5"/>
        <v>17.171817545879652</v>
      </c>
      <c r="Y100" s="85"/>
      <c r="AE100" s="78"/>
      <c r="AF100" s="78"/>
      <c r="AG100" s="78"/>
      <c r="AI100" s="78"/>
      <c r="AJ100" s="78"/>
      <c r="AK100" s="78"/>
      <c r="AL100" s="78"/>
      <c r="AM100" s="78"/>
      <c r="AN100" s="3"/>
      <c r="AO100" s="54"/>
      <c r="AP100" s="54"/>
      <c r="AQ100" s="54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</row>
    <row r="101" spans="2:64" x14ac:dyDescent="0.2">
      <c r="B101" s="83"/>
      <c r="C101" s="3">
        <v>500</v>
      </c>
      <c r="D101" s="3"/>
      <c r="E101" s="69">
        <f t="shared" si="1"/>
        <v>6.8129731063409828E-26</v>
      </c>
      <c r="F101" s="72">
        <v>23601998.472450361</v>
      </c>
      <c r="G101" s="3"/>
      <c r="H101" s="61">
        <f t="shared" si="2"/>
        <v>2.9808063861893652</v>
      </c>
      <c r="I101" s="3"/>
      <c r="J101" s="18">
        <v>3.4642729545612716E+32</v>
      </c>
      <c r="K101" s="18">
        <v>4.1028683039723658E-2</v>
      </c>
      <c r="L101" s="66">
        <v>38.704463239796603</v>
      </c>
      <c r="M101" s="17"/>
      <c r="O101" s="83"/>
      <c r="P101" s="3">
        <v>500</v>
      </c>
      <c r="Q101" s="3"/>
      <c r="R101" s="57">
        <v>1765.0098228874795</v>
      </c>
      <c r="S101" s="3"/>
      <c r="T101" s="61">
        <f t="shared" si="3"/>
        <v>2.9808063861893652</v>
      </c>
      <c r="U101" s="3"/>
      <c r="V101" s="98">
        <v>1765.0059610235012</v>
      </c>
      <c r="W101" s="98">
        <f t="shared" si="4"/>
        <v>1.239258026362874E-22</v>
      </c>
      <c r="X101" s="95">
        <f t="shared" si="5"/>
        <v>17.836965268686274</v>
      </c>
      <c r="Y101" s="85"/>
      <c r="AF101" s="3"/>
      <c r="AG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</row>
    <row r="102" spans="2:64" x14ac:dyDescent="0.2">
      <c r="B102" s="83"/>
      <c r="C102" s="3">
        <v>600</v>
      </c>
      <c r="D102" s="3"/>
      <c r="E102" s="69">
        <f t="shared" si="1"/>
        <v>8.1755677276091782E-26</v>
      </c>
      <c r="F102" s="72">
        <v>37230759.260823056</v>
      </c>
      <c r="G102" s="3"/>
      <c r="H102" s="61">
        <f t="shared" si="2"/>
        <v>2.9808063861893652</v>
      </c>
      <c r="I102" s="3"/>
      <c r="J102" s="18">
        <v>4.5539050621638764E+32</v>
      </c>
      <c r="K102" s="18">
        <v>4.92344196476684E-2</v>
      </c>
      <c r="L102" s="66">
        <v>39.610238674515621</v>
      </c>
      <c r="M102" s="17"/>
      <c r="O102" s="83"/>
      <c r="P102" s="3">
        <v>600</v>
      </c>
      <c r="Q102" s="3"/>
      <c r="R102" s="57">
        <v>2320.1656661127813</v>
      </c>
      <c r="S102" s="3"/>
      <c r="T102" s="61">
        <f t="shared" si="3"/>
        <v>2.9808063861893652</v>
      </c>
      <c r="U102" s="3"/>
      <c r="V102" s="98">
        <v>2320.1605895607736</v>
      </c>
      <c r="W102" s="98">
        <f t="shared" si="4"/>
        <v>1.2770163376227769E-22</v>
      </c>
      <c r="X102" s="95">
        <f t="shared" si="5"/>
        <v>18.380430529527704</v>
      </c>
      <c r="Y102" s="85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</row>
    <row r="103" spans="2:64" x14ac:dyDescent="0.2">
      <c r="B103" s="83"/>
      <c r="C103" s="3">
        <v>700</v>
      </c>
      <c r="D103" s="3"/>
      <c r="E103" s="69">
        <f t="shared" si="1"/>
        <v>9.5381623488773759E-26</v>
      </c>
      <c r="F103" s="72">
        <v>54735471.953415871</v>
      </c>
      <c r="G103" s="3"/>
      <c r="H103" s="61">
        <f t="shared" si="2"/>
        <v>2.9808063861893652</v>
      </c>
      <c r="I103" s="3"/>
      <c r="J103" s="18">
        <v>5.7385762530932527E+32</v>
      </c>
      <c r="K103" s="18">
        <v>5.7440156255613127E-2</v>
      </c>
      <c r="L103" s="66">
        <v>40.376060892623158</v>
      </c>
      <c r="M103" s="17"/>
      <c r="O103" s="83"/>
      <c r="P103" s="3">
        <v>700</v>
      </c>
      <c r="Q103" s="3"/>
      <c r="R103" s="57">
        <v>2923.7429004438832</v>
      </c>
      <c r="S103" s="3"/>
      <c r="T103" s="61">
        <f t="shared" si="3"/>
        <v>2.9808063861893652</v>
      </c>
      <c r="U103" s="3"/>
      <c r="V103" s="98">
        <v>2923.7365032572047</v>
      </c>
      <c r="W103" s="98">
        <f t="shared" si="4"/>
        <v>1.3089405349157004E-22</v>
      </c>
      <c r="X103" s="95">
        <f t="shared" si="5"/>
        <v>18.839923860400695</v>
      </c>
      <c r="Y103" s="85"/>
      <c r="AE103" s="78"/>
      <c r="AF103" s="78"/>
      <c r="AG103" s="78"/>
      <c r="AI103" s="78"/>
      <c r="AJ103" s="78"/>
      <c r="AK103" s="78"/>
      <c r="AL103" s="78"/>
      <c r="AM103" s="78"/>
      <c r="AN103" s="78"/>
      <c r="AR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L103" s="3"/>
    </row>
    <row r="104" spans="2:64" x14ac:dyDescent="0.2">
      <c r="B104" s="83"/>
      <c r="C104" s="3">
        <v>800</v>
      </c>
      <c r="D104" s="3"/>
      <c r="E104" s="69">
        <f t="shared" si="1"/>
        <v>1.0900756970145572E-25</v>
      </c>
      <c r="F104" s="72">
        <v>76427338.244871959</v>
      </c>
      <c r="G104" s="3"/>
      <c r="H104" s="61">
        <f t="shared" si="2"/>
        <v>2.9808063861893652</v>
      </c>
      <c r="I104" s="3"/>
      <c r="J104" s="18">
        <v>7.011195502678134E+32</v>
      </c>
      <c r="K104" s="18">
        <v>6.5645892863557861E-2</v>
      </c>
      <c r="L104" s="66">
        <v>41.039446272443051</v>
      </c>
      <c r="M104" s="17"/>
      <c r="O104" s="83"/>
      <c r="P104" s="3">
        <v>800</v>
      </c>
      <c r="Q104" s="3"/>
      <c r="R104" s="57">
        <v>3572.1287250526766</v>
      </c>
      <c r="S104" s="3"/>
      <c r="T104" s="61">
        <f t="shared" si="3"/>
        <v>2.9808063861893652</v>
      </c>
      <c r="U104" s="3"/>
      <c r="V104" s="98">
        <v>3572.1209091895289</v>
      </c>
      <c r="W104" s="98">
        <f t="shared" si="4"/>
        <v>1.3365945324700484E-22</v>
      </c>
      <c r="X104" s="95">
        <f t="shared" si="5"/>
        <v>19.237955088299966</v>
      </c>
      <c r="Y104" s="85"/>
      <c r="AE104" s="26"/>
      <c r="AF104" s="26"/>
      <c r="AG104" s="26"/>
      <c r="AI104" s="26"/>
      <c r="AJ104" s="26"/>
      <c r="AK104" s="26"/>
      <c r="AL104" s="26"/>
      <c r="AM104" s="26"/>
      <c r="AN104" s="26"/>
      <c r="AR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</row>
    <row r="105" spans="2:64" x14ac:dyDescent="0.2">
      <c r="B105" s="83"/>
      <c r="C105" s="3">
        <v>900</v>
      </c>
      <c r="D105" s="3"/>
      <c r="E105" s="69">
        <f t="shared" si="1"/>
        <v>1.2263351591413768E-25</v>
      </c>
      <c r="F105" s="72">
        <v>102595908.29109223</v>
      </c>
      <c r="G105" s="3"/>
      <c r="H105" s="61">
        <f t="shared" si="2"/>
        <v>2.9808063861893652</v>
      </c>
      <c r="I105" s="3"/>
      <c r="J105" s="18">
        <v>8.3660578045340514E+32</v>
      </c>
      <c r="K105" s="18">
        <v>7.3851629471502603E-2</v>
      </c>
      <c r="L105" s="66">
        <v>41.62459364722524</v>
      </c>
      <c r="M105" s="17"/>
      <c r="O105" s="83"/>
      <c r="P105" s="3">
        <v>900</v>
      </c>
      <c r="Q105" s="3"/>
      <c r="R105" s="57">
        <v>4262.4165005257519</v>
      </c>
      <c r="S105" s="3"/>
      <c r="T105" s="61">
        <f t="shared" si="3"/>
        <v>2.9808063861893652</v>
      </c>
      <c r="U105" s="3"/>
      <c r="V105" s="98">
        <v>4262.4071743041641</v>
      </c>
      <c r="W105" s="98">
        <f t="shared" si="4"/>
        <v>1.360987087029441E-22</v>
      </c>
      <c r="X105" s="95">
        <f t="shared" si="5"/>
        <v>19.589043513175753</v>
      </c>
      <c r="Y105" s="85"/>
      <c r="AE105" s="26"/>
      <c r="AF105" s="26"/>
      <c r="AG105" s="26"/>
      <c r="AI105" s="26"/>
      <c r="AJ105" s="26"/>
      <c r="AK105" s="26"/>
      <c r="AL105" s="26"/>
      <c r="AM105" s="26"/>
      <c r="AN105" s="26"/>
      <c r="AR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</row>
    <row r="106" spans="2:64" x14ac:dyDescent="0.2">
      <c r="B106" s="83"/>
      <c r="C106" s="3">
        <v>1000</v>
      </c>
      <c r="D106" s="3"/>
      <c r="E106" s="69">
        <f t="shared" si="1"/>
        <v>1.3625946212681966E-25</v>
      </c>
      <c r="F106" s="72">
        <v>133513065.35539196</v>
      </c>
      <c r="G106" s="3"/>
      <c r="H106" s="61">
        <f t="shared" si="2"/>
        <v>2.9808063861893652</v>
      </c>
      <c r="I106" s="3"/>
      <c r="J106" s="18">
        <v>9.7984435922056141E+32</v>
      </c>
      <c r="K106" s="18">
        <v>8.2057366079447316E-2</v>
      </c>
      <c r="L106" s="66">
        <v>42.148025810433644</v>
      </c>
      <c r="M106" s="17"/>
      <c r="O106" s="83"/>
      <c r="P106" s="3">
        <v>1000</v>
      </c>
      <c r="Q106" s="3"/>
      <c r="R106" s="57">
        <v>4992.2016584983585</v>
      </c>
      <c r="S106" s="3"/>
      <c r="T106" s="61">
        <f t="shared" si="3"/>
        <v>2.9808063861893652</v>
      </c>
      <c r="U106" s="3"/>
      <c r="V106" s="98">
        <v>4992.1907354975883</v>
      </c>
      <c r="W106" s="98">
        <f t="shared" si="4"/>
        <v>1.3828069706168103E-22</v>
      </c>
      <c r="X106" s="95">
        <f t="shared" si="5"/>
        <v>19.903102811106596</v>
      </c>
      <c r="Y106" s="85"/>
      <c r="AE106" s="26"/>
      <c r="AF106" s="26"/>
      <c r="AG106" s="26"/>
      <c r="AI106" s="26"/>
      <c r="AJ106" s="26"/>
      <c r="AK106" s="26"/>
      <c r="AL106" s="26"/>
      <c r="AM106" s="26"/>
      <c r="AN106" s="26"/>
      <c r="AR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</row>
    <row r="107" spans="2:64" x14ac:dyDescent="0.2">
      <c r="B107" s="83"/>
      <c r="C107" s="3">
        <v>1100</v>
      </c>
      <c r="D107" s="3"/>
      <c r="E107" s="69">
        <f t="shared" si="1"/>
        <v>1.4988540833950161E-25</v>
      </c>
      <c r="F107" s="72">
        <v>169435917.9921774</v>
      </c>
      <c r="G107" s="3"/>
      <c r="H107" s="61">
        <f t="shared" si="2"/>
        <v>2.9808063861893652</v>
      </c>
      <c r="I107" s="3"/>
      <c r="J107" s="18">
        <v>1.1304363771581583E+33</v>
      </c>
      <c r="K107" s="18">
        <v>9.0263102687392072E-2</v>
      </c>
      <c r="L107" s="66">
        <v>42.621527798149643</v>
      </c>
      <c r="M107" s="17"/>
      <c r="O107" s="83"/>
      <c r="P107" s="3">
        <v>1100</v>
      </c>
      <c r="Q107" s="3"/>
      <c r="R107" s="57">
        <v>5759.4517984110998</v>
      </c>
      <c r="S107" s="3"/>
      <c r="T107" s="61">
        <f t="shared" si="3"/>
        <v>2.9808063861893652</v>
      </c>
      <c r="U107" s="3"/>
      <c r="V107" s="98">
        <v>5759.4391966572193</v>
      </c>
      <c r="W107" s="98">
        <f t="shared" si="4"/>
        <v>1.4025454562823096E-22</v>
      </c>
      <c r="X107" s="95">
        <f t="shared" si="5"/>
        <v>20.187204003741421</v>
      </c>
      <c r="Y107" s="85"/>
      <c r="AE107" s="26"/>
      <c r="AF107" s="26"/>
      <c r="AG107" s="26"/>
      <c r="AI107" s="26"/>
      <c r="AJ107" s="26"/>
      <c r="AK107" s="26"/>
      <c r="AL107" s="26"/>
      <c r="AM107" s="26"/>
      <c r="AN107" s="26"/>
      <c r="AR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</row>
    <row r="108" spans="2:64" x14ac:dyDescent="0.2">
      <c r="B108" s="83"/>
      <c r="C108" s="3">
        <v>1200</v>
      </c>
      <c r="D108" s="3"/>
      <c r="E108" s="69">
        <f t="shared" si="1"/>
        <v>1.6351135455218356E-25</v>
      </c>
      <c r="F108" s="72">
        <v>210608978.7364153</v>
      </c>
      <c r="G108" s="3"/>
      <c r="H108" s="61">
        <f t="shared" si="2"/>
        <v>2.9808063861893652</v>
      </c>
      <c r="I108" s="3"/>
      <c r="J108" s="18">
        <v>1.2880388601343329E+33</v>
      </c>
      <c r="K108" s="18">
        <v>9.8468839295336799E-2</v>
      </c>
      <c r="L108" s="66">
        <v>43.053801245152691</v>
      </c>
      <c r="M108" s="17"/>
      <c r="O108" s="83"/>
      <c r="P108" s="3">
        <v>1200</v>
      </c>
      <c r="Q108" s="3"/>
      <c r="R108" s="57">
        <v>6562.4195039382212</v>
      </c>
      <c r="S108" s="3"/>
      <c r="T108" s="61">
        <f t="shared" si="3"/>
        <v>2.9808063861893652</v>
      </c>
      <c r="U108" s="3"/>
      <c r="V108" s="98">
        <v>6562.4051452808044</v>
      </c>
      <c r="W108" s="98">
        <f t="shared" si="4"/>
        <v>1.4205652818767129E-22</v>
      </c>
      <c r="X108" s="95">
        <f t="shared" si="5"/>
        <v>20.446568071948022</v>
      </c>
      <c r="Y108" s="85"/>
      <c r="AE108" s="26"/>
      <c r="AF108" s="26"/>
      <c r="AG108" s="26"/>
      <c r="AI108" s="26"/>
      <c r="AJ108" s="26"/>
      <c r="AK108" s="26"/>
      <c r="AL108" s="26"/>
      <c r="AM108" s="26"/>
      <c r="AN108" s="26"/>
      <c r="AR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</row>
    <row r="109" spans="2:64" x14ac:dyDescent="0.2">
      <c r="B109" s="83"/>
      <c r="C109" s="3">
        <v>1300</v>
      </c>
      <c r="D109" s="3"/>
      <c r="E109" s="69">
        <f t="shared" si="1"/>
        <v>1.7713730076486554E-25</v>
      </c>
      <c r="F109" s="72">
        <v>257265854.12090617</v>
      </c>
      <c r="G109" s="3"/>
      <c r="H109" s="61">
        <f t="shared" si="2"/>
        <v>2.9808063861893652</v>
      </c>
      <c r="I109" s="3"/>
      <c r="J109" s="18">
        <v>1.4523527964468893E+33</v>
      </c>
      <c r="K109" s="18">
        <v>0.10667457590328153</v>
      </c>
      <c r="L109" s="66">
        <v>43.451454268821266</v>
      </c>
      <c r="M109" s="17"/>
      <c r="O109" s="83"/>
      <c r="P109" s="3">
        <v>1300</v>
      </c>
      <c r="Q109" s="3"/>
      <c r="R109" s="57">
        <v>7399.5813426067052</v>
      </c>
      <c r="S109" s="3"/>
      <c r="T109" s="61">
        <f t="shared" si="3"/>
        <v>2.9808063861893652</v>
      </c>
      <c r="U109" s="3"/>
      <c r="V109" s="98">
        <v>7399.5651522285225</v>
      </c>
      <c r="W109" s="98">
        <f t="shared" si="4"/>
        <v>1.4371419145227267E-22</v>
      </c>
      <c r="X109" s="95">
        <f t="shared" si="5"/>
        <v>20.685159886153581</v>
      </c>
      <c r="Y109" s="85"/>
      <c r="AE109" s="26"/>
      <c r="AF109" s="26"/>
      <c r="AG109" s="26"/>
      <c r="AI109" s="26"/>
      <c r="AJ109" s="26"/>
      <c r="AK109" s="26"/>
      <c r="AL109" s="26"/>
      <c r="AM109" s="26"/>
      <c r="AN109" s="26"/>
      <c r="AR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</row>
    <row r="110" spans="2:64" x14ac:dyDescent="0.2">
      <c r="B110" s="83"/>
      <c r="C110" s="3">
        <v>1400</v>
      </c>
      <c r="D110" s="3"/>
      <c r="E110" s="69">
        <f t="shared" si="1"/>
        <v>1.9076324697754752E-25</v>
      </c>
      <c r="F110" s="72">
        <v>309630587.11765242</v>
      </c>
      <c r="G110" s="3"/>
      <c r="H110" s="61">
        <f t="shared" si="2"/>
        <v>2.9808063861893652</v>
      </c>
      <c r="I110" s="3"/>
      <c r="J110" s="18">
        <v>1.6231144731673359E+33</v>
      </c>
      <c r="K110" s="18">
        <v>0.11488031251122625</v>
      </c>
      <c r="L110" s="66">
        <v>43.819623463260221</v>
      </c>
      <c r="M110" s="17"/>
      <c r="O110" s="83"/>
      <c r="P110" s="3">
        <v>1400</v>
      </c>
      <c r="Q110" s="3"/>
      <c r="R110" s="57">
        <v>8269.5937253996017</v>
      </c>
      <c r="S110" s="3"/>
      <c r="T110" s="61">
        <f t="shared" si="3"/>
        <v>2.9808063861893652</v>
      </c>
      <c r="U110" s="3"/>
      <c r="V110" s="98">
        <v>8269.5756314232549</v>
      </c>
      <c r="W110" s="98">
        <f t="shared" si="4"/>
        <v>1.4524894791696367E-22</v>
      </c>
      <c r="X110" s="95">
        <f t="shared" si="5"/>
        <v>20.906061402821013</v>
      </c>
      <c r="Y110" s="85"/>
      <c r="AE110" s="26"/>
      <c r="AF110" s="26"/>
      <c r="AG110" s="26"/>
      <c r="AI110" s="26"/>
      <c r="AJ110" s="26"/>
      <c r="AK110" s="26"/>
      <c r="AL110" s="26"/>
      <c r="AM110" s="26"/>
      <c r="AN110" s="26"/>
      <c r="AR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</row>
    <row r="111" spans="2:64" x14ac:dyDescent="0.2">
      <c r="B111" s="83"/>
      <c r="C111" s="3">
        <v>1500</v>
      </c>
      <c r="D111" s="3"/>
      <c r="E111" s="69">
        <f t="shared" si="1"/>
        <v>2.0438919319022949E-25</v>
      </c>
      <c r="F111" s="72">
        <v>367918744.63002223</v>
      </c>
      <c r="G111" s="3"/>
      <c r="H111" s="61">
        <f t="shared" si="2"/>
        <v>2.9808063861893652</v>
      </c>
      <c r="I111" s="3"/>
      <c r="J111" s="18">
        <v>1.8000890305760549E+33</v>
      </c>
      <c r="K111" s="18">
        <v>0.12308604911917098</v>
      </c>
      <c r="L111" s="66">
        <v>44.162380783143284</v>
      </c>
      <c r="M111" s="17"/>
      <c r="O111" s="83"/>
      <c r="P111" s="3">
        <v>1500</v>
      </c>
      <c r="Q111" s="3"/>
      <c r="R111" s="92">
        <v>9171.260067297746</v>
      </c>
      <c r="T111" s="61">
        <f t="shared" si="3"/>
        <v>2.9808063861893652</v>
      </c>
      <c r="V111" s="99">
        <v>9171.240000463913</v>
      </c>
      <c r="W111" s="98">
        <f t="shared" si="4"/>
        <v>1.4667777200234748E-22</v>
      </c>
      <c r="X111" s="95">
        <f t="shared" si="5"/>
        <v>21.111715794754648</v>
      </c>
      <c r="Y111" s="85"/>
      <c r="AE111" s="26"/>
      <c r="AF111" s="26"/>
      <c r="AG111" s="26"/>
      <c r="AI111" s="26"/>
      <c r="AJ111" s="26"/>
      <c r="AK111" s="26"/>
      <c r="AL111" s="26"/>
      <c r="AM111" s="26"/>
      <c r="AN111" s="26"/>
      <c r="AR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</row>
    <row r="112" spans="2:64" x14ac:dyDescent="0.2">
      <c r="B112" s="83"/>
      <c r="C112" s="3">
        <v>1600</v>
      </c>
      <c r="D112" s="3"/>
      <c r="E112" s="69">
        <f t="shared" si="1"/>
        <v>2.1801513940291145E-25</v>
      </c>
      <c r="F112" s="72">
        <v>432338313.12789667</v>
      </c>
      <c r="G112" s="3"/>
      <c r="H112" s="61">
        <f t="shared" si="2"/>
        <v>2.9808063861893652</v>
      </c>
      <c r="I112" s="3"/>
      <c r="J112" s="18">
        <v>1.9830655536673388E+33</v>
      </c>
      <c r="K112" s="18">
        <v>0.13129178572711572</v>
      </c>
      <c r="L112" s="66">
        <v>44.483008843080107</v>
      </c>
      <c r="M112" s="17"/>
      <c r="O112" s="83"/>
      <c r="P112" s="3">
        <v>1600</v>
      </c>
      <c r="Q112" s="3"/>
      <c r="R112" s="92">
        <v>10103.505779024044</v>
      </c>
      <c r="T112" s="61">
        <f t="shared" si="3"/>
        <v>2.9808063861893652</v>
      </c>
      <c r="V112" s="99">
        <v>10103.483672424685</v>
      </c>
      <c r="W112" s="98">
        <f t="shared" si="4"/>
        <v>1.4801434767239849E-22</v>
      </c>
      <c r="X112" s="95">
        <f t="shared" si="5"/>
        <v>21.304092630720287</v>
      </c>
      <c r="Y112" s="85"/>
      <c r="AE112" s="26"/>
      <c r="AF112" s="26"/>
      <c r="AG112" s="26"/>
      <c r="AI112" s="26"/>
      <c r="AJ112" s="26"/>
      <c r="AK112" s="26"/>
      <c r="AL112" s="26"/>
      <c r="AM112" s="26"/>
      <c r="AN112" s="26"/>
      <c r="AR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</row>
    <row r="113" spans="2:64" x14ac:dyDescent="0.2">
      <c r="B113" s="83"/>
      <c r="C113" s="3">
        <v>1700</v>
      </c>
      <c r="D113" s="3"/>
      <c r="E113" s="69">
        <f t="shared" si="1"/>
        <v>2.316410856155934E-25</v>
      </c>
      <c r="F113" s="72">
        <v>503090446.74512041</v>
      </c>
      <c r="G113" s="3"/>
      <c r="H113" s="61">
        <f t="shared" si="2"/>
        <v>2.9808063861893652</v>
      </c>
      <c r="I113" s="3"/>
      <c r="J113" s="18">
        <v>2.1718532591407171E+33</v>
      </c>
      <c r="K113" s="18">
        <v>0.13949752233506044</v>
      </c>
      <c r="L113" s="66">
        <v>44.784192609531367</v>
      </c>
      <c r="M113" s="17"/>
      <c r="O113" s="83"/>
      <c r="P113" s="3">
        <v>1700</v>
      </c>
      <c r="Q113" s="3"/>
      <c r="R113" s="92">
        <v>11065.358840175357</v>
      </c>
      <c r="T113" s="61">
        <f t="shared" si="3"/>
        <v>2.9808063861893652</v>
      </c>
      <c r="V113" s="99">
        <v>11065.334629029327</v>
      </c>
      <c r="W113" s="98">
        <f t="shared" si="4"/>
        <v>1.4926986752469207E-22</v>
      </c>
      <c r="X113" s="95">
        <f t="shared" si="5"/>
        <v>21.484802890594363</v>
      </c>
      <c r="Y113" s="85"/>
      <c r="AE113" s="26"/>
      <c r="AF113" s="26"/>
      <c r="AG113" s="26"/>
      <c r="AI113" s="26"/>
      <c r="AJ113" s="26"/>
      <c r="AK113" s="26"/>
      <c r="AL113" s="26"/>
      <c r="AM113" s="26"/>
      <c r="AN113" s="26"/>
      <c r="AR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</row>
    <row r="114" spans="2:64" x14ac:dyDescent="0.2">
      <c r="B114" s="83"/>
      <c r="C114" s="3">
        <v>1800</v>
      </c>
      <c r="D114" s="3"/>
      <c r="E114" s="69">
        <f t="shared" si="1"/>
        <v>2.4526703182827536E-25</v>
      </c>
      <c r="F114" s="72">
        <v>580370099.79699731</v>
      </c>
      <c r="G114" s="3"/>
      <c r="H114" s="61">
        <f t="shared" si="2"/>
        <v>2.9808063861893652</v>
      </c>
      <c r="I114" s="3"/>
      <c r="J114" s="18">
        <v>2.3662784821538738E+33</v>
      </c>
      <c r="K114" s="18">
        <v>0.14770325894300521</v>
      </c>
      <c r="L114" s="66">
        <v>45.068156217862303</v>
      </c>
      <c r="M114" s="17"/>
      <c r="O114" s="83"/>
      <c r="P114" s="3">
        <v>1800</v>
      </c>
      <c r="Q114" s="3"/>
      <c r="R114" s="92">
        <v>12055.934447052801</v>
      </c>
      <c r="T114" s="61">
        <f t="shared" si="3"/>
        <v>2.9808063861893652</v>
      </c>
      <c r="V114" s="99">
        <v>12055.90806851466</v>
      </c>
      <c r="W114" s="98">
        <f t="shared" si="4"/>
        <v>1.5045360312833772E-22</v>
      </c>
      <c r="X114" s="95">
        <f t="shared" si="5"/>
        <v>21.655181055596071</v>
      </c>
      <c r="Y114" s="85"/>
      <c r="AE114" s="26"/>
      <c r="AF114" s="26"/>
      <c r="AG114" s="26"/>
      <c r="AI114" s="26"/>
      <c r="AJ114" s="26"/>
      <c r="AK114" s="26"/>
      <c r="AL114" s="26"/>
      <c r="AM114" s="26"/>
      <c r="AN114" s="26"/>
      <c r="AR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</row>
    <row r="115" spans="2:64" x14ac:dyDescent="0.2">
      <c r="B115" s="83"/>
      <c r="C115" s="3">
        <v>1900</v>
      </c>
      <c r="D115" s="3"/>
      <c r="E115" s="69">
        <f t="shared" si="1"/>
        <v>2.5889297804095731E-25</v>
      </c>
      <c r="F115" s="72">
        <v>664366567.28581154</v>
      </c>
      <c r="G115" s="3"/>
      <c r="H115" s="61">
        <f t="shared" si="2"/>
        <v>2.9808063861893652</v>
      </c>
      <c r="I115" s="3"/>
      <c r="J115" s="18">
        <v>2.5661822592218301E+33</v>
      </c>
      <c r="K115" s="18">
        <v>0.15590899555094992</v>
      </c>
      <c r="L115" s="66">
        <v>45.336762748605565</v>
      </c>
      <c r="M115" s="17"/>
      <c r="O115" s="83"/>
      <c r="P115" s="3">
        <v>1900</v>
      </c>
      <c r="Q115" s="3"/>
      <c r="R115" s="92">
        <v>13074.42269779132</v>
      </c>
      <c r="T115" s="61">
        <f t="shared" si="3"/>
        <v>2.9808063861893652</v>
      </c>
      <c r="V115" s="99">
        <v>13074.394090788059</v>
      </c>
      <c r="W115" s="98">
        <f t="shared" si="4"/>
        <v>1.5157332095303151E-22</v>
      </c>
      <c r="X115" s="95">
        <f t="shared" si="5"/>
        <v>21.816344974044998</v>
      </c>
      <c r="Y115" s="85"/>
      <c r="AE115" s="26"/>
      <c r="AF115" s="26"/>
      <c r="AG115" s="26"/>
      <c r="AI115" s="26"/>
      <c r="AJ115" s="26"/>
      <c r="AK115" s="26"/>
      <c r="AL115" s="26"/>
      <c r="AM115" s="26"/>
      <c r="AN115" s="26"/>
      <c r="AR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</row>
    <row r="116" spans="2:64" ht="17" thickBot="1" x14ac:dyDescent="0.25">
      <c r="B116" s="83"/>
      <c r="C116" s="3">
        <v>2000</v>
      </c>
      <c r="D116" s="3"/>
      <c r="E116" s="70">
        <f t="shared" si="1"/>
        <v>2.7251892425363931E-25</v>
      </c>
      <c r="F116" s="73">
        <v>755263951.1184051</v>
      </c>
      <c r="G116" s="3"/>
      <c r="H116" s="62">
        <f t="shared" si="2"/>
        <v>2.9808063861893652</v>
      </c>
      <c r="I116" s="3"/>
      <c r="J116" s="25">
        <v>2.7714183636489936E+33</v>
      </c>
      <c r="K116" s="25">
        <v>0.16411473215889463</v>
      </c>
      <c r="L116" s="67">
        <v>45.591588381070707</v>
      </c>
      <c r="M116" s="17"/>
      <c r="O116" s="83"/>
      <c r="P116" s="3">
        <v>2000</v>
      </c>
      <c r="Q116" s="3"/>
      <c r="R116" s="93">
        <v>14120.078583099712</v>
      </c>
      <c r="T116" s="62">
        <f t="shared" si="3"/>
        <v>2.9808063861893652</v>
      </c>
      <c r="V116" s="100">
        <v>14120.047688188009</v>
      </c>
      <c r="W116" s="101">
        <f t="shared" si="4"/>
        <v>1.5263559148707468E-22</v>
      </c>
      <c r="X116" s="96">
        <f t="shared" si="5"/>
        <v>21.969240353526917</v>
      </c>
      <c r="Y116" s="85"/>
      <c r="AE116" s="26"/>
      <c r="AF116" s="26"/>
      <c r="AG116" s="26"/>
      <c r="AI116" s="26"/>
      <c r="AJ116" s="26"/>
      <c r="AK116" s="26"/>
      <c r="AL116" s="26"/>
      <c r="AM116" s="26"/>
      <c r="AN116" s="26"/>
      <c r="AR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</row>
    <row r="117" spans="2:64" x14ac:dyDescent="0.2">
      <c r="B117" s="8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17"/>
      <c r="N117" s="3"/>
      <c r="O117" s="16"/>
      <c r="P117" s="3"/>
      <c r="Q117" s="3"/>
      <c r="R117" s="3"/>
      <c r="S117" s="3"/>
      <c r="T117" s="3"/>
      <c r="U117" s="3"/>
      <c r="V117" s="3"/>
      <c r="W117" s="3"/>
      <c r="X117" s="3"/>
      <c r="Y117" s="17"/>
      <c r="AE117" s="26"/>
      <c r="AF117" s="26"/>
      <c r="AG117" s="26"/>
      <c r="AI117" s="26"/>
      <c r="AJ117" s="26"/>
      <c r="AK117" s="26"/>
      <c r="AL117" s="26"/>
      <c r="AM117" s="26"/>
      <c r="AN117" s="26"/>
      <c r="AR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</row>
    <row r="118" spans="2:64" ht="17" thickBot="1" x14ac:dyDescent="0.25">
      <c r="B118" s="41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3"/>
      <c r="N118" s="3"/>
      <c r="O118" s="22"/>
      <c r="P118" s="23"/>
      <c r="Q118" s="23"/>
      <c r="R118" s="23"/>
      <c r="S118" s="23"/>
      <c r="T118" s="23"/>
      <c r="U118" s="23"/>
      <c r="V118" s="23"/>
      <c r="W118" s="23"/>
      <c r="X118" s="23"/>
      <c r="Y118" s="24"/>
      <c r="AE118" s="26"/>
      <c r="AF118" s="26"/>
      <c r="AG118" s="26"/>
      <c r="AI118" s="26"/>
      <c r="AJ118" s="26"/>
      <c r="AK118" s="26"/>
      <c r="AL118" s="26"/>
      <c r="AM118" s="26"/>
      <c r="AN118" s="26"/>
      <c r="AR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</row>
    <row r="119" spans="2:64" x14ac:dyDescent="0.2">
      <c r="AE119" s="26"/>
      <c r="AF119" s="26"/>
      <c r="AG119" s="26"/>
      <c r="AI119" s="26"/>
      <c r="AJ119" s="26"/>
      <c r="AK119" s="26"/>
      <c r="AL119" s="26"/>
      <c r="AM119" s="26"/>
      <c r="AN119" s="26"/>
      <c r="AR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</row>
    <row r="120" spans="2:64" x14ac:dyDescent="0.2">
      <c r="AE120" s="26"/>
      <c r="AF120" s="26"/>
      <c r="AG120" s="26"/>
      <c r="AI120" s="26"/>
      <c r="AJ120" s="26"/>
      <c r="AK120" s="26"/>
      <c r="AL120" s="26"/>
      <c r="AM120" s="26"/>
      <c r="AN120" s="26"/>
      <c r="AR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</row>
    <row r="121" spans="2:64" x14ac:dyDescent="0.2">
      <c r="AE121" s="26"/>
      <c r="AF121" s="26"/>
      <c r="AG121" s="26"/>
      <c r="AI121" s="26"/>
      <c r="AJ121" s="26"/>
      <c r="AK121" s="26"/>
      <c r="AL121" s="26"/>
      <c r="AM121" s="26"/>
      <c r="AN121" s="26"/>
      <c r="AR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</row>
    <row r="122" spans="2:64" x14ac:dyDescent="0.2">
      <c r="Z122" s="3"/>
      <c r="AA122" s="3"/>
      <c r="AB122" s="3"/>
      <c r="AC122" s="3"/>
      <c r="AD122" s="3"/>
      <c r="AE122" s="3"/>
      <c r="AF122" s="3"/>
      <c r="AG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</row>
    <row r="123" spans="2:64" x14ac:dyDescent="0.2">
      <c r="Z123" s="3"/>
      <c r="AA123" s="3"/>
      <c r="AB123" s="3"/>
      <c r="AC123" s="3"/>
      <c r="AD123" s="3"/>
      <c r="AE123" s="3"/>
      <c r="AF123" s="3"/>
      <c r="AG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</row>
    <row r="124" spans="2:64" x14ac:dyDescent="0.2"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</row>
    <row r="125" spans="2:64" x14ac:dyDescent="0.2"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</row>
    <row r="126" spans="2:64" x14ac:dyDescent="0.2"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</row>
    <row r="127" spans="2:64" x14ac:dyDescent="0.2"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</row>
    <row r="128" spans="2:64" x14ac:dyDescent="0.2"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</row>
    <row r="129" spans="14:64" x14ac:dyDescent="0.2"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</row>
    <row r="130" spans="14:64" x14ac:dyDescent="0.2"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</row>
    <row r="131" spans="14:64" x14ac:dyDescent="0.2"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</row>
    <row r="132" spans="14:64" x14ac:dyDescent="0.2"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</row>
    <row r="133" spans="14:64" x14ac:dyDescent="0.2"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</row>
    <row r="134" spans="14:64" x14ac:dyDescent="0.2"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</row>
    <row r="135" spans="14:64" x14ac:dyDescent="0.2"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</row>
  </sheetData>
  <mergeCells count="13">
    <mergeCell ref="E95:L95"/>
    <mergeCell ref="R95:X95"/>
    <mergeCell ref="F4:O4"/>
    <mergeCell ref="Q4:V4"/>
    <mergeCell ref="E15:V15"/>
    <mergeCell ref="Q6:R6"/>
    <mergeCell ref="Q8:R8"/>
    <mergeCell ref="Q9:R9"/>
    <mergeCell ref="Q11:R11"/>
    <mergeCell ref="E23:X23"/>
    <mergeCell ref="E26:V26"/>
    <mergeCell ref="E48:V48"/>
    <mergeCell ref="E70:V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AC7A-3B34-3D49-A7DC-7EE90BE43C07}">
  <dimension ref="B3:AY148"/>
  <sheetViews>
    <sheetView zoomScaleNormal="32" workbookViewId="0">
      <selection activeCell="P21" sqref="P21"/>
    </sheetView>
  </sheetViews>
  <sheetFormatPr baseColWidth="10" defaultRowHeight="16" x14ac:dyDescent="0.2"/>
  <cols>
    <col min="3" max="3" width="11.33203125" bestFit="1" customWidth="1"/>
    <col min="4" max="4" width="13.5" customWidth="1"/>
    <col min="5" max="5" width="11.5" bestFit="1" customWidth="1"/>
    <col min="6" max="6" width="12.33203125" customWidth="1"/>
    <col min="7" max="7" width="14.83203125" bestFit="1" customWidth="1"/>
    <col min="8" max="8" width="12.33203125" bestFit="1" customWidth="1"/>
    <col min="9" max="9" width="12" customWidth="1"/>
    <col min="10" max="10" width="13.5" customWidth="1"/>
    <col min="11" max="11" width="12.6640625" bestFit="1" customWidth="1"/>
    <col min="12" max="12" width="12.5" bestFit="1" customWidth="1"/>
    <col min="13" max="13" width="14.1640625" bestFit="1" customWidth="1"/>
    <col min="14" max="17" width="12.5" bestFit="1" customWidth="1"/>
    <col min="18" max="18" width="11.5" bestFit="1" customWidth="1"/>
    <col min="19" max="27" width="11.5" customWidth="1"/>
    <col min="28" max="28" width="12.33203125" bestFit="1" customWidth="1"/>
    <col min="29" max="38" width="11.5" bestFit="1" customWidth="1"/>
    <col min="39" max="47" width="11.5" customWidth="1"/>
    <col min="48" max="49" width="11.5" bestFit="1" customWidth="1"/>
    <col min="50" max="50" width="11.33203125" bestFit="1" customWidth="1"/>
  </cols>
  <sheetData>
    <row r="3" spans="2:16" ht="17" thickBot="1" x14ac:dyDescent="0.25">
      <c r="B3" t="s">
        <v>57</v>
      </c>
    </row>
    <row r="4" spans="2:16" ht="17" customHeight="1" thickBot="1" x14ac:dyDescent="0.25">
      <c r="C4" s="149" t="s">
        <v>21</v>
      </c>
      <c r="D4" s="150"/>
      <c r="E4" s="150"/>
      <c r="F4" s="150"/>
      <c r="G4" s="150"/>
      <c r="H4" s="150"/>
      <c r="I4" s="150"/>
      <c r="J4" s="150"/>
      <c r="K4" s="150"/>
      <c r="L4" s="151"/>
    </row>
    <row r="5" spans="2:16" ht="17" customHeight="1" thickBot="1" x14ac:dyDescent="0.25">
      <c r="C5" s="33" t="s">
        <v>23</v>
      </c>
      <c r="D5" s="33" t="s">
        <v>22</v>
      </c>
      <c r="E5" s="33" t="s">
        <v>24</v>
      </c>
      <c r="F5" s="33" t="s">
        <v>25</v>
      </c>
      <c r="G5" s="33" t="s">
        <v>26</v>
      </c>
      <c r="H5" s="33" t="s">
        <v>28</v>
      </c>
      <c r="I5" s="34" t="s">
        <v>29</v>
      </c>
      <c r="J5" s="86" t="s">
        <v>31</v>
      </c>
      <c r="K5" s="33" t="s">
        <v>33</v>
      </c>
      <c r="L5" s="33" t="s">
        <v>33</v>
      </c>
    </row>
    <row r="6" spans="2:16" ht="17" thickBot="1" x14ac:dyDescent="0.25">
      <c r="C6" s="32" t="s">
        <v>1</v>
      </c>
      <c r="D6" s="32" t="s">
        <v>3</v>
      </c>
      <c r="E6" s="32" t="s">
        <v>37</v>
      </c>
      <c r="F6" s="32" t="s">
        <v>16</v>
      </c>
      <c r="G6" s="32" t="s">
        <v>17</v>
      </c>
      <c r="H6" s="32" t="s">
        <v>8</v>
      </c>
      <c r="I6" s="32" t="s">
        <v>30</v>
      </c>
      <c r="J6" s="32"/>
      <c r="K6" s="32"/>
      <c r="L6" s="32"/>
    </row>
    <row r="7" spans="2:16" ht="17" thickBot="1" x14ac:dyDescent="0.25">
      <c r="C7" s="31" t="s">
        <v>2</v>
      </c>
      <c r="D7" s="30" t="s">
        <v>4</v>
      </c>
      <c r="E7" s="30" t="s">
        <v>38</v>
      </c>
      <c r="F7" s="30"/>
      <c r="G7" s="30" t="s">
        <v>18</v>
      </c>
      <c r="H7" s="30" t="s">
        <v>27</v>
      </c>
      <c r="I7" s="30" t="s">
        <v>32</v>
      </c>
      <c r="J7" s="30" t="s">
        <v>34</v>
      </c>
      <c r="K7" s="30" t="s">
        <v>35</v>
      </c>
      <c r="L7" s="30" t="s">
        <v>36</v>
      </c>
    </row>
    <row r="8" spans="2:16" ht="17" thickBot="1" x14ac:dyDescent="0.25">
      <c r="C8" s="28">
        <v>1.3806490000000001E-23</v>
      </c>
      <c r="D8" s="28">
        <v>6.6260701499999998E-34</v>
      </c>
      <c r="E8" s="28">
        <v>6.0221407599999999E+23</v>
      </c>
      <c r="F8" s="28">
        <v>2</v>
      </c>
      <c r="G8" s="28">
        <v>29979245800</v>
      </c>
      <c r="H8" s="29">
        <v>8.3144626180000003</v>
      </c>
      <c r="I8" s="29">
        <v>0.239005736</v>
      </c>
      <c r="J8" s="29">
        <v>1.6605390666E-27</v>
      </c>
      <c r="K8" s="29">
        <v>18.010560000000002</v>
      </c>
      <c r="L8" s="29">
        <f>K8*J8</f>
        <v>2.99072384913433E-26</v>
      </c>
    </row>
    <row r="10" spans="2:16" x14ac:dyDescent="0.2">
      <c r="H10" t="s">
        <v>56</v>
      </c>
    </row>
    <row r="11" spans="2:16" ht="17" thickBot="1" x14ac:dyDescent="0.25">
      <c r="P11" t="s">
        <v>56</v>
      </c>
    </row>
    <row r="12" spans="2:16" ht="17" thickBot="1" x14ac:dyDescent="0.25">
      <c r="C12" s="140" t="s">
        <v>39</v>
      </c>
      <c r="D12" s="141"/>
      <c r="E12" s="141"/>
      <c r="F12" s="142"/>
      <c r="G12" s="109"/>
      <c r="H12" s="106" t="s">
        <v>46</v>
      </c>
      <c r="I12" s="107"/>
      <c r="J12" s="107"/>
      <c r="K12" s="107"/>
      <c r="L12" s="107"/>
      <c r="M12" s="108"/>
    </row>
    <row r="13" spans="2:16" ht="17" thickBot="1" x14ac:dyDescent="0.25">
      <c r="C13">
        <v>1</v>
      </c>
      <c r="D13">
        <v>2</v>
      </c>
      <c r="E13">
        <v>3</v>
      </c>
      <c r="K13" s="27">
        <v>1</v>
      </c>
      <c r="L13" s="27">
        <v>2</v>
      </c>
      <c r="M13" s="27">
        <v>3</v>
      </c>
    </row>
    <row r="14" spans="2:16" ht="17" thickBot="1" x14ac:dyDescent="0.25">
      <c r="C14" s="36">
        <v>2305.65</v>
      </c>
      <c r="D14" s="45">
        <v>5484.09</v>
      </c>
      <c r="E14" s="37">
        <v>5659.98</v>
      </c>
      <c r="F14" s="38"/>
      <c r="H14" s="136" t="s">
        <v>40</v>
      </c>
      <c r="I14" s="137"/>
      <c r="J14" s="30" t="s">
        <v>41</v>
      </c>
      <c r="K14" s="39">
        <v>832.95298000000003</v>
      </c>
      <c r="L14" s="37">
        <v>423.46611000000001</v>
      </c>
      <c r="M14" s="38">
        <v>280.74020999999999</v>
      </c>
    </row>
    <row r="15" spans="2:16" ht="17" thickBot="1" x14ac:dyDescent="0.25">
      <c r="H15" s="121"/>
      <c r="I15" s="27"/>
      <c r="J15" s="30" t="s">
        <v>42</v>
      </c>
      <c r="K15" s="125" cm="1">
        <f t="array" ref="K15:M15">K14:M14*1000000000</f>
        <v>832952980000</v>
      </c>
      <c r="L15" s="126">
        <v>423466110000</v>
      </c>
      <c r="M15" s="127">
        <v>280740210000</v>
      </c>
    </row>
    <row r="16" spans="2:16" ht="17" thickBot="1" x14ac:dyDescent="0.25">
      <c r="H16" s="136" t="s">
        <v>43</v>
      </c>
      <c r="I16" s="137"/>
      <c r="J16" s="30" t="s">
        <v>19</v>
      </c>
      <c r="K16" s="44" cm="1">
        <f t="array" ref="K16:M16">K15:M15/$G$8</f>
        <v>27.784320711630443</v>
      </c>
      <c r="L16" s="45">
        <v>14.125308982923112</v>
      </c>
      <c r="M16" s="46">
        <v>9.3644854134389206</v>
      </c>
    </row>
    <row r="17" spans="2:51" ht="17" thickBot="1" x14ac:dyDescent="0.25">
      <c r="H17" s="138" t="s">
        <v>44</v>
      </c>
      <c r="I17" s="139"/>
      <c r="J17" s="30" t="s">
        <v>45</v>
      </c>
      <c r="K17" s="48" cm="1">
        <f t="array" ref="K17:M17">$D$8/(8*(PI())^2*$G$8*K16:M16)</f>
        <v>1.0075017537231852E-47</v>
      </c>
      <c r="L17" s="49">
        <v>1.981744390640737E-47</v>
      </c>
      <c r="M17" s="47">
        <v>2.9892461365578986E-47</v>
      </c>
    </row>
    <row r="18" spans="2:51" ht="17" thickBot="1" x14ac:dyDescent="0.25">
      <c r="H18" s="128"/>
      <c r="I18" s="129"/>
      <c r="J18" s="49"/>
      <c r="K18" s="49"/>
      <c r="L18" s="37"/>
      <c r="M18" s="47"/>
    </row>
    <row r="19" spans="2:51" ht="17" thickBot="1" x14ac:dyDescent="0.25">
      <c r="H19" s="138" t="s">
        <v>53</v>
      </c>
      <c r="I19" s="139"/>
      <c r="J19" s="30" t="s">
        <v>54</v>
      </c>
      <c r="K19" s="50">
        <v>39.975389999999997</v>
      </c>
      <c r="L19" s="45">
        <v>20.323139999999999</v>
      </c>
      <c r="M19" s="46">
        <v>13.47339</v>
      </c>
    </row>
    <row r="21" spans="2:51" x14ac:dyDescent="0.2">
      <c r="J21" t="s">
        <v>56</v>
      </c>
    </row>
    <row r="22" spans="2:51" ht="17" thickBot="1" x14ac:dyDescent="0.25"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2:51" ht="17" thickBot="1" x14ac:dyDescent="0.25">
      <c r="B23" s="40"/>
      <c r="C23" s="111"/>
      <c r="D23" s="10"/>
      <c r="E23" s="10"/>
      <c r="F23" s="10"/>
      <c r="G23" s="10"/>
      <c r="H23" s="10"/>
      <c r="I23" s="10"/>
      <c r="J23" s="10"/>
      <c r="K23" s="10"/>
      <c r="L23" s="10"/>
      <c r="M23" s="112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2:51" ht="17" thickBot="1" x14ac:dyDescent="0.25">
      <c r="B24" s="83"/>
      <c r="D24" s="3"/>
      <c r="E24" s="3"/>
      <c r="F24" s="3"/>
      <c r="G24" s="3"/>
      <c r="H24" s="3"/>
      <c r="I24" s="3"/>
      <c r="J24" s="3"/>
      <c r="K24" s="3"/>
      <c r="L24" s="3"/>
      <c r="M24" s="113"/>
      <c r="N24" s="3"/>
      <c r="O24" s="3"/>
      <c r="Q24" s="3"/>
      <c r="R24" s="3"/>
      <c r="S24" s="3"/>
      <c r="T24" s="3"/>
      <c r="U24" s="3"/>
      <c r="V24" s="39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2:51" ht="17" thickBot="1" x14ac:dyDescent="0.25">
      <c r="B25" s="83"/>
      <c r="D25" s="3"/>
      <c r="E25" s="3"/>
      <c r="F25" s="140" t="s">
        <v>47</v>
      </c>
      <c r="G25" s="141"/>
      <c r="H25" s="141"/>
      <c r="I25" s="141"/>
      <c r="J25" s="141"/>
      <c r="K25" s="142"/>
      <c r="L25" s="78"/>
      <c r="M25" s="84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3"/>
    </row>
    <row r="26" spans="2:51" x14ac:dyDescent="0.2">
      <c r="B26" s="83"/>
      <c r="D26" s="3"/>
      <c r="E26" s="3"/>
      <c r="F26" s="3"/>
      <c r="G26" s="3"/>
      <c r="H26" s="3"/>
      <c r="I26" s="3"/>
      <c r="J26" s="3"/>
      <c r="K26" s="3"/>
      <c r="L26" s="3"/>
      <c r="M26" s="113"/>
      <c r="N26" s="3"/>
      <c r="O26" s="3"/>
      <c r="Q26" s="3"/>
      <c r="R26" s="3"/>
      <c r="S26" s="3"/>
      <c r="T26" s="3"/>
      <c r="U26" s="3" t="s">
        <v>56</v>
      </c>
      <c r="V26" s="3"/>
      <c r="W26" s="3"/>
      <c r="X26" s="3" t="s">
        <v>56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spans="2:51" ht="17" thickBot="1" x14ac:dyDescent="0.25">
      <c r="B27" s="83"/>
      <c r="D27" s="3"/>
      <c r="E27" s="3"/>
      <c r="F27" s="3"/>
      <c r="G27" s="3"/>
      <c r="H27" s="3"/>
      <c r="I27" s="3"/>
      <c r="J27" s="3"/>
      <c r="K27" s="3"/>
      <c r="L27" s="3"/>
      <c r="M27" s="17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2:51" ht="17" thickBot="1" x14ac:dyDescent="0.25">
      <c r="B28" s="83"/>
      <c r="D28" s="102" t="s">
        <v>0</v>
      </c>
      <c r="E28" s="3"/>
      <c r="F28" s="143" t="s">
        <v>5</v>
      </c>
      <c r="G28" s="144"/>
      <c r="H28" s="144"/>
      <c r="I28" s="56"/>
      <c r="J28" s="115" t="s">
        <v>55</v>
      </c>
      <c r="M28" s="85"/>
      <c r="AY28" s="3"/>
    </row>
    <row r="29" spans="2:51" x14ac:dyDescent="0.2">
      <c r="B29" s="83"/>
      <c r="D29" s="3">
        <v>298.14999999999998</v>
      </c>
      <c r="E29" s="3"/>
      <c r="F29" s="13" cm="1">
        <f t="array" ref="F29:H46">EXP(-C14:E14/(2*D29:D46))/(1-EXP(-C14:E14/D29:D46))</f>
        <v>2.093870633749486E-2</v>
      </c>
      <c r="G29" s="14">
        <v>1.0135676034199859E-4</v>
      </c>
      <c r="H29" s="14">
        <v>7.5465650591579792E-5</v>
      </c>
      <c r="I29" s="14"/>
      <c r="J29" s="114">
        <f>PRODUCT(F29:I29)</f>
        <v>1.6015919868586144E-10</v>
      </c>
      <c r="M29" s="85"/>
      <c r="AY29" s="3"/>
    </row>
    <row r="30" spans="2:51" x14ac:dyDescent="0.2">
      <c r="B30" s="83"/>
      <c r="D30" s="3">
        <v>400</v>
      </c>
      <c r="E30" s="3"/>
      <c r="F30" s="13">
        <v>5.61954534018798E-2</v>
      </c>
      <c r="G30" s="14">
        <v>1.0540542190400461E-3</v>
      </c>
      <c r="H30" s="14">
        <v>8.4601430944749602E-4</v>
      </c>
      <c r="I30" s="14"/>
      <c r="J30" s="92">
        <f>PRODUCT(F30:I30)</f>
        <v>5.0112011910042238E-8</v>
      </c>
      <c r="M30" s="85"/>
      <c r="AY30" s="3"/>
    </row>
    <row r="31" spans="2:51" x14ac:dyDescent="0.2">
      <c r="B31" s="83"/>
      <c r="D31" s="3">
        <v>500</v>
      </c>
      <c r="E31" s="3"/>
      <c r="F31" s="13">
        <v>0.10069477270669938</v>
      </c>
      <c r="G31" s="14">
        <v>4.1523835585568864E-3</v>
      </c>
      <c r="H31" s="14">
        <v>3.482628787992729E-3</v>
      </c>
      <c r="I31" s="14"/>
      <c r="J31" s="92">
        <f t="shared" ref="J31:J45" si="0">PRODUCT(F31:I31)</f>
        <v>1.4561683063567937E-6</v>
      </c>
      <c r="M31" s="85"/>
      <c r="AY31" s="3"/>
    </row>
    <row r="32" spans="2:51" x14ac:dyDescent="0.2">
      <c r="B32" s="83"/>
      <c r="D32" s="3">
        <v>600</v>
      </c>
      <c r="E32" s="3"/>
      <c r="F32" s="13">
        <v>0.14961239418836578</v>
      </c>
      <c r="G32" s="14">
        <v>1.0358294046787933E-2</v>
      </c>
      <c r="H32" s="14">
        <v>8.9458102742423252E-3</v>
      </c>
      <c r="I32" s="14"/>
      <c r="J32" s="92">
        <f t="shared" si="0"/>
        <v>1.3863583149591452E-5</v>
      </c>
      <c r="M32" s="85"/>
      <c r="AY32" s="3"/>
    </row>
    <row r="33" spans="2:51" x14ac:dyDescent="0.2">
      <c r="B33" s="83"/>
      <c r="D33" s="3">
        <v>700</v>
      </c>
      <c r="E33" s="3"/>
      <c r="F33" s="13">
        <v>0.20007288483861385</v>
      </c>
      <c r="G33" s="14">
        <v>1.9904465202983009E-2</v>
      </c>
      <c r="H33" s="14">
        <v>1.7552921171603578E-2</v>
      </c>
      <c r="I33" s="14"/>
      <c r="J33" s="92">
        <f t="shared" si="0"/>
        <v>6.990176634905158E-5</v>
      </c>
      <c r="M33" s="85"/>
      <c r="AY33" s="3"/>
    </row>
    <row r="34" spans="2:51" x14ac:dyDescent="0.2">
      <c r="B34" s="83"/>
      <c r="D34" s="3">
        <v>800</v>
      </c>
      <c r="E34" s="3"/>
      <c r="F34" s="13">
        <v>0.25072917674949297</v>
      </c>
      <c r="G34" s="14">
        <v>3.2500440332449948E-2</v>
      </c>
      <c r="H34" s="14">
        <v>2.9110942975505469E-2</v>
      </c>
      <c r="I34" s="14"/>
      <c r="J34" s="92">
        <f t="shared" si="0"/>
        <v>2.3721950388627954E-4</v>
      </c>
      <c r="M34" s="85"/>
      <c r="AY34" s="3"/>
    </row>
    <row r="35" spans="2:51" x14ac:dyDescent="0.2">
      <c r="B35" s="83"/>
      <c r="D35" s="3">
        <v>900</v>
      </c>
      <c r="E35" s="3"/>
      <c r="F35" s="13">
        <v>0.30100938012787681</v>
      </c>
      <c r="G35" s="14">
        <v>4.7622189042931508E-2</v>
      </c>
      <c r="H35" s="14">
        <v>4.3171499121060129E-2</v>
      </c>
      <c r="I35" s="14"/>
      <c r="J35" s="92">
        <f t="shared" si="0"/>
        <v>6.1885159382000046E-4</v>
      </c>
      <c r="M35" s="85"/>
      <c r="AY35" s="3"/>
    </row>
    <row r="36" spans="2:51" x14ac:dyDescent="0.2">
      <c r="B36" s="83"/>
      <c r="D36" s="3">
        <v>1000</v>
      </c>
      <c r="E36" s="3"/>
      <c r="F36" s="13">
        <v>0.35070689882886397</v>
      </c>
      <c r="G36" s="14">
        <v>6.4707119606108698E-2</v>
      </c>
      <c r="H36" s="14">
        <v>5.9219681467063058E-2</v>
      </c>
      <c r="I36" s="14"/>
      <c r="J36" s="92">
        <f t="shared" si="0"/>
        <v>1.343886044475789E-3</v>
      </c>
      <c r="M36" s="85"/>
      <c r="AY36" s="3"/>
    </row>
    <row r="37" spans="2:51" x14ac:dyDescent="0.2">
      <c r="B37" s="83"/>
      <c r="D37" s="3">
        <v>1100</v>
      </c>
      <c r="E37" s="3"/>
      <c r="F37" s="13">
        <v>0.39977996288009232</v>
      </c>
      <c r="G37" s="14">
        <v>8.32498794497019E-2</v>
      </c>
      <c r="H37" s="14">
        <v>7.6775076726208258E-2</v>
      </c>
      <c r="I37" s="14"/>
      <c r="J37" s="92">
        <f t="shared" si="0"/>
        <v>2.5551999821328175E-3</v>
      </c>
      <c r="M37" s="85"/>
      <c r="AY37" s="3"/>
    </row>
    <row r="38" spans="2:51" x14ac:dyDescent="0.2">
      <c r="B38" s="83"/>
      <c r="D38" s="3">
        <v>1200</v>
      </c>
      <c r="E38" s="3"/>
      <c r="F38" s="13">
        <v>0.44825704101079428</v>
      </c>
      <c r="G38" s="14">
        <v>0.10283532997158724</v>
      </c>
      <c r="H38" s="14">
        <v>9.5432159278979009E-2</v>
      </c>
      <c r="I38" s="14"/>
      <c r="J38" s="92">
        <f t="shared" si="0"/>
        <v>4.3991038684830838E-3</v>
      </c>
      <c r="M38" s="85"/>
      <c r="AY38" s="3"/>
    </row>
    <row r="39" spans="2:51" x14ac:dyDescent="0.2">
      <c r="B39" s="83"/>
      <c r="D39" s="3">
        <v>1300</v>
      </c>
      <c r="E39" s="3"/>
      <c r="F39" s="13">
        <v>0.49619296598140022</v>
      </c>
      <c r="G39" s="14">
        <v>0.123139710502324</v>
      </c>
      <c r="H39" s="14">
        <v>0.1148676655154572</v>
      </c>
      <c r="I39" s="14"/>
      <c r="J39" s="92">
        <f t="shared" si="0"/>
        <v>7.0185359141476684E-3</v>
      </c>
      <c r="M39" s="85"/>
      <c r="AY39" s="3"/>
    </row>
    <row r="40" spans="2:51" x14ac:dyDescent="0.2">
      <c r="B40" s="83"/>
      <c r="D40" s="3">
        <v>1400</v>
      </c>
      <c r="E40" s="3"/>
      <c r="F40" s="13">
        <v>0.54364900744981015</v>
      </c>
      <c r="G40" s="14">
        <v>0.14391874874155966</v>
      </c>
      <c r="H40" s="14">
        <v>0.1348330234454215</v>
      </c>
      <c r="I40" s="14"/>
      <c r="J40" s="92">
        <f t="shared" si="0"/>
        <v>1.0549509002234088E-2</v>
      </c>
      <c r="M40" s="85"/>
      <c r="AY40" s="3"/>
    </row>
    <row r="41" spans="2:51" x14ac:dyDescent="0.2">
      <c r="B41" s="83"/>
      <c r="D41" s="3">
        <v>1500</v>
      </c>
      <c r="E41" s="3"/>
      <c r="F41" s="13">
        <v>0.59068422301354928</v>
      </c>
      <c r="G41" s="14">
        <v>0.16499232193198279</v>
      </c>
      <c r="H41" s="14">
        <v>0.15514171515180025</v>
      </c>
      <c r="I41" s="14"/>
      <c r="J41" s="92">
        <f t="shared" si="0"/>
        <v>1.5119857356449022E-2</v>
      </c>
      <c r="M41" s="85"/>
      <c r="AY41" s="3"/>
    </row>
    <row r="42" spans="2:51" x14ac:dyDescent="0.2">
      <c r="B42" s="83"/>
      <c r="D42" s="3">
        <v>1600</v>
      </c>
      <c r="E42" s="3"/>
      <c r="F42" s="13">
        <v>0.63735209801002968</v>
      </c>
      <c r="G42" s="14">
        <v>0.18622992306938721</v>
      </c>
      <c r="H42" s="14">
        <v>0.17565629848572029</v>
      </c>
      <c r="I42" s="14"/>
      <c r="J42" s="92">
        <f t="shared" si="0"/>
        <v>2.0849354345175174E-2</v>
      </c>
      <c r="M42" s="85"/>
      <c r="AY42" s="3"/>
    </row>
    <row r="43" spans="2:51" x14ac:dyDescent="0.2">
      <c r="B43" s="83"/>
      <c r="D43" s="3">
        <v>1700</v>
      </c>
      <c r="E43" s="3"/>
      <c r="F43" s="13">
        <v>0.68369962647359739</v>
      </c>
      <c r="G43" s="14">
        <v>0.20753843691333221</v>
      </c>
      <c r="H43" s="14">
        <v>0.19627700358848016</v>
      </c>
      <c r="I43" s="14"/>
      <c r="J43" s="92">
        <f t="shared" si="0"/>
        <v>2.7850519685956934E-2</v>
      </c>
      <c r="M43" s="85"/>
      <c r="AY43" s="3"/>
    </row>
    <row r="44" spans="2:51" x14ac:dyDescent="0.2">
      <c r="B44" s="83"/>
      <c r="D44" s="3">
        <v>1800</v>
      </c>
      <c r="E44" s="3"/>
      <c r="F44" s="13">
        <v>0.72976747309272461</v>
      </c>
      <c r="G44" s="14">
        <v>0.22885246187950312</v>
      </c>
      <c r="H44" s="14">
        <v>0.21693243461768627</v>
      </c>
      <c r="I44" s="14"/>
      <c r="J44" s="92">
        <f t="shared" si="0"/>
        <v>3.6229686938726954E-2</v>
      </c>
      <c r="M44" s="85"/>
      <c r="AY44" s="3"/>
    </row>
    <row r="45" spans="2:51" x14ac:dyDescent="0.2">
      <c r="B45" s="83"/>
      <c r="D45" s="3">
        <v>1900</v>
      </c>
      <c r="E45" s="3"/>
      <c r="F45" s="13">
        <v>0.77559056779092284</v>
      </c>
      <c r="G45" s="14">
        <v>0.25012690649350872</v>
      </c>
      <c r="H45" s="14">
        <v>0.23757229686905704</v>
      </c>
      <c r="I45" s="14"/>
      <c r="J45" s="92">
        <f t="shared" si="0"/>
        <v>4.6088091797362229E-2</v>
      </c>
      <c r="L45" t="s">
        <v>56</v>
      </c>
      <c r="M45" s="85"/>
      <c r="AY45" s="3"/>
    </row>
    <row r="46" spans="2:51" ht="17" thickBot="1" x14ac:dyDescent="0.25">
      <c r="B46" s="83"/>
      <c r="D46" s="3">
        <v>2000</v>
      </c>
      <c r="E46" s="3"/>
      <c r="F46" s="19">
        <v>0.82119882849471615</v>
      </c>
      <c r="G46" s="20">
        <v>0.2713314415617244</v>
      </c>
      <c r="H46" s="20">
        <v>0.25816184777506579</v>
      </c>
      <c r="I46" s="20"/>
      <c r="J46" s="93">
        <f>PRODUCT(F46:I46)</f>
        <v>5.7522864427344195E-2</v>
      </c>
      <c r="M46" s="85"/>
      <c r="AY46" s="3"/>
    </row>
    <row r="47" spans="2:51" x14ac:dyDescent="0.2">
      <c r="B47" s="83"/>
      <c r="D47" s="3"/>
      <c r="E47" s="3"/>
      <c r="F47" s="14"/>
      <c r="G47" s="14"/>
      <c r="H47" s="14"/>
      <c r="I47" s="14"/>
      <c r="J47" s="14"/>
      <c r="K47" s="3"/>
      <c r="L47" s="3"/>
      <c r="M47" s="17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2:51" x14ac:dyDescent="0.2">
      <c r="B48" s="83"/>
      <c r="D48" s="3"/>
      <c r="E48" s="3"/>
      <c r="F48" s="14"/>
      <c r="G48" s="14"/>
      <c r="H48" s="14"/>
      <c r="I48" s="14"/>
      <c r="J48" s="14"/>
      <c r="K48" s="3"/>
      <c r="L48" s="3"/>
      <c r="M48" s="17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2:51" ht="17" thickBot="1" x14ac:dyDescent="0.25">
      <c r="B49" s="83"/>
      <c r="D49" s="3"/>
      <c r="E49" s="3"/>
      <c r="J49" s="14"/>
      <c r="K49" s="3"/>
      <c r="L49" s="3"/>
      <c r="M49" s="17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2:51" ht="17" thickBot="1" x14ac:dyDescent="0.25">
      <c r="B50" s="83"/>
      <c r="D50" s="102" t="s">
        <v>0</v>
      </c>
      <c r="E50" s="3"/>
      <c r="F50" s="145" t="s">
        <v>9</v>
      </c>
      <c r="G50" s="146"/>
      <c r="H50" s="146"/>
      <c r="I50" s="64"/>
      <c r="J50" s="4" t="s">
        <v>6</v>
      </c>
      <c r="K50" s="60" t="s">
        <v>7</v>
      </c>
      <c r="L50" s="3"/>
      <c r="M50" s="17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2:51" x14ac:dyDescent="0.2">
      <c r="B51" s="83"/>
      <c r="D51" s="3">
        <v>298.14999999999998</v>
      </c>
      <c r="E51" s="3"/>
      <c r="F51" s="9" cm="1">
        <f t="array" ref="F51:H68">(C14:E14^2 * EXP(C14:E14/D29:D46)) / (D29:D46^2 * (EXP(C14:E14/D29:D46) - 1)^2)</f>
        <v>2.6219042523692067E-2</v>
      </c>
      <c r="G51" s="10">
        <v>3.4757214255942255E-6</v>
      </c>
      <c r="H51" s="10">
        <v>2.0523848808695647E-6</v>
      </c>
      <c r="I51" s="10"/>
      <c r="J51" s="9">
        <f t="array" ref="J51">SUM(F51:H51)</f>
        <v>2.6224570629998532E-2</v>
      </c>
      <c r="K51" s="61">
        <f t="array" ref="K51">PRODUCT(J51,$H$8,$I$8)</f>
        <v>5.2113578405982464E-2</v>
      </c>
      <c r="M51" s="8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2:51" x14ac:dyDescent="0.2">
      <c r="B52" s="83"/>
      <c r="D52" s="3">
        <v>400</v>
      </c>
      <c r="E52" s="3"/>
      <c r="F52" s="16">
        <v>0.1049226231472118</v>
      </c>
      <c r="G52" s="3">
        <v>2.0884066434512141E-4</v>
      </c>
      <c r="H52" s="3">
        <v>1.4330628178449759E-4</v>
      </c>
      <c r="I52" s="3"/>
      <c r="J52" s="16">
        <f t="array" ref="J52">SUM(F52:H52)</f>
        <v>0.10527477009334142</v>
      </c>
      <c r="K52" s="61">
        <f t="array" ref="K52">PRODUCT(J52,$H$8,$I$8)</f>
        <v>0.20920247133256623</v>
      </c>
      <c r="M52" s="8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2:51" x14ac:dyDescent="0.2">
      <c r="B53" s="83"/>
      <c r="D53" s="3">
        <v>500</v>
      </c>
      <c r="E53" s="3"/>
      <c r="F53" s="16">
        <v>0.21560588282090318</v>
      </c>
      <c r="G53" s="3">
        <v>2.0742641611901065E-3</v>
      </c>
      <c r="H53" s="3">
        <v>1.554190162806404E-3</v>
      </c>
      <c r="I53" s="3"/>
      <c r="J53" s="16">
        <f t="array" ref="J53">SUM(F53:H53)</f>
        <v>0.21923433714489968</v>
      </c>
      <c r="K53" s="61">
        <f t="array" ref="K53">PRODUCT(J53,$H$8,$I$8)</f>
        <v>0.43566340815567289</v>
      </c>
      <c r="M53" s="8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2:51" x14ac:dyDescent="0.2">
      <c r="B54" s="83"/>
      <c r="D54" s="3">
        <v>600</v>
      </c>
      <c r="E54" s="3"/>
      <c r="F54" s="16">
        <v>0.3305364878571686</v>
      </c>
      <c r="G54" s="3">
        <v>8.9636133950198472E-3</v>
      </c>
      <c r="H54" s="3">
        <v>7.1214209677024735E-3</v>
      </c>
      <c r="I54" s="3"/>
      <c r="J54" s="16">
        <f t="array" ref="J54">SUM(F54:H54)</f>
        <v>0.3466215222198909</v>
      </c>
      <c r="K54" s="61">
        <f t="array" ref="K54">PRODUCT(J54,$H$8,$I$8)</f>
        <v>0.6888077646824865</v>
      </c>
      <c r="M54" s="8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2:51" x14ac:dyDescent="0.2">
      <c r="B55" s="83"/>
      <c r="D55" s="3">
        <v>700</v>
      </c>
      <c r="E55" s="3"/>
      <c r="F55" s="16">
        <v>0.43427732265250135</v>
      </c>
      <c r="G55" s="3">
        <v>2.4317229500000734E-2</v>
      </c>
      <c r="H55" s="3">
        <v>2.0143387995170847E-2</v>
      </c>
      <c r="I55" s="3"/>
      <c r="J55" s="16">
        <f t="array" ref="J55">SUM(F55:H55)</f>
        <v>0.47873794014767296</v>
      </c>
      <c r="K55" s="61">
        <f t="array" ref="K55">PRODUCT(J55,$H$8,$I$8)</f>
        <v>0.95135007286888384</v>
      </c>
      <c r="M55" s="8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2:51" x14ac:dyDescent="0.2">
      <c r="B56" s="83"/>
      <c r="D56" s="3">
        <v>800</v>
      </c>
      <c r="E56" s="3"/>
      <c r="F56" s="16">
        <v>0.52217555698626006</v>
      </c>
      <c r="G56" s="3">
        <v>4.9637244315224698E-2</v>
      </c>
      <c r="H56" s="3">
        <v>4.2419189501735975E-2</v>
      </c>
      <c r="I56" s="3"/>
      <c r="J56" s="16">
        <f t="array" ref="J56">SUM(F56:H56)</f>
        <v>0.61423199080322066</v>
      </c>
      <c r="K56" s="61">
        <f t="array" ref="K56">PRODUCT(J56,$H$8,$I$8)</f>
        <v>1.2206044271920318</v>
      </c>
      <c r="M56" s="8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2:51" x14ac:dyDescent="0.2">
      <c r="B57" s="83"/>
      <c r="D57" s="3">
        <v>900</v>
      </c>
      <c r="E57" s="3"/>
      <c r="F57" s="16">
        <v>0.59465052021895126</v>
      </c>
      <c r="G57" s="3">
        <v>8.4205961145112154E-2</v>
      </c>
      <c r="H57" s="3">
        <v>7.3712142362487409E-2</v>
      </c>
      <c r="I57" s="3"/>
      <c r="J57" s="16">
        <f t="array" ref="J57">SUM(F57:H57)</f>
        <v>0.75256862372655076</v>
      </c>
      <c r="K57" s="61">
        <f t="array" ref="K57">PRODUCT(J57,$H$8,$I$8)</f>
        <v>1.4955075730998961</v>
      </c>
      <c r="M57" s="8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2:51" x14ac:dyDescent="0.2">
      <c r="B58" s="83"/>
      <c r="D58" s="3">
        <v>1000</v>
      </c>
      <c r="E58" s="3"/>
      <c r="F58" s="16">
        <v>0.65384586472391903</v>
      </c>
      <c r="G58" s="3">
        <v>0.12592538366126543</v>
      </c>
      <c r="H58" s="3">
        <v>0.11234711571713649</v>
      </c>
      <c r="I58" s="3"/>
      <c r="J58" s="16">
        <f t="array" ref="J58">SUM(F58:H58)</f>
        <v>0.89211836410232093</v>
      </c>
      <c r="K58" s="61">
        <f t="array" ref="K58">PRODUCT(J58,$H$8,$I$8)</f>
        <v>1.7728214113020051</v>
      </c>
      <c r="M58" s="8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2:51" x14ac:dyDescent="0.2">
      <c r="B59" s="83"/>
      <c r="D59" s="3">
        <v>1100</v>
      </c>
      <c r="E59" s="3"/>
      <c r="F59" s="16">
        <v>0.70217189029730509</v>
      </c>
      <c r="G59" s="3">
        <v>0.17226260210201555</v>
      </c>
      <c r="H59" s="3">
        <v>0.15605760627366858</v>
      </c>
      <c r="I59" s="3"/>
      <c r="J59" s="16">
        <f t="array" ref="J59">SUM(F59:H59)</f>
        <v>1.0304920986729891</v>
      </c>
      <c r="K59" s="61">
        <f t="array" ref="K59">PRODUCT(J59,$H$8,$I$8)</f>
        <v>2.0477982857614183</v>
      </c>
      <c r="M59" s="8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2:51" x14ac:dyDescent="0.2">
      <c r="B60" s="83"/>
      <c r="D60" s="3">
        <v>1200</v>
      </c>
      <c r="E60" s="3"/>
      <c r="F60" s="16">
        <v>0.74178579271137102</v>
      </c>
      <c r="G60" s="3">
        <v>0.22086726159579326</v>
      </c>
      <c r="H60" s="3">
        <v>0.20260809907946065</v>
      </c>
      <c r="I60" s="3"/>
      <c r="J60" s="16">
        <f t="array" ref="J60">SUM(F60:H60)</f>
        <v>1.1652611533866248</v>
      </c>
      <c r="K60" s="61">
        <f t="array" ref="K60">PRODUCT(J60,$H$8,$I$8)</f>
        <v>2.3156119250621576</v>
      </c>
      <c r="M60" s="8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2:51" x14ac:dyDescent="0.2">
      <c r="B61" s="83"/>
      <c r="D61" s="3">
        <v>1300</v>
      </c>
      <c r="E61" s="3"/>
      <c r="F61" s="16">
        <v>0.77446405451407241</v>
      </c>
      <c r="G61" s="3">
        <v>0.26984768629962552</v>
      </c>
      <c r="H61" s="3">
        <v>0.25011438959289195</v>
      </c>
      <c r="I61" s="3"/>
      <c r="J61" s="16">
        <f t="array" ref="J61">SUM(F61:H61)</f>
        <v>1.2944261304065898</v>
      </c>
      <c r="K61" s="61">
        <f t="array" ref="K61">PRODUCT(J61,$H$8,$I$8)</f>
        <v>2.572289117310901</v>
      </c>
      <c r="M61" s="8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2:51" x14ac:dyDescent="0.2">
      <c r="B62" s="83"/>
      <c r="D62" s="3">
        <v>1400</v>
      </c>
      <c r="E62" s="3"/>
      <c r="F62" s="16">
        <v>0.80161879422290072</v>
      </c>
      <c r="G62" s="3">
        <v>0.31782483084930441</v>
      </c>
      <c r="H62" s="3">
        <v>0.29714352288148177</v>
      </c>
      <c r="I62" s="3"/>
      <c r="J62" s="16">
        <f t="array" ref="J62">SUM(F62:H62)</f>
        <v>1.4165871479536869</v>
      </c>
      <c r="K62" s="61">
        <f t="array" ref="K62">PRODUCT(J62,$H$8,$I$8)</f>
        <v>2.8150480114760863</v>
      </c>
      <c r="M62" s="8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2:51" x14ac:dyDescent="0.2">
      <c r="B63" s="83"/>
      <c r="D63" s="3">
        <v>1500</v>
      </c>
      <c r="E63" s="3"/>
      <c r="F63" s="16">
        <v>0.82435634957074777</v>
      </c>
      <c r="G63" s="3">
        <v>0.36387657440620325</v>
      </c>
      <c r="H63" s="3">
        <v>0.34269238331114465</v>
      </c>
      <c r="I63" s="3"/>
      <c r="J63" s="16">
        <f t="array" ref="J63">SUM(F63:H63)</f>
        <v>1.5309253072880957</v>
      </c>
      <c r="K63" s="61">
        <f t="array" ref="K63">PRODUCT(J63,$H$8,$I$8)</f>
        <v>3.0422612884955149</v>
      </c>
      <c r="M63" s="8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2:51" x14ac:dyDescent="0.2">
      <c r="B64" s="83"/>
      <c r="D64" s="3">
        <v>1600</v>
      </c>
      <c r="E64" s="3"/>
      <c r="F64" s="16">
        <v>0.84353991472544232</v>
      </c>
      <c r="G64" s="3">
        <v>0.40744417120275833</v>
      </c>
      <c r="H64" s="3">
        <v>0.38611554044895086</v>
      </c>
      <c r="I64" s="3"/>
      <c r="J64" s="16">
        <f t="array" ref="J64">SUM(F64:H64)</f>
        <v>1.6370996263771516</v>
      </c>
      <c r="K64" s="61">
        <f t="array" ref="K64">PRODUCT(J64,$H$8,$I$8)</f>
        <v>3.2532513474221583</v>
      </c>
      <c r="M64" s="8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2:51" x14ac:dyDescent="0.2">
      <c r="B65" s="83"/>
      <c r="D65" s="3">
        <v>1700</v>
      </c>
      <c r="E65" s="3"/>
      <c r="F65" s="16">
        <v>0.85984388249394728</v>
      </c>
      <c r="G65" s="3">
        <v>0.44823770628561804</v>
      </c>
      <c r="H65" s="3">
        <v>0.42704219529740994</v>
      </c>
      <c r="I65" s="3"/>
      <c r="J65" s="16">
        <f t="array" ref="J65">SUM(F65:H65)</f>
        <v>1.7351237840769753</v>
      </c>
      <c r="K65" s="61">
        <f t="array" ref="K65">PRODUCT(J65,$H$8,$I$8)</f>
        <v>3.448045370937137</v>
      </c>
      <c r="M65" s="8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2:51" x14ac:dyDescent="0.2">
      <c r="B66" s="83"/>
      <c r="D66" s="3">
        <v>1800</v>
      </c>
      <c r="E66" s="3"/>
      <c r="F66" s="16">
        <v>0.87379741896650387</v>
      </c>
      <c r="G66" s="3">
        <v>0.4861556238903168</v>
      </c>
      <c r="H66" s="3">
        <v>0.46530076185504676</v>
      </c>
      <c r="I66" s="3"/>
      <c r="J66" s="16">
        <f t="array" ref="J66">SUM(F66:H66)</f>
        <v>1.8252538047118674</v>
      </c>
      <c r="K66" s="61">
        <f t="array" ref="K66">PRODUCT(J66,$H$8,$I$8)</f>
        <v>3.6271521316677138</v>
      </c>
      <c r="L66" s="83"/>
      <c r="M66" s="8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2:51" x14ac:dyDescent="0.2">
      <c r="B67" s="83"/>
      <c r="D67" s="3">
        <v>1900</v>
      </c>
      <c r="E67" s="3"/>
      <c r="F67" s="16">
        <v>0.88581819995104516</v>
      </c>
      <c r="G67" s="3">
        <v>0.52122203648177512</v>
      </c>
      <c r="H67" s="3">
        <v>0.5008575032593291</v>
      </c>
      <c r="I67" s="3"/>
      <c r="J67" s="16">
        <f t="array" ref="J67">SUM(F67:H67)</f>
        <v>1.9078977396921495</v>
      </c>
      <c r="K67" s="61">
        <f t="array" ref="K67">PRODUCT(J67,$H$8,$I$8)</f>
        <v>3.7913825111137429</v>
      </c>
      <c r="M67" s="8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2:51" ht="17" thickBot="1" x14ac:dyDescent="0.25">
      <c r="B68" s="83"/>
      <c r="D68" s="3">
        <v>2000</v>
      </c>
      <c r="E68" s="3"/>
      <c r="F68" s="22">
        <v>0.89623812461460128</v>
      </c>
      <c r="G68" s="23">
        <v>0.55354049775268888</v>
      </c>
      <c r="H68" s="23">
        <v>0.53376970803186563</v>
      </c>
      <c r="I68" s="23"/>
      <c r="J68" s="22">
        <f t="array" ref="J68">SUM(F68:H68)</f>
        <v>1.9835483303991559</v>
      </c>
      <c r="K68" s="62">
        <f t="array" ref="K68">PRODUCT(J68,$H$8,$I$8)</f>
        <v>3.9417156870460381</v>
      </c>
      <c r="M68" s="8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2:51" x14ac:dyDescent="0.2">
      <c r="B69" s="83"/>
      <c r="D69" s="3"/>
      <c r="E69" s="3"/>
      <c r="F69" s="3"/>
      <c r="G69" s="3"/>
      <c r="H69" s="3"/>
      <c r="I69" s="3"/>
      <c r="J69" s="3"/>
      <c r="K69" s="3"/>
      <c r="M69" s="8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2:51" x14ac:dyDescent="0.2">
      <c r="B70" s="83"/>
      <c r="D70" s="3"/>
      <c r="E70" s="3"/>
      <c r="F70" s="3"/>
      <c r="G70" s="3"/>
      <c r="H70" s="3"/>
      <c r="I70" s="3"/>
      <c r="J70" s="3"/>
      <c r="K70" s="3"/>
      <c r="M70" s="8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2:51" ht="17" thickBot="1" x14ac:dyDescent="0.25">
      <c r="B71" s="83"/>
      <c r="D71" s="3"/>
      <c r="E71" s="3"/>
      <c r="F71" s="3"/>
      <c r="G71" s="3"/>
      <c r="H71" s="3"/>
      <c r="I71" s="3"/>
      <c r="J71" s="3"/>
      <c r="K71" s="3"/>
      <c r="M71" s="8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2:51" ht="17" thickBot="1" x14ac:dyDescent="0.25">
      <c r="B72" s="83"/>
      <c r="D72" s="102" t="s">
        <v>0</v>
      </c>
      <c r="E72" s="3"/>
      <c r="F72" s="147" t="s">
        <v>10</v>
      </c>
      <c r="G72" s="148"/>
      <c r="H72" s="148"/>
      <c r="I72" s="82"/>
      <c r="J72" s="5" t="s">
        <v>6</v>
      </c>
      <c r="K72" s="68" t="s">
        <v>11</v>
      </c>
      <c r="M72" s="8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2:51" x14ac:dyDescent="0.2">
      <c r="B73" s="83"/>
      <c r="D73" s="3">
        <v>298.14999999999998</v>
      </c>
      <c r="E73" s="3"/>
      <c r="F73" s="9" cm="1">
        <f t="array" ref="F73:H90">(C14:E14/D29:D46) / (EXP(C14:E14/D29:D46) - 1)-LN(1 - EXP(-C14:E14/D29:D46))</f>
        <v>3.8271133492084994E-3</v>
      </c>
      <c r="G73" s="10">
        <v>1.9923550591878368E-7</v>
      </c>
      <c r="H73" s="10">
        <v>1.1380826415039594E-7</v>
      </c>
      <c r="I73" s="10"/>
      <c r="J73" s="12">
        <f t="array" ref="J73">SUM(F73:H73)</f>
        <v>3.8274263929785686E-3</v>
      </c>
      <c r="K73" s="66">
        <f t="array" ref="K73">PRODUCT(J73,$H$8,$I$8)</f>
        <v>7.6058780232401623E-3</v>
      </c>
      <c r="M73" s="8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2:51" x14ac:dyDescent="0.2">
      <c r="B74" s="83"/>
      <c r="D74" s="3">
        <v>400</v>
      </c>
      <c r="E74" s="3"/>
      <c r="F74" s="16">
        <v>2.1288649108398824E-2</v>
      </c>
      <c r="G74" s="3">
        <v>1.6343486870694493E-5</v>
      </c>
      <c r="H74" s="3">
        <v>1.0843420404426343E-5</v>
      </c>
      <c r="I74" s="3"/>
      <c r="J74" s="18">
        <f t="array" ref="J74">SUM(F74:H74)</f>
        <v>2.1315836015673946E-2</v>
      </c>
      <c r="K74" s="66">
        <f t="array" ref="K74">PRODUCT(J74,$H$8,$I$8)</f>
        <v>4.2358920081657453E-2</v>
      </c>
      <c r="M74" s="85"/>
      <c r="O74" t="s">
        <v>56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2:51" x14ac:dyDescent="0.2">
      <c r="B75" s="83"/>
      <c r="D75" s="3">
        <v>500</v>
      </c>
      <c r="E75" s="3"/>
      <c r="F75" s="16">
        <v>5.6279894240846146E-2</v>
      </c>
      <c r="G75" s="3">
        <v>2.0635511434833869E-4</v>
      </c>
      <c r="H75" s="3">
        <v>1.4942325335971877E-4</v>
      </c>
      <c r="I75" s="3"/>
      <c r="J75" s="18">
        <f t="array" ref="J75">SUM(F75:H75)</f>
        <v>5.6635672608554205E-2</v>
      </c>
      <c r="K75" s="66">
        <f t="array" ref="K75">PRODUCT(J75,$H$8,$I$8)</f>
        <v>0.11254664973180566</v>
      </c>
      <c r="M75" s="8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2:51" x14ac:dyDescent="0.2">
      <c r="B76" s="83"/>
      <c r="D76" s="3">
        <v>600</v>
      </c>
      <c r="E76" s="3"/>
      <c r="F76" s="16">
        <v>0.10583953456763634</v>
      </c>
      <c r="G76" s="3">
        <v>1.0878573821871728E-3</v>
      </c>
      <c r="H76" s="3">
        <v>8.3488112978069486E-4</v>
      </c>
      <c r="I76" s="3"/>
      <c r="J76" s="18">
        <f t="array" ref="J76">SUM(F76:H76)</f>
        <v>0.1077622730796042</v>
      </c>
      <c r="K76" s="66">
        <f t="array" ref="K76">PRODUCT(J76,$H$8,$I$8)</f>
        <v>0.21414564785731102</v>
      </c>
      <c r="M76" s="8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2:51" x14ac:dyDescent="0.2">
      <c r="B77" s="83"/>
      <c r="D77" s="3">
        <v>700</v>
      </c>
      <c r="E77" s="3"/>
      <c r="F77" s="16">
        <v>0.16477350911870181</v>
      </c>
      <c r="G77" s="3">
        <v>3.4986225928367479E-3</v>
      </c>
      <c r="H77" s="3">
        <v>2.7984361886657372E-3</v>
      </c>
      <c r="I77" s="3"/>
      <c r="J77" s="18">
        <f t="array" ref="J77">SUM(F77:H77)</f>
        <v>0.17107056790020431</v>
      </c>
      <c r="K77" s="66">
        <f t="array" ref="K77">PRODUCT(J77,$H$8,$I$8)</f>
        <v>0.33995216085731361</v>
      </c>
      <c r="M77" s="8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2:51" x14ac:dyDescent="0.2">
      <c r="B78" s="83"/>
      <c r="D78" s="3">
        <v>800</v>
      </c>
      <c r="E78" s="3"/>
      <c r="F78" s="16">
        <v>0.22868094685417387</v>
      </c>
      <c r="G78" s="3">
        <v>8.2878854343719655E-3</v>
      </c>
      <c r="H78" s="3">
        <v>6.8369657049492036E-3</v>
      </c>
      <c r="I78" s="3"/>
      <c r="J78" s="18">
        <f t="array" ref="J78">SUM(F78:H78)</f>
        <v>0.24380579799349505</v>
      </c>
      <c r="K78" s="66">
        <f t="array" ref="K78">PRODUCT(J78,$H$8,$I$8)</f>
        <v>0.48449191976600292</v>
      </c>
      <c r="M78" s="8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2:51" x14ac:dyDescent="0.2">
      <c r="B79" s="83"/>
      <c r="D79" s="3">
        <v>900</v>
      </c>
      <c r="E79" s="3"/>
      <c r="F79" s="16">
        <v>0.29451090154021631</v>
      </c>
      <c r="G79" s="3">
        <v>1.6048130242115072E-2</v>
      </c>
      <c r="H79" s="3">
        <v>1.3557878368080471E-2</v>
      </c>
      <c r="I79" s="3"/>
      <c r="J79" s="18">
        <f t="array" ref="J79">SUM(F79:H79)</f>
        <v>0.32411691015041183</v>
      </c>
      <c r="K79" s="66">
        <f t="array" ref="K79">PRODUCT(J79,$H$8,$I$8)</f>
        <v>0.64408650376554155</v>
      </c>
      <c r="M79" s="8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2:51" x14ac:dyDescent="0.2">
      <c r="B80" s="83"/>
      <c r="D80" s="3">
        <v>1000</v>
      </c>
      <c r="E80" s="3"/>
      <c r="F80" s="16">
        <v>0.36033309446406125</v>
      </c>
      <c r="G80" s="3">
        <v>2.7027558535793077E-2</v>
      </c>
      <c r="H80" s="3">
        <v>2.3268921542903019E-2</v>
      </c>
      <c r="I80" s="3"/>
      <c r="J80" s="18">
        <f t="array" ref="J80">SUM(F80:H80)</f>
        <v>0.41062957454275734</v>
      </c>
      <c r="K80" s="66">
        <f t="array" ref="K80">PRODUCT(J80,$H$8,$I$8)</f>
        <v>0.81600483877018215</v>
      </c>
      <c r="M80" s="8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2:51" x14ac:dyDescent="0.2">
      <c r="B81" s="83"/>
      <c r="D81" s="3">
        <v>1100</v>
      </c>
      <c r="E81" s="3"/>
      <c r="F81" s="16">
        <v>0.42499490334429529</v>
      </c>
      <c r="G81" s="3">
        <v>4.1175850431906608E-2</v>
      </c>
      <c r="H81" s="3">
        <v>3.5995595898370952E-2</v>
      </c>
      <c r="I81" s="3"/>
      <c r="J81" s="18">
        <f t="array" ref="J81">SUM(F81:H81)</f>
        <v>0.50216634967457285</v>
      </c>
      <c r="K81" s="66">
        <f t="array" ref="K81">PRODUCT(J81,$H$8,$I$8)</f>
        <v>0.99790710802624583</v>
      </c>
      <c r="M81" s="8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2:51" x14ac:dyDescent="0.2">
      <c r="B82" s="83"/>
      <c r="D82" s="3">
        <v>1200</v>
      </c>
      <c r="E82" s="3"/>
      <c r="F82" s="16">
        <v>0.48784650633409221</v>
      </c>
      <c r="G82" s="3">
        <v>5.8239662623181289E-2</v>
      </c>
      <c r="H82" s="3">
        <v>5.155702966385986E-2</v>
      </c>
      <c r="I82" s="3"/>
      <c r="J82" s="18">
        <f t="array" ref="J82">SUM(F82:H82)</f>
        <v>0.59764319862113335</v>
      </c>
      <c r="K82" s="66">
        <f t="array" ref="K82">PRODUCT(J82,$H$8,$I$8)</f>
        <v>1.1876391087416758</v>
      </c>
      <c r="M82" s="8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2:51" x14ac:dyDescent="0.2">
      <c r="B83" s="83"/>
      <c r="D83" s="3">
        <v>1300</v>
      </c>
      <c r="E83" s="3"/>
      <c r="F83" s="16">
        <v>0.54855257573376515</v>
      </c>
      <c r="G83" s="3">
        <v>7.7855280409327959E-2</v>
      </c>
      <c r="H83" s="3">
        <v>6.9649185296688509E-2</v>
      </c>
      <c r="I83" s="3"/>
      <c r="J83" s="18">
        <f t="array" ref="J83">SUM(F83:H83)</f>
        <v>0.69605704143978164</v>
      </c>
      <c r="K83" s="66">
        <f t="array" ref="K83">PRODUCT(J83,$H$8,$I$8)</f>
        <v>1.3832075161838513</v>
      </c>
      <c r="M83" s="8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2:51" x14ac:dyDescent="0.2">
      <c r="B84" s="83"/>
      <c r="D84" s="3">
        <v>1400</v>
      </c>
      <c r="E84" s="3"/>
      <c r="F84" s="16">
        <v>0.60697068956626077</v>
      </c>
      <c r="G84" s="3">
        <v>9.9618436242913347E-2</v>
      </c>
      <c r="H84" s="3">
        <v>8.9912237815605672E-2</v>
      </c>
      <c r="I84" s="3"/>
      <c r="J84" s="18">
        <f t="array" ref="J84">SUM(F84:H84)</f>
        <v>0.79650136362477975</v>
      </c>
      <c r="K84" s="66">
        <f t="array" ref="K84">PRODUCT(J84,$H$8,$I$8)</f>
        <v>1.5828109008675209</v>
      </c>
      <c r="M84" s="8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2:51" x14ac:dyDescent="0.2">
      <c r="B85" s="83"/>
      <c r="D85" s="3">
        <v>1500</v>
      </c>
      <c r="E85" s="3"/>
      <c r="F85" s="16">
        <v>0.66307470960018988</v>
      </c>
      <c r="G85" s="3">
        <v>0.12312944063665256</v>
      </c>
      <c r="H85" s="3">
        <v>0.11197692274353911</v>
      </c>
      <c r="I85" s="3"/>
      <c r="J85" s="18">
        <f t="array" ref="J85">SUM(F85:H85)</f>
        <v>0.89818107298038152</v>
      </c>
      <c r="K85" s="66">
        <f t="array" ref="K85">PRODUCT(J85,$H$8,$I$8)</f>
        <v>1.7848692521962251</v>
      </c>
      <c r="M85" s="8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2:51" x14ac:dyDescent="0.2">
      <c r="B86" s="83"/>
      <c r="D86" s="3">
        <v>1600</v>
      </c>
      <c r="E86" s="3"/>
      <c r="F86" s="16">
        <v>0.71690697015133542</v>
      </c>
      <c r="G86" s="3">
        <v>0.14801862749671998</v>
      </c>
      <c r="H86" s="3">
        <v>0.13549260110012906</v>
      </c>
      <c r="I86" s="3"/>
      <c r="J86" s="18">
        <f t="array" ref="J86">SUM(F86:H86)</f>
        <v>1.0004181987481844</v>
      </c>
      <c r="K86" s="66">
        <f t="array" ref="K86">PRODUCT(J86,$H$8,$I$8)</f>
        <v>1.9880353037924334</v>
      </c>
      <c r="M86" s="8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2:51" x14ac:dyDescent="0.2">
      <c r="B87" s="83"/>
      <c r="D87" s="3">
        <v>1700</v>
      </c>
      <c r="E87" s="3"/>
      <c r="F87" s="16">
        <v>0.76854857125511544</v>
      </c>
      <c r="G87" s="3">
        <v>0.17395824019532663</v>
      </c>
      <c r="H87" s="3">
        <v>0.16014195364138753</v>
      </c>
      <c r="I87" s="3"/>
      <c r="J87" s="18">
        <f t="array" ref="J87">SUM(F87:H87)</f>
        <v>1.1026487650918295</v>
      </c>
      <c r="K87" s="66">
        <f t="array" ref="K87">PRODUCT(J87,$H$8,$I$8)</f>
        <v>2.1911883204730285</v>
      </c>
      <c r="M87" s="8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spans="2:51" x14ac:dyDescent="0.2">
      <c r="B88" s="83"/>
      <c r="D88" s="3">
        <v>1800</v>
      </c>
      <c r="E88" s="3"/>
      <c r="F88" s="16">
        <v>0.81810098275942544</v>
      </c>
      <c r="G88" s="3">
        <v>0.20066586285183519</v>
      </c>
      <c r="H88" s="3">
        <v>0.18564687694982085</v>
      </c>
      <c r="I88" s="3"/>
      <c r="J88" s="18">
        <f t="array" ref="J88">SUM(F88:H88)</f>
        <v>1.2044137225610814</v>
      </c>
      <c r="K88" s="66">
        <f t="array" ref="K88">PRODUCT(J88,$H$8,$I$8)</f>
        <v>2.3934160772161186</v>
      </c>
      <c r="M88" s="8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spans="2:51" x14ac:dyDescent="0.2">
      <c r="B89" s="83"/>
      <c r="D89" s="3">
        <v>1900</v>
      </c>
      <c r="E89" s="3"/>
      <c r="F89" s="16">
        <v>0.86567471729467382</v>
      </c>
      <c r="G89" s="3">
        <v>0.22790304006287418</v>
      </c>
      <c r="H89" s="3">
        <v>0.21176906438736937</v>
      </c>
      <c r="I89" s="3"/>
      <c r="J89" s="18">
        <f t="array" ref="J89">SUM(F89:H89)</f>
        <v>1.3053468217449173</v>
      </c>
      <c r="K89" s="66">
        <f t="array" ref="K89">PRODUCT(J89,$H$8,$I$8)</f>
        <v>2.5939907616328273</v>
      </c>
      <c r="M89" s="8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pans="2:51" ht="17" thickBot="1" x14ac:dyDescent="0.25">
      <c r="B90" s="83"/>
      <c r="D90" s="3">
        <v>2000</v>
      </c>
      <c r="E90" s="3"/>
      <c r="F90" s="22">
        <v>0.91138243267526808</v>
      </c>
      <c r="G90" s="23">
        <v>0.25547146086967121</v>
      </c>
      <c r="H90" s="23">
        <v>0.23830766090745623</v>
      </c>
      <c r="I90" s="23"/>
      <c r="J90" s="25">
        <f t="array" ref="J90">SUM(F90:H90)</f>
        <v>1.4051615544523954</v>
      </c>
      <c r="K90" s="67">
        <f t="array" ref="K90">PRODUCT(J90,$H$8,$I$8)</f>
        <v>2.7923430234263176</v>
      </c>
      <c r="M90" s="8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pans="2:51" x14ac:dyDescent="0.2">
      <c r="B91" s="83"/>
      <c r="D91" s="3"/>
      <c r="E91" s="3"/>
      <c r="F91" s="3"/>
      <c r="G91" s="3"/>
      <c r="H91" s="3"/>
      <c r="I91" s="3"/>
      <c r="M91" s="8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pans="2:51" ht="17" thickBot="1" x14ac:dyDescent="0.25">
      <c r="B92" s="41"/>
      <c r="C92" s="42"/>
      <c r="D92" s="23"/>
      <c r="E92" s="23"/>
      <c r="F92" s="23"/>
      <c r="G92" s="23"/>
      <c r="H92" s="23"/>
      <c r="I92" s="23"/>
      <c r="J92" s="23"/>
      <c r="K92" s="23"/>
      <c r="L92" s="42"/>
      <c r="M92" s="4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pans="2:51" x14ac:dyDescent="0.2">
      <c r="D93" s="3"/>
      <c r="E93" s="3"/>
      <c r="F93" s="14"/>
      <c r="G93" s="14"/>
      <c r="H93" s="14"/>
      <c r="I93" s="14"/>
      <c r="J93" s="14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pans="2:51" ht="17" thickBot="1" x14ac:dyDescent="0.25">
      <c r="D94" s="3"/>
      <c r="E94" s="3"/>
      <c r="F94" s="14"/>
      <c r="G94" s="14"/>
      <c r="H94" s="14"/>
      <c r="I94" s="14"/>
      <c r="J94" s="14"/>
      <c r="AE94" s="14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pans="2:51" x14ac:dyDescent="0.2">
      <c r="B95" s="40"/>
      <c r="C95" s="10"/>
      <c r="D95" s="10"/>
      <c r="E95" s="7"/>
      <c r="F95" s="7"/>
      <c r="G95" s="7"/>
      <c r="H95" s="7"/>
      <c r="I95" s="7"/>
      <c r="J95" s="7"/>
      <c r="K95" s="7"/>
      <c r="L95" s="7"/>
      <c r="M95" s="8"/>
      <c r="N95" s="3"/>
      <c r="O95" s="3"/>
      <c r="P95" s="3"/>
      <c r="Q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pans="2:51" ht="17" thickBot="1" x14ac:dyDescent="0.25">
      <c r="B96" s="83"/>
      <c r="C96" s="3"/>
      <c r="D96" s="3"/>
      <c r="E96" s="14"/>
      <c r="F96" s="14"/>
      <c r="G96" s="14"/>
      <c r="H96" s="14"/>
      <c r="I96" s="14"/>
      <c r="J96" s="14"/>
      <c r="K96" s="14"/>
      <c r="L96" s="14"/>
      <c r="M96" s="15"/>
      <c r="N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pans="2:51" ht="17" thickBot="1" x14ac:dyDescent="0.25">
      <c r="B97" s="83"/>
      <c r="C97" s="3"/>
      <c r="D97" s="3"/>
      <c r="E97" s="130" t="s">
        <v>49</v>
      </c>
      <c r="F97" s="131"/>
      <c r="G97" s="131"/>
      <c r="H97" s="131"/>
      <c r="I97" s="131"/>
      <c r="J97" s="131"/>
      <c r="K97" s="131"/>
      <c r="L97" s="132"/>
      <c r="M97" s="17"/>
      <c r="N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pans="2:51" x14ac:dyDescent="0.2">
      <c r="B98" s="83"/>
      <c r="C98" s="3"/>
      <c r="D98" s="3"/>
      <c r="E98" s="54" t="s">
        <v>48</v>
      </c>
      <c r="F98" s="3"/>
      <c r="G98" s="3"/>
      <c r="H98" s="3"/>
      <c r="I98" s="3"/>
      <c r="J98" s="3"/>
      <c r="K98" s="3"/>
      <c r="L98" s="3"/>
      <c r="M98" s="17"/>
      <c r="N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pans="2:51" ht="17" thickBot="1" x14ac:dyDescent="0.25">
      <c r="B99" s="83"/>
      <c r="C99" s="3"/>
      <c r="D99" s="3"/>
      <c r="E99" s="3"/>
      <c r="F99" s="3"/>
      <c r="G99" s="3"/>
      <c r="H99" s="3"/>
      <c r="I99" s="3"/>
      <c r="J99" s="3"/>
      <c r="K99" s="3"/>
      <c r="L99" s="3"/>
      <c r="M99" s="17"/>
      <c r="N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pans="2:51" ht="17" thickBot="1" x14ac:dyDescent="0.25">
      <c r="B100" s="83"/>
      <c r="C100" s="102" t="s">
        <v>0</v>
      </c>
      <c r="D100" s="3"/>
      <c r="E100" s="34" t="s">
        <v>13</v>
      </c>
      <c r="F100" s="59" t="s">
        <v>12</v>
      </c>
      <c r="G100" s="3"/>
      <c r="H100" s="60" t="s">
        <v>7</v>
      </c>
      <c r="I100" s="3"/>
      <c r="J100" s="34" t="s">
        <v>14</v>
      </c>
      <c r="K100" s="34" t="s">
        <v>15</v>
      </c>
      <c r="L100" s="68" t="s">
        <v>51</v>
      </c>
      <c r="M100" s="17"/>
      <c r="N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pans="2:51" x14ac:dyDescent="0.2">
      <c r="B101" s="83"/>
      <c r="C101" s="3">
        <v>298.14999999999998</v>
      </c>
      <c r="D101" s="3"/>
      <c r="E101" s="98">
        <f t="shared" ref="E101:E118" si="1">$C$8*C101/101325</f>
        <v>4.0625758633111278E-26</v>
      </c>
      <c r="F101" s="57" cm="1">
        <f t="array" ref="F101:F118">E101:E118*(2*PI()*$L$8*$C$8*C101:C118/($D$8)^2)^(3/2)</f>
        <v>3004310.4863139256</v>
      </c>
      <c r="G101" s="3"/>
      <c r="H101" s="74">
        <f t="shared" ref="H101:H118" si="2">$H$8*$I$8*3/2</f>
        <v>2.9808063861893652</v>
      </c>
      <c r="I101" s="3"/>
      <c r="J101" s="98" cm="1">
        <f t="array" ref="J101:J118" xml:space="preserve"> (2 * PI() * $L$8 * $C$8 * C101:C118/ (($D$8)^2))^(3/2)</f>
        <v>7.3950877162582205E+31</v>
      </c>
      <c r="K101" s="98" cm="1">
        <f t="array" ref="K101:K118">$H$8*C101:C118/101325</f>
        <v>2.4465403696587219E-2</v>
      </c>
      <c r="L101" s="122" cm="1">
        <f t="array" ref="L101:L118">LN(J101:J118 * K101:K118*EXP(5/2) / $E$8)*$H$8*$I$8</f>
        <v>34.60827228366103</v>
      </c>
      <c r="M101" s="17"/>
      <c r="N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pans="2:51" x14ac:dyDescent="0.2">
      <c r="B102" s="83"/>
      <c r="C102" s="3">
        <v>400</v>
      </c>
      <c r="D102" s="3"/>
      <c r="E102" s="98">
        <f t="shared" si="1"/>
        <v>5.4503784850727862E-26</v>
      </c>
      <c r="F102" s="57">
        <v>6263365.52869415</v>
      </c>
      <c r="G102" s="3"/>
      <c r="H102" s="61">
        <f t="shared" si="2"/>
        <v>2.9808063861893652</v>
      </c>
      <c r="I102" s="3"/>
      <c r="J102" s="98">
        <v>1.1491615758149513E+32</v>
      </c>
      <c r="K102" s="98">
        <v>3.2822946431778931E-2</v>
      </c>
      <c r="L102" s="122">
        <v>36.068210798572146</v>
      </c>
      <c r="M102" s="17"/>
      <c r="AD102" s="54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2:51" x14ac:dyDescent="0.2">
      <c r="B103" s="83"/>
      <c r="C103" s="3">
        <v>500</v>
      </c>
      <c r="D103" s="3"/>
      <c r="E103" s="98">
        <f t="shared" si="1"/>
        <v>6.8129731063409828E-26</v>
      </c>
      <c r="F103" s="57">
        <v>10941649.28913196</v>
      </c>
      <c r="G103" s="3"/>
      <c r="H103" s="61">
        <f t="shared" si="2"/>
        <v>2.9808063861893652</v>
      </c>
      <c r="I103" s="3"/>
      <c r="J103" s="98">
        <v>1.6060021254081172E+32</v>
      </c>
      <c r="K103" s="98">
        <v>4.1028683039723658E-2</v>
      </c>
      <c r="L103" s="122">
        <v>37.176790336562746</v>
      </c>
      <c r="M103" s="17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2:51" x14ac:dyDescent="0.2">
      <c r="B104" s="83"/>
      <c r="C104" s="3">
        <v>600</v>
      </c>
      <c r="D104" s="3"/>
      <c r="E104" s="98">
        <f t="shared" si="1"/>
        <v>8.1755677276091782E-26</v>
      </c>
      <c r="F104" s="57">
        <v>17259805.820067704</v>
      </c>
      <c r="G104" s="3"/>
      <c r="H104" s="61">
        <f t="shared" si="2"/>
        <v>2.9808063861893652</v>
      </c>
      <c r="I104" s="3"/>
      <c r="J104" s="98">
        <v>2.111144619569444E+32</v>
      </c>
      <c r="K104" s="98">
        <v>4.92344196476684E-2</v>
      </c>
      <c r="L104" s="122">
        <v>38.082565771281764</v>
      </c>
      <c r="M104" s="17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2:51" x14ac:dyDescent="0.2">
      <c r="B105" s="83"/>
      <c r="C105" s="3">
        <v>700</v>
      </c>
      <c r="D105" s="3"/>
      <c r="E105" s="98">
        <f t="shared" si="1"/>
        <v>9.5381623488773759E-26</v>
      </c>
      <c r="F105" s="57">
        <v>25374814.700054768</v>
      </c>
      <c r="G105" s="3"/>
      <c r="H105" s="61">
        <f t="shared" si="2"/>
        <v>2.9808063861893652</v>
      </c>
      <c r="I105" s="3"/>
      <c r="J105" s="98">
        <v>2.660346277607797E+32</v>
      </c>
      <c r="K105" s="98">
        <v>5.7440156255613127E-2</v>
      </c>
      <c r="L105" s="122">
        <v>38.848387989389337</v>
      </c>
      <c r="M105" s="17"/>
      <c r="AE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Y105" s="3"/>
    </row>
    <row r="106" spans="2:51" x14ac:dyDescent="0.2">
      <c r="B106" s="83"/>
      <c r="C106" s="3">
        <v>800</v>
      </c>
      <c r="D106" s="3"/>
      <c r="E106" s="98">
        <f t="shared" si="1"/>
        <v>1.0900756970145572E-25</v>
      </c>
      <c r="F106" s="57">
        <v>35430945.907117687</v>
      </c>
      <c r="G106" s="3"/>
      <c r="H106" s="61">
        <f t="shared" si="2"/>
        <v>2.9808063861893652</v>
      </c>
      <c r="I106" s="3"/>
      <c r="J106" s="98">
        <v>3.2503197717510925E+32</v>
      </c>
      <c r="K106" s="98">
        <v>6.5645892863557861E-2</v>
      </c>
      <c r="L106" s="122">
        <v>39.511773369209216</v>
      </c>
      <c r="M106" s="17"/>
      <c r="AE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2:51" x14ac:dyDescent="0.2">
      <c r="B107" s="83"/>
      <c r="C107" s="3">
        <v>900</v>
      </c>
      <c r="D107" s="3"/>
      <c r="E107" s="98">
        <f t="shared" si="1"/>
        <v>1.2263351591413768E-25</v>
      </c>
      <c r="F107" s="57">
        <v>47562431.983520597</v>
      </c>
      <c r="G107" s="3"/>
      <c r="H107" s="61">
        <f t="shared" si="2"/>
        <v>2.9808063861893652</v>
      </c>
      <c r="I107" s="3"/>
      <c r="J107" s="98">
        <v>3.8784203183754115E+32</v>
      </c>
      <c r="K107" s="98">
        <v>7.3851629471502603E-2</v>
      </c>
      <c r="L107" s="122">
        <v>40.09692074399139</v>
      </c>
      <c r="M107" s="17"/>
      <c r="AE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2:51" x14ac:dyDescent="0.2">
      <c r="B108" s="83"/>
      <c r="C108" s="3">
        <v>1000</v>
      </c>
      <c r="D108" s="3"/>
      <c r="E108" s="98">
        <f t="shared" si="1"/>
        <v>1.3625946212681966E-25</v>
      </c>
      <c r="F108" s="57">
        <v>61895315.277681589</v>
      </c>
      <c r="G108" s="3"/>
      <c r="H108" s="61">
        <f t="shared" si="2"/>
        <v>2.9808063861893652</v>
      </c>
      <c r="I108" s="3"/>
      <c r="J108" s="98">
        <v>4.5424599739043641E+32</v>
      </c>
      <c r="K108" s="98">
        <v>8.2057366079447316E-2</v>
      </c>
      <c r="L108" s="122">
        <v>40.620352907199816</v>
      </c>
      <c r="M108" s="17"/>
      <c r="AE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2:51" x14ac:dyDescent="0.2">
      <c r="B109" s="83"/>
      <c r="C109" s="3">
        <v>1100</v>
      </c>
      <c r="D109" s="3"/>
      <c r="E109" s="98">
        <f t="shared" si="1"/>
        <v>1.4988540833950161E-25</v>
      </c>
      <c r="F109" s="57">
        <v>78548788.731451973</v>
      </c>
      <c r="G109" s="3"/>
      <c r="H109" s="61">
        <f t="shared" si="2"/>
        <v>2.9808063861893652</v>
      </c>
      <c r="I109" s="3"/>
      <c r="J109" s="98">
        <v>5.2405894343986518E+32</v>
      </c>
      <c r="K109" s="98">
        <v>9.0263102687392072E-2</v>
      </c>
      <c r="L109" s="122">
        <v>41.093854894915815</v>
      </c>
      <c r="M109" s="17"/>
      <c r="AE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2:51" x14ac:dyDescent="0.2">
      <c r="B110" s="83"/>
      <c r="C110" s="3">
        <v>1200</v>
      </c>
      <c r="D110" s="3"/>
      <c r="E110" s="98">
        <f t="shared" si="1"/>
        <v>1.6351135455218356E-25</v>
      </c>
      <c r="F110" s="57">
        <v>97636205.89866358</v>
      </c>
      <c r="G110" s="3"/>
      <c r="H110" s="61">
        <f t="shared" si="2"/>
        <v>2.9808063861893652</v>
      </c>
      <c r="I110" s="3"/>
      <c r="J110" s="98">
        <v>5.971218706252209E+32</v>
      </c>
      <c r="K110" s="98">
        <v>9.8468839295336799E-2</v>
      </c>
      <c r="L110" s="122">
        <v>41.526128341918835</v>
      </c>
      <c r="M110" s="17"/>
      <c r="AE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2:51" x14ac:dyDescent="0.2">
      <c r="B111" s="83"/>
      <c r="C111" s="3">
        <v>1300</v>
      </c>
      <c r="D111" s="3"/>
      <c r="E111" s="98">
        <f t="shared" si="1"/>
        <v>1.7713730076486554E-25</v>
      </c>
      <c r="F111" s="57">
        <v>119265864.42015539</v>
      </c>
      <c r="G111" s="3"/>
      <c r="H111" s="61">
        <f t="shared" si="2"/>
        <v>2.9808063861893652</v>
      </c>
      <c r="I111" s="3"/>
      <c r="J111" s="98">
        <v>6.7329616012649151E+32</v>
      </c>
      <c r="K111" s="98">
        <v>0.10667457590328153</v>
      </c>
      <c r="L111" s="122">
        <v>41.923781365587445</v>
      </c>
      <c r="M111" s="17"/>
      <c r="AE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spans="2:51" x14ac:dyDescent="0.2">
      <c r="B112" s="83"/>
      <c r="C112" s="3">
        <v>1400</v>
      </c>
      <c r="D112" s="3"/>
      <c r="E112" s="98">
        <f t="shared" si="1"/>
        <v>1.9076324697754752E-25</v>
      </c>
      <c r="F112" s="57">
        <v>143541628.3660849</v>
      </c>
      <c r="G112" s="3"/>
      <c r="H112" s="61">
        <f t="shared" si="2"/>
        <v>2.9808063861893652</v>
      </c>
      <c r="I112" s="3"/>
      <c r="J112" s="98">
        <v>7.5245955728033652E+32</v>
      </c>
      <c r="K112" s="98">
        <v>0.11488031251122625</v>
      </c>
      <c r="L112" s="122">
        <v>42.291950560026372</v>
      </c>
      <c r="M112" s="17"/>
      <c r="AE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2:51" x14ac:dyDescent="0.2">
      <c r="B113" s="83"/>
      <c r="C113" s="3">
        <v>1500</v>
      </c>
      <c r="D113" s="3"/>
      <c r="E113" s="98">
        <f t="shared" si="1"/>
        <v>2.0438919319022949E-25</v>
      </c>
      <c r="F113" s="57">
        <v>170563432.38638982</v>
      </c>
      <c r="G113" s="3"/>
      <c r="H113" s="61">
        <f t="shared" si="2"/>
        <v>2.9808063861893652</v>
      </c>
      <c r="I113" s="3"/>
      <c r="J113" s="98">
        <v>8.3450318348114769E+32</v>
      </c>
      <c r="K113" s="98">
        <v>0.12308604911917098</v>
      </c>
      <c r="L113" s="122">
        <v>42.634707879909463</v>
      </c>
      <c r="M113" s="17"/>
      <c r="AE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spans="2:51" x14ac:dyDescent="0.2">
      <c r="B114" s="83"/>
      <c r="C114" s="3">
        <v>1600</v>
      </c>
      <c r="D114" s="3"/>
      <c r="E114" s="98">
        <f t="shared" si="1"/>
        <v>2.1801513940291145E-25</v>
      </c>
      <c r="F114" s="57">
        <v>200427696.91821393</v>
      </c>
      <c r="G114" s="3"/>
      <c r="H114" s="61">
        <f t="shared" si="2"/>
        <v>2.9808063861893652</v>
      </c>
      <c r="I114" s="3"/>
      <c r="J114" s="98">
        <v>9.1932926065196625E+32</v>
      </c>
      <c r="K114" s="98">
        <v>0.13129178572711572</v>
      </c>
      <c r="L114" s="122">
        <v>42.955335939846286</v>
      </c>
      <c r="M114" s="17"/>
      <c r="AE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spans="2:51" x14ac:dyDescent="0.2">
      <c r="B115" s="83"/>
      <c r="C115" s="3">
        <v>1700</v>
      </c>
      <c r="D115" s="3"/>
      <c r="E115" s="98">
        <f t="shared" si="1"/>
        <v>2.316410856155934E-25</v>
      </c>
      <c r="F115" s="57">
        <v>233227674.99638498</v>
      </c>
      <c r="G115" s="3"/>
      <c r="H115" s="61">
        <f t="shared" si="2"/>
        <v>2.9808063861893652</v>
      </c>
      <c r="I115" s="3"/>
      <c r="J115" s="98">
        <v>1.0068493435720834E+33</v>
      </c>
      <c r="K115" s="98">
        <v>0.13949752233506044</v>
      </c>
      <c r="L115" s="122">
        <v>43.25651970629751</v>
      </c>
      <c r="M115" s="17"/>
      <c r="AE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spans="2:51" x14ac:dyDescent="0.2">
      <c r="B116" s="83"/>
      <c r="C116" s="3">
        <v>1800</v>
      </c>
      <c r="D116" s="3"/>
      <c r="E116" s="98">
        <f t="shared" si="1"/>
        <v>2.4526703182827536E-25</v>
      </c>
      <c r="F116" s="57">
        <v>269053745.48217154</v>
      </c>
      <c r="G116" s="3"/>
      <c r="H116" s="61">
        <f t="shared" si="2"/>
        <v>2.9808063861893652</v>
      </c>
      <c r="I116" s="3"/>
      <c r="J116" s="98">
        <v>1.09698292296598E+33</v>
      </c>
      <c r="K116" s="98">
        <v>0.14770325894300521</v>
      </c>
      <c r="L116" s="122">
        <v>43.540483314628453</v>
      </c>
      <c r="M116" s="17"/>
      <c r="AE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spans="2:51" x14ac:dyDescent="0.2">
      <c r="B117" s="83"/>
      <c r="C117" s="3">
        <v>1900</v>
      </c>
      <c r="D117" s="3"/>
      <c r="E117" s="98">
        <f t="shared" si="1"/>
        <v>2.5889297804095731E-25</v>
      </c>
      <c r="F117" s="57">
        <v>307993663.63619834</v>
      </c>
      <c r="G117" s="3"/>
      <c r="H117" s="61">
        <f t="shared" si="2"/>
        <v>2.9808063861893652</v>
      </c>
      <c r="I117" s="3"/>
      <c r="J117" s="98">
        <v>1.1896563049596239E+33</v>
      </c>
      <c r="K117" s="98">
        <v>0.15590899555094992</v>
      </c>
      <c r="L117" s="122">
        <v>43.809089845371744</v>
      </c>
      <c r="M117" s="17"/>
      <c r="AE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spans="2:51" ht="17" thickBot="1" x14ac:dyDescent="0.25">
      <c r="B118" s="83"/>
      <c r="C118" s="3">
        <v>2000</v>
      </c>
      <c r="D118" s="3"/>
      <c r="E118" s="101">
        <f t="shared" si="1"/>
        <v>2.7251892425363931E-25</v>
      </c>
      <c r="F118" s="58">
        <v>350132777.25222468</v>
      </c>
      <c r="G118" s="3"/>
      <c r="H118" s="62">
        <f t="shared" si="2"/>
        <v>2.9808063861893652</v>
      </c>
      <c r="I118" s="3"/>
      <c r="J118" s="101">
        <v>1.2848017003265009E+33</v>
      </c>
      <c r="K118" s="101">
        <v>0.16411473215889463</v>
      </c>
      <c r="L118" s="123">
        <v>44.063915477836886</v>
      </c>
      <c r="M118" s="17"/>
      <c r="AE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spans="2:51" x14ac:dyDescent="0.2">
      <c r="B119" s="8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17"/>
      <c r="AE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spans="2:51" ht="17" thickBot="1" x14ac:dyDescent="0.25">
      <c r="B120" s="41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3"/>
      <c r="AE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spans="2:51" x14ac:dyDescent="0.2">
      <c r="AE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spans="2:51" ht="17" thickBot="1" x14ac:dyDescent="0.25">
      <c r="AE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spans="2:51" x14ac:dyDescent="0.2">
      <c r="B123" s="6"/>
      <c r="C123" s="7"/>
      <c r="D123" s="7"/>
      <c r="E123" s="7"/>
      <c r="F123" s="7"/>
      <c r="G123" s="7"/>
      <c r="H123" s="7"/>
      <c r="I123" s="7"/>
      <c r="J123" s="10"/>
      <c r="K123" s="10"/>
      <c r="L123" s="10"/>
      <c r="M123" s="110"/>
      <c r="AE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spans="2:51" ht="17" thickBot="1" x14ac:dyDescent="0.25">
      <c r="B124" s="13"/>
      <c r="C124" s="14"/>
      <c r="D124" s="14"/>
      <c r="E124" s="14"/>
      <c r="F124" s="14"/>
      <c r="G124" s="14"/>
      <c r="H124" s="14"/>
      <c r="I124" s="14"/>
      <c r="J124" s="3"/>
      <c r="K124" s="3"/>
      <c r="L124" s="3"/>
      <c r="M124" s="85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spans="2:51" ht="17" thickBot="1" x14ac:dyDescent="0.25">
      <c r="B125" s="83"/>
      <c r="C125" s="3"/>
      <c r="D125" s="3"/>
      <c r="E125" s="133" t="s">
        <v>52</v>
      </c>
      <c r="F125" s="134"/>
      <c r="G125" s="134"/>
      <c r="H125" s="134"/>
      <c r="I125" s="134"/>
      <c r="J125" s="134"/>
      <c r="K125" s="134"/>
      <c r="L125" s="135"/>
      <c r="M125" s="85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spans="2:51" x14ac:dyDescent="0.2">
      <c r="B126" s="83"/>
      <c r="C126" s="3"/>
      <c r="D126" s="3"/>
      <c r="E126" s="3"/>
      <c r="F126" s="3"/>
      <c r="G126" s="3"/>
      <c r="H126" s="3"/>
      <c r="I126" s="3"/>
      <c r="J126" s="3"/>
      <c r="K126" s="3"/>
      <c r="M126" s="85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spans="2:51" ht="17" thickBot="1" x14ac:dyDescent="0.25">
      <c r="B127" s="83"/>
      <c r="C127" s="3"/>
      <c r="D127" s="3"/>
      <c r="E127" s="3"/>
      <c r="M127" s="85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spans="2:51" ht="17" thickBot="1" x14ac:dyDescent="0.25">
      <c r="B128" s="83"/>
      <c r="C128" s="102" t="s">
        <v>0</v>
      </c>
      <c r="D128" s="103"/>
      <c r="F128" s="115" t="s">
        <v>20</v>
      </c>
      <c r="G128" s="3"/>
      <c r="H128" s="116" t="s">
        <v>7</v>
      </c>
      <c r="I128" s="3"/>
      <c r="J128" s="3"/>
      <c r="K128" s="3"/>
      <c r="L128" s="68" t="s">
        <v>50</v>
      </c>
      <c r="M128" s="85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spans="2:51" x14ac:dyDescent="0.2">
      <c r="B129" s="83"/>
      <c r="C129" s="3">
        <v>298.14999999999998</v>
      </c>
      <c r="D129" s="3"/>
      <c r="F129" s="91">
        <f>(SQRT($K$17*$L$17*$M$17)*8*PI()^2*(2*PI()*$C$8*C129)^(3/2))/($F$8*($D$8)^3)</f>
        <v>43.607998892029627</v>
      </c>
      <c r="G129" s="3"/>
      <c r="H129" s="117">
        <f>$H$8*$I$8*3/2</f>
        <v>2.9808063861893652</v>
      </c>
      <c r="I129" s="3"/>
      <c r="J129" s="97">
        <f>(SQRT(PI())/$F$8)*(C129^3/($K$19*$L$19*$M$19))^(1/2)</f>
        <v>43.608079577575594</v>
      </c>
      <c r="K129" s="8">
        <f t="shared" ref="K129:K146" si="3">(LN(J129)+1.5)*$C$8</f>
        <v>7.2832582058934884E-23</v>
      </c>
      <c r="L129" s="124">
        <f t="shared" ref="L129:L146" si="4">K129*$E$8*$I$8</f>
        <v>10.48298424523227</v>
      </c>
      <c r="M129" s="85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spans="2:51" x14ac:dyDescent="0.2">
      <c r="B130" s="83"/>
      <c r="C130" s="3">
        <v>400</v>
      </c>
      <c r="D130" s="3"/>
      <c r="F130" s="57">
        <f t="shared" ref="F130:F146" si="5">(SQRT($K$17*$L$17*$M$17)*8*PI()^2*(2*PI()*$C$8*C130)^(3/2))/($F$8*($D$8)^3)</f>
        <v>67.764763107174474</v>
      </c>
      <c r="G130" s="3"/>
      <c r="H130" s="118">
        <f t="shared" ref="H130:H146" si="6">$H$8*$I$8*3/2</f>
        <v>2.9808063861893652</v>
      </c>
      <c r="I130" s="3"/>
      <c r="J130" s="98">
        <f t="shared" ref="J130:J146" si="7">(SQRT(PI())/$F$8)*(C130^3/($K$19*$L$19*$M$19))^(1/2)</f>
        <v>67.764888488688229</v>
      </c>
      <c r="K130" s="15">
        <f t="shared" si="3"/>
        <v>7.8918506975129459E-23</v>
      </c>
      <c r="L130" s="122">
        <f t="shared" si="4"/>
        <v>11.358947354195092</v>
      </c>
      <c r="M130" s="85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spans="2:51" x14ac:dyDescent="0.2">
      <c r="B131" s="83"/>
      <c r="C131" s="3">
        <v>500</v>
      </c>
      <c r="D131" s="3"/>
      <c r="F131" s="57">
        <f t="shared" si="5"/>
        <v>94.704135491758024</v>
      </c>
      <c r="G131" s="3"/>
      <c r="H131" s="118">
        <f t="shared" si="6"/>
        <v>2.9808063861893652</v>
      </c>
      <c r="I131" s="3"/>
      <c r="J131" s="98">
        <f t="shared" si="7"/>
        <v>94.704310717749934</v>
      </c>
      <c r="K131" s="15">
        <f t="shared" si="3"/>
        <v>8.3539750789805647E-23</v>
      </c>
      <c r="L131" s="122">
        <f t="shared" si="4"/>
        <v>12.02409507700172</v>
      </c>
      <c r="M131" s="85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spans="2:51" x14ac:dyDescent="0.2">
      <c r="B132" s="83"/>
      <c r="C132" s="3">
        <v>600</v>
      </c>
      <c r="D132" s="3"/>
      <c r="F132" s="57">
        <f t="shared" si="5"/>
        <v>124.49181911486605</v>
      </c>
      <c r="G132" s="3"/>
      <c r="H132" s="118">
        <f t="shared" si="6"/>
        <v>2.9808063861893652</v>
      </c>
      <c r="I132" s="3"/>
      <c r="J132" s="98">
        <f t="shared" si="7"/>
        <v>124.49204945541575</v>
      </c>
      <c r="K132" s="15">
        <f t="shared" si="3"/>
        <v>8.731558191579589E-23</v>
      </c>
      <c r="L132" s="122">
        <f t="shared" si="4"/>
        <v>12.567560337843142</v>
      </c>
      <c r="M132" s="85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spans="2:51" x14ac:dyDescent="0.2">
      <c r="B133" s="83"/>
      <c r="C133" s="3">
        <v>700</v>
      </c>
      <c r="D133" s="3"/>
      <c r="F133" s="57">
        <f t="shared" si="5"/>
        <v>156.87762198043873</v>
      </c>
      <c r="G133" s="3"/>
      <c r="H133" s="118">
        <f t="shared" si="6"/>
        <v>2.9808063861893652</v>
      </c>
      <c r="I133" s="3"/>
      <c r="J133" s="98">
        <f t="shared" si="7"/>
        <v>156.87791224270609</v>
      </c>
      <c r="K133" s="15">
        <f t="shared" si="3"/>
        <v>9.0508001645088256E-23</v>
      </c>
      <c r="L133" s="122">
        <f t="shared" si="4"/>
        <v>13.027053668716135</v>
      </c>
      <c r="M133" s="85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spans="2:51" x14ac:dyDescent="0.2">
      <c r="B134" s="83"/>
      <c r="C134" s="3">
        <v>800</v>
      </c>
      <c r="D134" s="3"/>
      <c r="F134" s="57">
        <f t="shared" si="5"/>
        <v>191.66769407433273</v>
      </c>
      <c r="G134" s="3"/>
      <c r="H134" s="118">
        <f t="shared" si="6"/>
        <v>2.9808063861893652</v>
      </c>
      <c r="I134" s="3"/>
      <c r="J134" s="98">
        <f t="shared" si="7"/>
        <v>191.66804870680664</v>
      </c>
      <c r="K134" s="15">
        <f t="shared" si="3"/>
        <v>9.3273401400523085E-23</v>
      </c>
      <c r="L134" s="122">
        <f t="shared" si="4"/>
        <v>13.425084896615409</v>
      </c>
      <c r="M134" s="85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spans="2:51" x14ac:dyDescent="0.2">
      <c r="B135" s="83"/>
      <c r="C135" s="3">
        <v>900</v>
      </c>
      <c r="D135" s="3"/>
      <c r="F135" s="57">
        <f t="shared" si="5"/>
        <v>228.70607548671416</v>
      </c>
      <c r="G135" s="3"/>
      <c r="H135" s="118">
        <f t="shared" si="6"/>
        <v>2.9808063861893652</v>
      </c>
      <c r="I135" s="3"/>
      <c r="J135" s="98">
        <f t="shared" si="7"/>
        <v>228.70649864932278</v>
      </c>
      <c r="K135" s="15">
        <f t="shared" si="3"/>
        <v>9.5712656856462344E-23</v>
      </c>
      <c r="L135" s="122">
        <f t="shared" si="4"/>
        <v>13.776173321491198</v>
      </c>
      <c r="M135" s="85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spans="2:51" x14ac:dyDescent="0.2">
      <c r="B136" s="83"/>
      <c r="C136" s="3">
        <v>1000</v>
      </c>
      <c r="D136" s="3"/>
      <c r="F136" s="57">
        <f t="shared" si="5"/>
        <v>267.8637456505237</v>
      </c>
      <c r="G136" s="3"/>
      <c r="H136" s="118">
        <f t="shared" si="6"/>
        <v>2.9808063861893652</v>
      </c>
      <c r="I136" s="3"/>
      <c r="J136" s="98">
        <f t="shared" si="7"/>
        <v>267.86424126447525</v>
      </c>
      <c r="K136" s="15">
        <f t="shared" si="3"/>
        <v>9.7894645215199273E-23</v>
      </c>
      <c r="L136" s="122">
        <f t="shared" si="4"/>
        <v>14.090232619422039</v>
      </c>
      <c r="M136" s="85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spans="2:51" x14ac:dyDescent="0.2">
      <c r="B137" s="83"/>
      <c r="C137" s="3">
        <v>1100</v>
      </c>
      <c r="D137" s="3"/>
      <c r="F137" s="57">
        <f t="shared" si="5"/>
        <v>309.03165319649707</v>
      </c>
      <c r="G137" s="3"/>
      <c r="H137" s="118">
        <f t="shared" si="6"/>
        <v>2.9808063861893652</v>
      </c>
      <c r="I137" s="3"/>
      <c r="J137" s="98">
        <f t="shared" si="7"/>
        <v>309.03222498122244</v>
      </c>
      <c r="K137" s="15">
        <f t="shared" si="3"/>
        <v>9.9868493781749192E-23</v>
      </c>
      <c r="L137" s="122">
        <f t="shared" si="4"/>
        <v>14.374333812056864</v>
      </c>
      <c r="M137" s="85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spans="2:51" x14ac:dyDescent="0.2">
      <c r="B138" s="83"/>
      <c r="C138" s="3">
        <v>1200</v>
      </c>
      <c r="D138" s="3"/>
      <c r="F138" s="57">
        <f t="shared" si="5"/>
        <v>352.11603799348433</v>
      </c>
      <c r="G138" s="3"/>
      <c r="H138" s="118">
        <f t="shared" si="6"/>
        <v>2.9808063861893652</v>
      </c>
      <c r="I138" s="3"/>
      <c r="J138" s="98">
        <f t="shared" si="7"/>
        <v>352.11668949494214</v>
      </c>
      <c r="K138" s="15">
        <f t="shared" si="3"/>
        <v>1.0167047634118953E-22</v>
      </c>
      <c r="L138" s="122">
        <f t="shared" si="4"/>
        <v>14.633697880263464</v>
      </c>
      <c r="M138" s="85"/>
    </row>
    <row r="139" spans="2:51" x14ac:dyDescent="0.2">
      <c r="B139" s="83"/>
      <c r="C139" s="3">
        <v>1300</v>
      </c>
      <c r="D139" s="3"/>
      <c r="F139" s="57">
        <f t="shared" si="5"/>
        <v>397.03515808545438</v>
      </c>
      <c r="G139" s="3"/>
      <c r="H139" s="118">
        <f t="shared" si="6"/>
        <v>2.9808063861893652</v>
      </c>
      <c r="I139" s="3"/>
      <c r="J139" s="98">
        <f t="shared" si="7"/>
        <v>397.03589269835538</v>
      </c>
      <c r="K139" s="15">
        <f t="shared" si="3"/>
        <v>1.0332813960579092E-22</v>
      </c>
      <c r="L139" s="122">
        <f t="shared" si="4"/>
        <v>14.872289694469025</v>
      </c>
      <c r="M139" s="85"/>
    </row>
    <row r="140" spans="2:51" x14ac:dyDescent="0.2">
      <c r="B140" s="83"/>
      <c r="C140" s="3">
        <v>1400</v>
      </c>
      <c r="D140" s="3"/>
      <c r="F140" s="57">
        <f t="shared" si="5"/>
        <v>443.71692127515325</v>
      </c>
      <c r="G140" s="3"/>
      <c r="H140" s="118">
        <f t="shared" si="6"/>
        <v>2.9808063861893652</v>
      </c>
      <c r="I140" s="3"/>
      <c r="J140" s="98">
        <f t="shared" si="7"/>
        <v>443.71774226082232</v>
      </c>
      <c r="K140" s="15">
        <f t="shared" si="3"/>
        <v>1.0486289607048188E-22</v>
      </c>
      <c r="L140" s="122">
        <f t="shared" si="4"/>
        <v>15.093191211136455</v>
      </c>
      <c r="M140" s="85"/>
    </row>
    <row r="141" spans="2:51" x14ac:dyDescent="0.2">
      <c r="B141" s="83"/>
      <c r="C141" s="3">
        <v>1500</v>
      </c>
      <c r="D141" s="3"/>
      <c r="F141" s="57">
        <f t="shared" si="5"/>
        <v>492.09712307583379</v>
      </c>
      <c r="H141" s="118">
        <f t="shared" si="6"/>
        <v>2.9808063861893652</v>
      </c>
      <c r="J141" s="98">
        <f t="shared" si="7"/>
        <v>492.09803357679795</v>
      </c>
      <c r="K141" s="15">
        <f t="shared" si="3"/>
        <v>1.0629172015586572E-22</v>
      </c>
      <c r="L141" s="122">
        <f t="shared" si="4"/>
        <v>15.298845603070093</v>
      </c>
      <c r="M141" s="85"/>
    </row>
    <row r="142" spans="2:51" x14ac:dyDescent="0.2">
      <c r="B142" s="83"/>
      <c r="C142" s="3">
        <v>1600</v>
      </c>
      <c r="D142" s="3"/>
      <c r="F142" s="57">
        <f t="shared" si="5"/>
        <v>542.11810485739875</v>
      </c>
      <c r="H142" s="118">
        <f t="shared" si="6"/>
        <v>2.9808063861893652</v>
      </c>
      <c r="J142" s="98">
        <f t="shared" si="7"/>
        <v>542.11910790950583</v>
      </c>
      <c r="K142" s="15">
        <f t="shared" si="3"/>
        <v>1.076282958259167E-22</v>
      </c>
      <c r="L142" s="122">
        <f t="shared" si="4"/>
        <v>15.491222439035726</v>
      </c>
      <c r="M142" s="85"/>
    </row>
    <row r="143" spans="2:51" x14ac:dyDescent="0.2">
      <c r="B143" s="83"/>
      <c r="C143" s="3">
        <v>1700</v>
      </c>
      <c r="D143" s="3"/>
      <c r="F143" s="57">
        <f t="shared" si="5"/>
        <v>593.72771146990726</v>
      </c>
      <c r="H143" s="118">
        <f t="shared" si="6"/>
        <v>2.9808063861893652</v>
      </c>
      <c r="J143" s="98">
        <f t="shared" si="7"/>
        <v>593.72881001251085</v>
      </c>
      <c r="K143" s="15">
        <f t="shared" si="3"/>
        <v>1.0888381567821028E-22</v>
      </c>
      <c r="L143" s="122">
        <f t="shared" si="4"/>
        <v>15.671932698909801</v>
      </c>
      <c r="M143" s="85"/>
    </row>
    <row r="144" spans="2:51" x14ac:dyDescent="0.2">
      <c r="B144" s="83"/>
      <c r="C144" s="3">
        <v>1800</v>
      </c>
      <c r="D144" s="3"/>
      <c r="F144" s="57">
        <f t="shared" si="5"/>
        <v>646.87846750087385</v>
      </c>
      <c r="H144" s="118">
        <f t="shared" si="6"/>
        <v>2.9808063861893652</v>
      </c>
      <c r="J144" s="98">
        <f t="shared" si="7"/>
        <v>646.87966438547255</v>
      </c>
      <c r="K144" s="15">
        <f t="shared" si="3"/>
        <v>1.1006755128185596E-22</v>
      </c>
      <c r="L144" s="122">
        <f t="shared" si="4"/>
        <v>15.842310863911518</v>
      </c>
      <c r="M144" s="85"/>
    </row>
    <row r="145" spans="2:13" x14ac:dyDescent="0.2">
      <c r="B145" s="83"/>
      <c r="C145" s="3">
        <v>1900</v>
      </c>
      <c r="D145" s="3"/>
      <c r="F145" s="57">
        <f t="shared" si="5"/>
        <v>701.52691650321879</v>
      </c>
      <c r="H145" s="118">
        <f t="shared" si="6"/>
        <v>2.9808063861893652</v>
      </c>
      <c r="J145" s="98">
        <f t="shared" si="7"/>
        <v>701.52821450092483</v>
      </c>
      <c r="K145" s="15">
        <f t="shared" si="3"/>
        <v>1.1118726910654975E-22</v>
      </c>
      <c r="L145" s="122">
        <f t="shared" si="4"/>
        <v>16.003474782360442</v>
      </c>
      <c r="M145" s="85"/>
    </row>
    <row r="146" spans="2:13" ht="17" thickBot="1" x14ac:dyDescent="0.25">
      <c r="B146" s="83"/>
      <c r="C146" s="3">
        <v>2000</v>
      </c>
      <c r="D146" s="3"/>
      <c r="F146" s="58">
        <f t="shared" si="5"/>
        <v>757.63308393405759</v>
      </c>
      <c r="H146" s="119">
        <f t="shared" si="6"/>
        <v>2.9808063861893652</v>
      </c>
      <c r="J146" s="101">
        <f t="shared" si="7"/>
        <v>757.63448574199947</v>
      </c>
      <c r="K146" s="21">
        <f t="shared" si="3"/>
        <v>1.1224953964059291E-22</v>
      </c>
      <c r="L146" s="123">
        <f t="shared" si="4"/>
        <v>16.156370161842361</v>
      </c>
      <c r="M146" s="85"/>
    </row>
    <row r="147" spans="2:13" x14ac:dyDescent="0.2">
      <c r="B147" s="1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85"/>
    </row>
    <row r="148" spans="2:13" ht="17" thickBot="1" x14ac:dyDescent="0.25">
      <c r="B148" s="22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43"/>
    </row>
  </sheetData>
  <mergeCells count="12">
    <mergeCell ref="C4:L4"/>
    <mergeCell ref="C12:F12"/>
    <mergeCell ref="H14:I14"/>
    <mergeCell ref="H16:I16"/>
    <mergeCell ref="H17:I17"/>
    <mergeCell ref="E125:L125"/>
    <mergeCell ref="H19:I19"/>
    <mergeCell ref="F25:K25"/>
    <mergeCell ref="F28:H28"/>
    <mergeCell ref="F50:H50"/>
    <mergeCell ref="F72:H72"/>
    <mergeCell ref="E97:L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11A3-BFFF-0E4A-B406-E2FD02B33B0D}">
  <dimension ref="B3:AY148"/>
  <sheetViews>
    <sheetView zoomScaleNormal="32" workbookViewId="0">
      <selection activeCell="P119" sqref="P119"/>
    </sheetView>
  </sheetViews>
  <sheetFormatPr baseColWidth="10" defaultRowHeight="16" x14ac:dyDescent="0.2"/>
  <cols>
    <col min="3" max="3" width="11.33203125" bestFit="1" customWidth="1"/>
    <col min="4" max="4" width="13.5" customWidth="1"/>
    <col min="5" max="5" width="11.5" bestFit="1" customWidth="1"/>
    <col min="6" max="6" width="12.33203125" customWidth="1"/>
    <col min="7" max="7" width="14.83203125" bestFit="1" customWidth="1"/>
    <col min="8" max="8" width="12.33203125" bestFit="1" customWidth="1"/>
    <col min="9" max="9" width="12" customWidth="1"/>
    <col min="10" max="10" width="13.5" customWidth="1"/>
    <col min="11" max="11" width="12.6640625" bestFit="1" customWidth="1"/>
    <col min="12" max="12" width="12.5" bestFit="1" customWidth="1"/>
    <col min="13" max="13" width="14.1640625" bestFit="1" customWidth="1"/>
    <col min="14" max="17" width="12.5" bestFit="1" customWidth="1"/>
    <col min="18" max="18" width="11.5" bestFit="1" customWidth="1"/>
    <col min="19" max="27" width="11.5" customWidth="1"/>
    <col min="28" max="28" width="12.33203125" bestFit="1" customWidth="1"/>
    <col min="29" max="38" width="11.5" bestFit="1" customWidth="1"/>
    <col min="39" max="47" width="11.5" customWidth="1"/>
    <col min="48" max="49" width="11.5" bestFit="1" customWidth="1"/>
    <col min="50" max="50" width="11.33203125" bestFit="1" customWidth="1"/>
  </cols>
  <sheetData>
    <row r="3" spans="2:18" ht="17" thickBot="1" x14ac:dyDescent="0.25">
      <c r="B3" t="s">
        <v>57</v>
      </c>
    </row>
    <row r="4" spans="2:18" ht="17" customHeight="1" thickBot="1" x14ac:dyDescent="0.25">
      <c r="C4" s="149" t="s">
        <v>21</v>
      </c>
      <c r="D4" s="150"/>
      <c r="E4" s="150"/>
      <c r="F4" s="150"/>
      <c r="G4" s="150"/>
      <c r="H4" s="150"/>
      <c r="I4" s="150"/>
      <c r="J4" s="150"/>
      <c r="K4" s="150"/>
      <c r="L4" s="151"/>
    </row>
    <row r="5" spans="2:18" ht="17" customHeight="1" thickBot="1" x14ac:dyDescent="0.25">
      <c r="C5" s="33" t="s">
        <v>23</v>
      </c>
      <c r="D5" s="33" t="s">
        <v>22</v>
      </c>
      <c r="E5" s="33" t="s">
        <v>24</v>
      </c>
      <c r="F5" s="33" t="s">
        <v>25</v>
      </c>
      <c r="G5" s="33" t="s">
        <v>26</v>
      </c>
      <c r="H5" s="33" t="s">
        <v>28</v>
      </c>
      <c r="I5" s="34" t="s">
        <v>29</v>
      </c>
      <c r="J5" s="86" t="s">
        <v>31</v>
      </c>
      <c r="K5" s="33" t="s">
        <v>33</v>
      </c>
      <c r="L5" s="33" t="s">
        <v>33</v>
      </c>
    </row>
    <row r="6" spans="2:18" ht="17" thickBot="1" x14ac:dyDescent="0.25">
      <c r="C6" s="32" t="s">
        <v>1</v>
      </c>
      <c r="D6" s="32" t="s">
        <v>3</v>
      </c>
      <c r="E6" s="32" t="s">
        <v>37</v>
      </c>
      <c r="F6" s="32" t="s">
        <v>16</v>
      </c>
      <c r="G6" s="32" t="s">
        <v>17</v>
      </c>
      <c r="H6" s="32" t="s">
        <v>8</v>
      </c>
      <c r="I6" s="32" t="s">
        <v>30</v>
      </c>
      <c r="J6" s="32"/>
      <c r="K6" s="32"/>
      <c r="L6" s="32"/>
    </row>
    <row r="7" spans="2:18" ht="17" thickBot="1" x14ac:dyDescent="0.25">
      <c r="C7" s="31" t="s">
        <v>2</v>
      </c>
      <c r="D7" s="30" t="s">
        <v>4</v>
      </c>
      <c r="E7" s="30" t="s">
        <v>38</v>
      </c>
      <c r="F7" s="30"/>
      <c r="G7" s="30" t="s">
        <v>18</v>
      </c>
      <c r="H7" s="30" t="s">
        <v>27</v>
      </c>
      <c r="I7" s="30" t="s">
        <v>32</v>
      </c>
      <c r="J7" s="30" t="s">
        <v>34</v>
      </c>
      <c r="K7" s="30" t="s">
        <v>35</v>
      </c>
      <c r="L7" s="30" t="s">
        <v>36</v>
      </c>
    </row>
    <row r="8" spans="2:18" ht="17" thickBot="1" x14ac:dyDescent="0.25">
      <c r="C8" s="28">
        <v>1.3806490000000001E-23</v>
      </c>
      <c r="D8" s="28">
        <v>6.6260701499999998E-34</v>
      </c>
      <c r="E8" s="28">
        <v>6.0221407599999999E+23</v>
      </c>
      <c r="F8" s="28">
        <v>2</v>
      </c>
      <c r="G8" s="28">
        <v>29979245800</v>
      </c>
      <c r="H8" s="29">
        <v>8.3144626180000003</v>
      </c>
      <c r="I8" s="29">
        <v>0.239005736</v>
      </c>
      <c r="J8" s="29">
        <v>1.6605390666E-27</v>
      </c>
      <c r="K8" s="29">
        <v>45.992899999999999</v>
      </c>
      <c r="L8" s="29">
        <f>K8*J8</f>
        <v>7.637300723622714E-26</v>
      </c>
    </row>
    <row r="10" spans="2:18" x14ac:dyDescent="0.2">
      <c r="H10" t="s">
        <v>56</v>
      </c>
    </row>
    <row r="11" spans="2:18" ht="17" thickBot="1" x14ac:dyDescent="0.25">
      <c r="P11" t="s">
        <v>56</v>
      </c>
    </row>
    <row r="12" spans="2:18" ht="17" thickBot="1" x14ac:dyDescent="0.25">
      <c r="C12" s="140" t="s">
        <v>39</v>
      </c>
      <c r="D12" s="141"/>
      <c r="E12" s="141"/>
      <c r="F12" s="142"/>
      <c r="G12" s="109"/>
      <c r="H12" s="106" t="s">
        <v>46</v>
      </c>
      <c r="I12" s="107"/>
      <c r="J12" s="107"/>
      <c r="K12" s="107"/>
      <c r="L12" s="107"/>
      <c r="M12" s="108"/>
    </row>
    <row r="13" spans="2:18" ht="17" thickBot="1" x14ac:dyDescent="0.25">
      <c r="C13">
        <v>1</v>
      </c>
      <c r="D13">
        <v>2</v>
      </c>
      <c r="E13">
        <v>3</v>
      </c>
      <c r="K13" s="27">
        <v>1</v>
      </c>
      <c r="L13" s="27">
        <v>2</v>
      </c>
      <c r="M13" s="27">
        <v>3</v>
      </c>
    </row>
    <row r="14" spans="2:18" ht="17" thickBot="1" x14ac:dyDescent="0.25">
      <c r="C14" s="36">
        <v>1077.8800000000001</v>
      </c>
      <c r="D14" s="45">
        <v>2020.48</v>
      </c>
      <c r="E14" s="37">
        <v>2475.4299999999998</v>
      </c>
      <c r="F14" s="38"/>
      <c r="H14" s="136" t="s">
        <v>40</v>
      </c>
      <c r="I14" s="137"/>
      <c r="J14" s="30" t="s">
        <v>41</v>
      </c>
      <c r="K14" s="39">
        <v>232.95856000000001</v>
      </c>
      <c r="L14" s="37">
        <v>12.898479999999999</v>
      </c>
      <c r="M14" s="38">
        <v>12.22179</v>
      </c>
      <c r="O14" t="s">
        <v>56</v>
      </c>
      <c r="P14" s="156"/>
      <c r="Q14" s="156"/>
      <c r="R14" s="156"/>
    </row>
    <row r="15" spans="2:18" ht="17" thickBot="1" x14ac:dyDescent="0.25">
      <c r="H15" s="121"/>
      <c r="I15" s="27"/>
      <c r="J15" s="30" t="s">
        <v>42</v>
      </c>
      <c r="K15" s="125" cm="1">
        <f t="array" ref="K15:M15">K14:M14*1000000000</f>
        <v>232958560000</v>
      </c>
      <c r="L15" s="126">
        <v>12898480000</v>
      </c>
      <c r="M15" s="127">
        <v>12221790000</v>
      </c>
      <c r="P15" s="156"/>
      <c r="Q15" s="156"/>
      <c r="R15" s="156"/>
    </row>
    <row r="16" spans="2:18" ht="17" thickBot="1" x14ac:dyDescent="0.25">
      <c r="H16" s="136" t="s">
        <v>43</v>
      </c>
      <c r="I16" s="137"/>
      <c r="J16" s="30" t="s">
        <v>19</v>
      </c>
      <c r="K16" s="44" cm="1">
        <f t="array" ref="K16:M16">K15:M15/$G$8</f>
        <v>7.7706611285064415</v>
      </c>
      <c r="L16" s="45">
        <v>0.43024698106314602</v>
      </c>
      <c r="M16" s="46">
        <v>0.40767503230518226</v>
      </c>
    </row>
    <row r="17" spans="2:51" ht="17" thickBot="1" x14ac:dyDescent="0.25">
      <c r="H17" s="138" t="s">
        <v>44</v>
      </c>
      <c r="I17" s="139"/>
      <c r="J17" s="30" t="s">
        <v>45</v>
      </c>
      <c r="K17" s="48" cm="1">
        <f t="array" ref="K17:M17">$D$8/(8*(PI())^2*$G$8*K16:M16)</f>
        <v>3.6023642493280916E-47</v>
      </c>
      <c r="L17" s="49">
        <v>6.506205290227633E-46</v>
      </c>
      <c r="M17" s="47">
        <v>6.8664376340859509E-46</v>
      </c>
    </row>
    <row r="18" spans="2:51" ht="17" thickBot="1" x14ac:dyDescent="0.25">
      <c r="H18" s="128"/>
      <c r="I18" s="129"/>
      <c r="J18" s="49"/>
      <c r="K18" s="49"/>
      <c r="L18" s="37"/>
      <c r="M18" s="47"/>
    </row>
    <row r="19" spans="2:51" ht="17" thickBot="1" x14ac:dyDescent="0.25">
      <c r="H19" s="138" t="s">
        <v>53</v>
      </c>
      <c r="I19" s="139"/>
      <c r="J19" s="30" t="s">
        <v>54</v>
      </c>
      <c r="K19" s="50">
        <v>11.18023</v>
      </c>
      <c r="L19" s="45">
        <v>0.61902999999999997</v>
      </c>
      <c r="M19" s="157">
        <v>0.58655000000000002</v>
      </c>
      <c r="N19" s="155"/>
      <c r="O19" s="155"/>
      <c r="P19" s="155"/>
    </row>
    <row r="21" spans="2:51" x14ac:dyDescent="0.2">
      <c r="J21" t="s">
        <v>56</v>
      </c>
      <c r="K21" s="155"/>
      <c r="L21" s="155"/>
      <c r="M21" s="155"/>
    </row>
    <row r="22" spans="2:51" ht="17" thickBot="1" x14ac:dyDescent="0.25"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2:51" ht="17" thickBot="1" x14ac:dyDescent="0.25">
      <c r="B23" s="40"/>
      <c r="C23" s="111"/>
      <c r="D23" s="10"/>
      <c r="E23" s="10"/>
      <c r="F23" s="10"/>
      <c r="G23" s="10"/>
      <c r="H23" s="10"/>
      <c r="I23" s="10"/>
      <c r="J23" s="10"/>
      <c r="K23" s="10"/>
      <c r="L23" s="10"/>
      <c r="M23" s="112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2:51" ht="17" thickBot="1" x14ac:dyDescent="0.25">
      <c r="B24" s="83"/>
      <c r="D24" s="3"/>
      <c r="E24" s="3"/>
      <c r="F24" s="3"/>
      <c r="G24" s="3"/>
      <c r="H24" s="3"/>
      <c r="I24" s="3"/>
      <c r="J24" s="3"/>
      <c r="K24" s="3"/>
      <c r="L24" s="3"/>
      <c r="M24" s="113"/>
      <c r="N24" s="3"/>
      <c r="O24" s="3"/>
      <c r="Q24" s="3"/>
      <c r="R24" s="3"/>
      <c r="S24" s="3"/>
      <c r="T24" s="3"/>
      <c r="U24" s="3"/>
      <c r="V24" s="39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2:51" ht="17" thickBot="1" x14ac:dyDescent="0.25">
      <c r="B25" s="83"/>
      <c r="D25" s="3"/>
      <c r="E25" s="3"/>
      <c r="F25" s="140" t="s">
        <v>47</v>
      </c>
      <c r="G25" s="141"/>
      <c r="H25" s="141"/>
      <c r="I25" s="141"/>
      <c r="J25" s="141"/>
      <c r="K25" s="142"/>
      <c r="L25" s="78"/>
      <c r="M25" s="84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3"/>
    </row>
    <row r="26" spans="2:51" x14ac:dyDescent="0.2">
      <c r="B26" s="83"/>
      <c r="D26" s="3"/>
      <c r="E26" s="3"/>
      <c r="F26" s="3"/>
      <c r="G26" s="3"/>
      <c r="H26" s="3"/>
      <c r="I26" s="3"/>
      <c r="J26" s="3"/>
      <c r="K26" s="3"/>
      <c r="L26" s="3"/>
      <c r="M26" s="113"/>
      <c r="N26" s="3"/>
      <c r="O26" s="3"/>
      <c r="Q26" s="3"/>
      <c r="R26" s="3"/>
      <c r="S26" s="3"/>
      <c r="T26" s="3"/>
      <c r="U26" s="3" t="s">
        <v>56</v>
      </c>
      <c r="V26" s="3"/>
      <c r="W26" s="3"/>
      <c r="X26" s="3" t="s">
        <v>56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spans="2:51" ht="17" thickBot="1" x14ac:dyDescent="0.25">
      <c r="B27" s="83"/>
      <c r="D27" s="3"/>
      <c r="E27" s="3"/>
      <c r="F27" s="3"/>
      <c r="G27" s="3"/>
      <c r="H27" s="3"/>
      <c r="I27" s="3"/>
      <c r="J27" s="3"/>
      <c r="K27" s="3"/>
      <c r="L27" s="3"/>
      <c r="M27" s="17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2:51" ht="17" thickBot="1" x14ac:dyDescent="0.25">
      <c r="B28" s="83"/>
      <c r="D28" s="102" t="s">
        <v>0</v>
      </c>
      <c r="E28" s="3"/>
      <c r="F28" s="143" t="s">
        <v>5</v>
      </c>
      <c r="G28" s="144"/>
      <c r="H28" s="144"/>
      <c r="I28" s="56"/>
      <c r="J28" s="115" t="s">
        <v>55</v>
      </c>
      <c r="M28" s="85"/>
      <c r="AY28" s="3"/>
    </row>
    <row r="29" spans="2:51" x14ac:dyDescent="0.2">
      <c r="B29" s="83"/>
      <c r="D29" s="3">
        <v>298.14999999999998</v>
      </c>
      <c r="E29" s="3"/>
      <c r="F29" s="13" cm="1">
        <f t="array" ref="F29:H46">EXP(-C14:E14/(2*D29:D46))/(1-EXP(-C14:E14/D29:D46))</f>
        <v>0.16858181773871661</v>
      </c>
      <c r="G29" s="14">
        <v>3.3802486698528374E-2</v>
      </c>
      <c r="H29" s="14">
        <v>1.5747580298405398E-2</v>
      </c>
      <c r="I29" s="14"/>
      <c r="J29" s="114">
        <f>PRODUCT(F29:I29)</f>
        <v>8.9737344632296982E-5</v>
      </c>
      <c r="M29" s="85"/>
      <c r="AY29" s="3"/>
    </row>
    <row r="30" spans="2:51" x14ac:dyDescent="0.2">
      <c r="B30" s="83"/>
      <c r="D30" s="3">
        <v>400</v>
      </c>
      <c r="E30" s="3"/>
      <c r="F30" s="13">
        <v>0.27876206128979342</v>
      </c>
      <c r="G30" s="14">
        <v>8.0525789876494155E-2</v>
      </c>
      <c r="H30" s="14">
        <v>4.5400478225784704E-2</v>
      </c>
      <c r="I30" s="14"/>
      <c r="J30" s="92">
        <f>PRODUCT(F30:I30)</f>
        <v>1.01912883184252E-3</v>
      </c>
      <c r="M30" s="85"/>
      <c r="AY30" s="3"/>
    </row>
    <row r="31" spans="2:51" x14ac:dyDescent="0.2">
      <c r="B31" s="83"/>
      <c r="D31" s="3">
        <v>500</v>
      </c>
      <c r="E31" s="3"/>
      <c r="F31" s="13">
        <v>0.38489262407677888</v>
      </c>
      <c r="G31" s="14">
        <v>0.13496456195271386</v>
      </c>
      <c r="H31" s="14">
        <v>8.4726444092977179E-2</v>
      </c>
      <c r="I31" s="14"/>
      <c r="J31" s="92">
        <f t="shared" ref="J31:J45" si="0">PRODUCT(F31:I31)</f>
        <v>4.4012731030150624E-3</v>
      </c>
      <c r="M31" s="85"/>
      <c r="AY31" s="3"/>
    </row>
    <row r="32" spans="2:51" x14ac:dyDescent="0.2">
      <c r="B32" s="83"/>
      <c r="D32" s="3">
        <v>600</v>
      </c>
      <c r="E32" s="3"/>
      <c r="F32" s="13">
        <v>0.4882876681311466</v>
      </c>
      <c r="G32" s="14">
        <v>0.19230971372121139</v>
      </c>
      <c r="H32" s="14">
        <v>0.12917663412385474</v>
      </c>
      <c r="I32" s="14"/>
      <c r="J32" s="92">
        <f t="shared" si="0"/>
        <v>1.2130003934720149E-2</v>
      </c>
      <c r="M32" s="85"/>
      <c r="AY32" s="3"/>
    </row>
    <row r="33" spans="2:51" x14ac:dyDescent="0.2">
      <c r="B33" s="83"/>
      <c r="D33" s="3">
        <v>700</v>
      </c>
      <c r="E33" s="3"/>
      <c r="F33" s="13">
        <v>0.58943900413356498</v>
      </c>
      <c r="G33" s="14">
        <v>0.25012175457965563</v>
      </c>
      <c r="H33" s="14">
        <v>0.17576422039460898</v>
      </c>
      <c r="I33" s="14"/>
      <c r="J33" s="92">
        <f t="shared" si="0"/>
        <v>2.5913185810836598E-2</v>
      </c>
      <c r="M33" s="85"/>
      <c r="AY33" s="3"/>
    </row>
    <row r="34" spans="2:51" x14ac:dyDescent="0.2">
      <c r="B34" s="83"/>
      <c r="D34" s="3">
        <v>800</v>
      </c>
      <c r="E34" s="3"/>
      <c r="F34" s="13">
        <v>0.68889460637087374</v>
      </c>
      <c r="G34" s="14">
        <v>0.30746094626509263</v>
      </c>
      <c r="H34" s="14">
        <v>0.22295663283069583</v>
      </c>
      <c r="I34" s="14"/>
      <c r="J34" s="92">
        <f t="shared" si="0"/>
        <v>4.7224040302501179E-2</v>
      </c>
      <c r="M34" s="85"/>
      <c r="AY34" s="3"/>
    </row>
    <row r="35" spans="2:51" x14ac:dyDescent="0.2">
      <c r="B35" s="83"/>
      <c r="D35" s="3">
        <v>900</v>
      </c>
      <c r="E35" s="3"/>
      <c r="F35" s="13">
        <v>0.78708202098324798</v>
      </c>
      <c r="G35" s="14">
        <v>0.36403043581509004</v>
      </c>
      <c r="H35" s="14">
        <v>0.27003362905679906</v>
      </c>
      <c r="I35" s="14"/>
      <c r="J35" s="92">
        <f t="shared" si="0"/>
        <v>7.7370524460863815E-2</v>
      </c>
      <c r="M35" s="85"/>
      <c r="AY35" s="3"/>
    </row>
    <row r="36" spans="2:51" x14ac:dyDescent="0.2">
      <c r="B36" s="83"/>
      <c r="D36" s="3">
        <v>1000</v>
      </c>
      <c r="E36" s="3"/>
      <c r="F36" s="13">
        <v>0.88431203127901203</v>
      </c>
      <c r="G36" s="14">
        <v>0.419792641933948</v>
      </c>
      <c r="H36" s="14">
        <v>0.31668818286298928</v>
      </c>
      <c r="I36" s="14"/>
      <c r="J36" s="92">
        <f t="shared" si="0"/>
        <v>0.11756342064418158</v>
      </c>
      <c r="M36" s="85"/>
      <c r="AY36" s="3"/>
    </row>
    <row r="37" spans="2:51" x14ac:dyDescent="0.2">
      <c r="B37" s="83"/>
      <c r="D37" s="3">
        <v>1100</v>
      </c>
      <c r="E37" s="3"/>
      <c r="F37" s="13">
        <v>0.98080815811143929</v>
      </c>
      <c r="G37" s="14">
        <v>0.4748064034135735</v>
      </c>
      <c r="H37" s="14">
        <v>0.362814433082573</v>
      </c>
      <c r="I37" s="14"/>
      <c r="J37" s="92">
        <f t="shared" si="0"/>
        <v>0.1689605024200157</v>
      </c>
      <c r="M37" s="85"/>
      <c r="AY37" s="3"/>
    </row>
    <row r="38" spans="2:51" x14ac:dyDescent="0.2">
      <c r="B38" s="83"/>
      <c r="D38" s="3">
        <v>1200</v>
      </c>
      <c r="E38" s="3"/>
      <c r="F38" s="13">
        <v>1.076732460066915</v>
      </c>
      <c r="G38" s="14">
        <v>0.52915946892898102</v>
      </c>
      <c r="H38" s="14">
        <v>0.40840084056764187</v>
      </c>
      <c r="I38" s="14"/>
      <c r="J38" s="92">
        <f t="shared" si="0"/>
        <v>0.23269176030821137</v>
      </c>
      <c r="M38" s="85"/>
      <c r="AY38" s="3"/>
    </row>
    <row r="39" spans="2:51" x14ac:dyDescent="0.2">
      <c r="B39" s="83"/>
      <c r="D39" s="3">
        <v>1300</v>
      </c>
      <c r="E39" s="3"/>
      <c r="F39" s="13">
        <v>1.1722041229539388</v>
      </c>
      <c r="G39" s="14">
        <v>0.58294146196823615</v>
      </c>
      <c r="H39" s="14">
        <v>0.45347745641206338</v>
      </c>
      <c r="I39" s="14"/>
      <c r="J39" s="92">
        <f t="shared" si="0"/>
        <v>0.30987311104159004</v>
      </c>
      <c r="M39" s="85"/>
      <c r="AY39" s="3"/>
    </row>
    <row r="40" spans="2:51" x14ac:dyDescent="0.2">
      <c r="B40" s="83"/>
      <c r="D40" s="3">
        <v>1400</v>
      </c>
      <c r="E40" s="3"/>
      <c r="F40" s="13">
        <v>1.2673122130271868</v>
      </c>
      <c r="G40" s="14">
        <v>0.63623395924012627</v>
      </c>
      <c r="H40" s="14">
        <v>0.49809024766385773</v>
      </c>
      <c r="I40" s="14"/>
      <c r="J40" s="92">
        <f t="shared" si="0"/>
        <v>0.40161368663919</v>
      </c>
      <c r="M40" s="85"/>
      <c r="AY40" s="3"/>
    </row>
    <row r="41" spans="2:51" x14ac:dyDescent="0.2">
      <c r="B41" s="83"/>
      <c r="D41" s="3">
        <v>1500</v>
      </c>
      <c r="E41" s="3"/>
      <c r="F41" s="13">
        <v>1.3621243536109437</v>
      </c>
      <c r="G41" s="14">
        <v>0.68910771993615916</v>
      </c>
      <c r="H41" s="14">
        <v>0.54228885781508973</v>
      </c>
      <c r="I41" s="14"/>
      <c r="J41" s="92">
        <f t="shared" si="0"/>
        <v>0.5090196574176713</v>
      </c>
      <c r="M41" s="85"/>
      <c r="AY41" s="3"/>
    </row>
    <row r="42" spans="2:51" x14ac:dyDescent="0.2">
      <c r="B42" s="83"/>
      <c r="D42" s="3">
        <v>1600</v>
      </c>
      <c r="E42" s="3"/>
      <c r="F42" s="13">
        <v>1.4566926669595452</v>
      </c>
      <c r="G42" s="14">
        <v>0.74162278798489145</v>
      </c>
      <c r="H42" s="14">
        <v>0.58612102830023549</v>
      </c>
      <c r="I42" s="14"/>
      <c r="J42" s="92">
        <f t="shared" si="0"/>
        <v>0.63319620433481993</v>
      </c>
      <c r="M42" s="85"/>
      <c r="AY42" s="3"/>
    </row>
    <row r="43" spans="2:51" x14ac:dyDescent="0.2">
      <c r="B43" s="83"/>
      <c r="D43" s="3">
        <v>1700</v>
      </c>
      <c r="E43" s="3"/>
      <c r="F43" s="13">
        <v>1.5510578941062449</v>
      </c>
      <c r="G43" s="14">
        <v>0.79382962938634949</v>
      </c>
      <c r="H43" s="14">
        <v>0.62963030814042986</v>
      </c>
      <c r="I43" s="14"/>
      <c r="J43" s="92">
        <f t="shared" si="0"/>
        <v>0.77524850673006385</v>
      </c>
      <c r="M43" s="85"/>
      <c r="AY43" s="3"/>
    </row>
    <row r="44" spans="2:51" x14ac:dyDescent="0.2">
      <c r="B44" s="83"/>
      <c r="D44" s="3">
        <v>1800</v>
      </c>
      <c r="E44" s="3"/>
      <c r="F44" s="13">
        <v>1.6452522932745781</v>
      </c>
      <c r="G44" s="14">
        <v>0.84577052772771644</v>
      </c>
      <c r="H44" s="14">
        <v>0.67285536318956651</v>
      </c>
      <c r="I44" s="14"/>
      <c r="J44" s="92">
        <f t="shared" si="0"/>
        <v>0.93628220794567207</v>
      </c>
      <c r="M44" s="85"/>
      <c r="AY44" s="3"/>
    </row>
    <row r="45" spans="2:51" x14ac:dyDescent="0.2">
      <c r="B45" s="83"/>
      <c r="D45" s="3">
        <v>1900</v>
      </c>
      <c r="E45" s="3"/>
      <c r="F45" s="13">
        <v>1.739301709862735</v>
      </c>
      <c r="G45" s="14">
        <v>0.89748092592609385</v>
      </c>
      <c r="H45" s="14">
        <v>0.71583003624693398</v>
      </c>
      <c r="I45" s="14"/>
      <c r="J45" s="92">
        <f t="shared" si="0"/>
        <v>1.117403606329801</v>
      </c>
      <c r="L45" t="s">
        <v>56</v>
      </c>
      <c r="M45" s="85"/>
      <c r="AY45" s="3"/>
    </row>
    <row r="46" spans="2:51" ht="17" thickBot="1" x14ac:dyDescent="0.25">
      <c r="B46" s="83"/>
      <c r="D46" s="3">
        <v>2000</v>
      </c>
      <c r="E46" s="3"/>
      <c r="F46" s="19">
        <v>1.83322707672956</v>
      </c>
      <c r="G46" s="20">
        <v>0.94899060521894296</v>
      </c>
      <c r="H46" s="20">
        <v>0.758583732035639</v>
      </c>
      <c r="I46" s="20"/>
      <c r="J46" s="93">
        <f>PRODUCT(F46:I46)</f>
        <v>1.3197197045091682</v>
      </c>
      <c r="M46" s="85"/>
      <c r="AY46" s="3"/>
    </row>
    <row r="47" spans="2:51" x14ac:dyDescent="0.2">
      <c r="B47" s="83"/>
      <c r="D47" s="3"/>
      <c r="E47" s="3"/>
      <c r="F47" s="14"/>
      <c r="G47" s="14"/>
      <c r="H47" s="14"/>
      <c r="I47" s="14"/>
      <c r="J47" s="14"/>
      <c r="K47" s="3"/>
      <c r="L47" s="3"/>
      <c r="M47" s="17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2:51" x14ac:dyDescent="0.2">
      <c r="B48" s="83"/>
      <c r="D48" s="3"/>
      <c r="E48" s="3"/>
      <c r="F48" s="14"/>
      <c r="G48" s="14"/>
      <c r="H48" s="14"/>
      <c r="I48" s="14"/>
      <c r="J48" s="14"/>
      <c r="K48" s="3"/>
      <c r="L48" s="3"/>
      <c r="M48" s="17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2:51" ht="17" thickBot="1" x14ac:dyDescent="0.25">
      <c r="B49" s="83"/>
      <c r="D49" s="3"/>
      <c r="E49" s="3"/>
      <c r="J49" s="14"/>
      <c r="K49" s="3"/>
      <c r="L49" s="3"/>
      <c r="M49" s="17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2:51" ht="17" thickBot="1" x14ac:dyDescent="0.25">
      <c r="B50" s="83"/>
      <c r="D50" s="102" t="s">
        <v>0</v>
      </c>
      <c r="E50" s="3"/>
      <c r="F50" s="145" t="s">
        <v>9</v>
      </c>
      <c r="G50" s="146"/>
      <c r="H50" s="146"/>
      <c r="I50" s="64"/>
      <c r="J50" s="4" t="s">
        <v>6</v>
      </c>
      <c r="K50" s="60" t="s">
        <v>7</v>
      </c>
      <c r="L50" s="3"/>
      <c r="M50" s="17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2:51" x14ac:dyDescent="0.2">
      <c r="B51" s="83"/>
      <c r="D51" s="3">
        <v>298.14999999999998</v>
      </c>
      <c r="E51" s="3"/>
      <c r="F51" s="9" cm="1">
        <f t="array" ref="F51:H68">(C14:E14^2 * EXP(C14:E14/D29:D46)) / (D29:D46^2 * (EXP(C14:E14/D29:D46) - 1)^2)</f>
        <v>0.37144341597201475</v>
      </c>
      <c r="G51" s="10">
        <v>5.2473107655607462E-2</v>
      </c>
      <c r="H51" s="10">
        <v>1.7094615445527577E-2</v>
      </c>
      <c r="I51" s="10"/>
      <c r="J51" s="9">
        <f t="array" ref="J51">SUM(F51:H51)</f>
        <v>0.44101113907314982</v>
      </c>
      <c r="K51" s="61">
        <f t="array" ref="K51">PRODUCT(J51,$H$8,$I$8)</f>
        <v>0.87637921315326095</v>
      </c>
      <c r="M51" s="8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2:51" x14ac:dyDescent="0.2">
      <c r="B52" s="83"/>
      <c r="D52" s="3">
        <v>400</v>
      </c>
      <c r="E52" s="3"/>
      <c r="F52" s="16">
        <v>0.56427158253510168</v>
      </c>
      <c r="G52" s="3">
        <v>0.16544708360544003</v>
      </c>
      <c r="H52" s="3">
        <v>7.8940917946331568E-2</v>
      </c>
      <c r="I52" s="3"/>
      <c r="J52" s="16">
        <f t="array" ref="J52">SUM(F52:H52)</f>
        <v>0.80865958408687333</v>
      </c>
      <c r="K52" s="61">
        <f t="array" ref="K52">PRODUCT(J52,$H$8,$I$8)</f>
        <v>1.6069717683329254</v>
      </c>
      <c r="M52" s="8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2:51" x14ac:dyDescent="0.2">
      <c r="B53" s="83"/>
      <c r="D53" s="3">
        <v>500</v>
      </c>
      <c r="E53" s="3"/>
      <c r="F53" s="16">
        <v>0.68846203427532005</v>
      </c>
      <c r="G53" s="3">
        <v>0.29744632123467435</v>
      </c>
      <c r="H53" s="3">
        <v>0.17595404313455973</v>
      </c>
      <c r="I53" s="3"/>
      <c r="J53" s="16">
        <f t="array" ref="J53">SUM(F53:H53)</f>
        <v>1.161862398644554</v>
      </c>
      <c r="K53" s="61">
        <f t="array" ref="K53">PRODUCT(J53,$H$8,$I$8)</f>
        <v>2.308857905168654</v>
      </c>
      <c r="M53" s="8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2:51" x14ac:dyDescent="0.2">
      <c r="B54" s="83"/>
      <c r="D54" s="3">
        <v>600</v>
      </c>
      <c r="E54" s="3"/>
      <c r="F54" s="16">
        <v>0.76946671634044317</v>
      </c>
      <c r="G54" s="3">
        <v>0.419381292390968</v>
      </c>
      <c r="H54" s="3">
        <v>0.28403164393896652</v>
      </c>
      <c r="I54" s="3"/>
      <c r="J54" s="16">
        <f t="array" ref="J54">SUM(F54:H54)</f>
        <v>1.4728796526703778</v>
      </c>
      <c r="K54" s="61">
        <f t="array" ref="K54">PRODUCT(J54,$H$8,$I$8)</f>
        <v>2.9269127165121578</v>
      </c>
      <c r="M54" s="8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2:51" x14ac:dyDescent="0.2">
      <c r="B55" s="83"/>
      <c r="D55" s="3">
        <v>700</v>
      </c>
      <c r="E55" s="3"/>
      <c r="F55" s="16">
        <v>0.82380132894818381</v>
      </c>
      <c r="G55" s="3">
        <v>0.52121387077143888</v>
      </c>
      <c r="H55" s="3">
        <v>0.38633687638362202</v>
      </c>
      <c r="I55" s="3"/>
      <c r="J55" s="16">
        <f t="array" ref="J55">SUM(F55:H55)</f>
        <v>1.7313520761032448</v>
      </c>
      <c r="K55" s="61">
        <f t="array" ref="K55">PRODUCT(J55,$H$8,$I$8)</f>
        <v>3.4405502167938455</v>
      </c>
      <c r="M55" s="8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2:51" x14ac:dyDescent="0.2">
      <c r="B56" s="83"/>
      <c r="D56" s="3">
        <v>800</v>
      </c>
      <c r="E56" s="3"/>
      <c r="F56" s="16">
        <v>0.86152209966874205</v>
      </c>
      <c r="G56" s="3">
        <v>0.60298853776865891</v>
      </c>
      <c r="H56" s="3">
        <v>0.47595086405480597</v>
      </c>
      <c r="I56" s="3"/>
      <c r="J56" s="16">
        <f t="array" ref="J56">SUM(F56:H56)</f>
        <v>1.9404615014922069</v>
      </c>
      <c r="K56" s="61">
        <f t="array" ref="K56">PRODUCT(J56,$H$8,$I$8)</f>
        <v>3.8560933572017166</v>
      </c>
      <c r="M56" s="8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2:51" x14ac:dyDescent="0.2">
      <c r="B57" s="83"/>
      <c r="D57" s="3">
        <v>900</v>
      </c>
      <c r="E57" s="3"/>
      <c r="F57" s="16">
        <v>0.88857848323800226</v>
      </c>
      <c r="G57" s="3">
        <v>0.66788160797866669</v>
      </c>
      <c r="H57" s="3">
        <v>0.55163522058098502</v>
      </c>
      <c r="I57" s="3"/>
      <c r="J57" s="16">
        <f t="array" ref="J57">SUM(F57:H57)</f>
        <v>2.108095311797654</v>
      </c>
      <c r="K57" s="61">
        <f t="array" ref="K57">PRODUCT(J57,$H$8,$I$8)</f>
        <v>4.1892159787348717</v>
      </c>
      <c r="M57" s="8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2:51" x14ac:dyDescent="0.2">
      <c r="B58" s="83"/>
      <c r="D58" s="3">
        <v>1000</v>
      </c>
      <c r="E58" s="3"/>
      <c r="F58" s="16">
        <v>0.90855640605208299</v>
      </c>
      <c r="G58" s="3">
        <v>0.71941378600463435</v>
      </c>
      <c r="H58" s="3">
        <v>0.61456102756400832</v>
      </c>
      <c r="I58" s="3"/>
      <c r="J58" s="16">
        <f t="array" ref="J58">SUM(F58:H58)</f>
        <v>2.2425312196207257</v>
      </c>
      <c r="K58" s="61">
        <f t="array" ref="K58">PRODUCT(J58,$H$8,$I$8)</f>
        <v>4.4563675871163229</v>
      </c>
      <c r="M58" s="8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2:51" x14ac:dyDescent="0.2">
      <c r="B59" s="83"/>
      <c r="D59" s="3">
        <v>1100</v>
      </c>
      <c r="E59" s="3"/>
      <c r="F59" s="16">
        <v>0.92368437279554816</v>
      </c>
      <c r="G59" s="3">
        <v>0.76060097219765577</v>
      </c>
      <c r="H59" s="3">
        <v>0.66663028565655091</v>
      </c>
      <c r="I59" s="3"/>
      <c r="J59" s="16">
        <f t="array" ref="J59">SUM(F59:H59)</f>
        <v>2.3509156306497547</v>
      </c>
      <c r="K59" s="61">
        <f t="array" ref="K59">PRODUCT(J59,$H$8,$I$8)</f>
        <v>4.6717495501554591</v>
      </c>
      <c r="M59" s="8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2:51" x14ac:dyDescent="0.2">
      <c r="B60" s="83"/>
      <c r="D60" s="3">
        <v>1200</v>
      </c>
      <c r="E60" s="3"/>
      <c r="F60" s="16">
        <v>0.93539263694990815</v>
      </c>
      <c r="G60" s="3">
        <v>0.79381584515260728</v>
      </c>
      <c r="H60" s="3">
        <v>0.70976088598425846</v>
      </c>
      <c r="I60" s="3"/>
      <c r="J60" s="16">
        <f t="array" ref="J60">SUM(F60:H60)</f>
        <v>2.4389693680867741</v>
      </c>
      <c r="K60" s="61">
        <f t="array" ref="K60">PRODUCT(J60,$H$8,$I$8)</f>
        <v>4.8467303120755316</v>
      </c>
      <c r="M60" s="8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2:51" x14ac:dyDescent="0.2">
      <c r="B61" s="83"/>
      <c r="D61" s="3">
        <v>1300</v>
      </c>
      <c r="E61" s="3"/>
      <c r="F61" s="16">
        <v>0.94462755941222598</v>
      </c>
      <c r="G61" s="3">
        <v>0.8208660586756239</v>
      </c>
      <c r="H61" s="3">
        <v>0.74563450828817068</v>
      </c>
      <c r="I61" s="3"/>
      <c r="J61" s="16">
        <f t="array" ref="J61">SUM(F61:H61)</f>
        <v>2.5111281263760206</v>
      </c>
      <c r="K61" s="61">
        <f t="array" ref="K61">PRODUCT(J61,$H$8,$I$8)</f>
        <v>4.9901245037609181</v>
      </c>
      <c r="M61" s="8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2:51" x14ac:dyDescent="0.2">
      <c r="B62" s="83"/>
      <c r="D62" s="3">
        <v>1400</v>
      </c>
      <c r="E62" s="3"/>
      <c r="F62" s="16">
        <v>0.95203298663857083</v>
      </c>
      <c r="G62" s="3">
        <v>0.84311483785985508</v>
      </c>
      <c r="H62" s="3">
        <v>0.77564197865879125</v>
      </c>
      <c r="I62" s="3"/>
      <c r="J62" s="16">
        <f t="array" ref="J62">SUM(F62:H62)</f>
        <v>2.5707898031572172</v>
      </c>
      <c r="K62" s="61">
        <f t="array" ref="K62">PRODUCT(J62,$H$8,$I$8)</f>
        <v>5.1086844418676893</v>
      </c>
      <c r="M62" s="8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2:51" x14ac:dyDescent="0.2">
      <c r="B63" s="83"/>
      <c r="D63" s="3">
        <v>1500</v>
      </c>
      <c r="E63" s="3"/>
      <c r="F63" s="16">
        <v>0.95805805120179854</v>
      </c>
      <c r="G63" s="3">
        <v>0.8615903460902663</v>
      </c>
      <c r="H63" s="3">
        <v>0.80090341266038423</v>
      </c>
      <c r="I63" s="3"/>
      <c r="J63" s="16">
        <f t="array" ref="J63">SUM(F63:H63)</f>
        <v>2.620551809952449</v>
      </c>
      <c r="K63" s="61">
        <f t="array" ref="K63">PRODUCT(J63,$H$8,$I$8)</f>
        <v>5.207571713630907</v>
      </c>
      <c r="M63" s="8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2:51" x14ac:dyDescent="0.2">
      <c r="B64" s="83"/>
      <c r="D64" s="3">
        <v>1600</v>
      </c>
      <c r="E64" s="3"/>
      <c r="F64" s="16">
        <v>0.96302315625684642</v>
      </c>
      <c r="G64" s="3">
        <v>0.87707206418973827</v>
      </c>
      <c r="H64" s="3">
        <v>0.82231069780799637</v>
      </c>
      <c r="I64" s="3"/>
      <c r="J64" s="16">
        <f t="array" ref="J64">SUM(F64:H64)</f>
        <v>2.6624059182545814</v>
      </c>
      <c r="K64" s="61">
        <f t="array" ref="K64">PRODUCT(J64,$H$8,$I$8)</f>
        <v>5.2907443758410784</v>
      </c>
      <c r="M64" s="8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2:51" x14ac:dyDescent="0.2">
      <c r="B65" s="83"/>
      <c r="D65" s="3">
        <v>1700</v>
      </c>
      <c r="E65" s="3"/>
      <c r="F65" s="16">
        <v>0.96716150285416247</v>
      </c>
      <c r="G65" s="3">
        <v>0.89015549781595238</v>
      </c>
      <c r="H65" s="3">
        <v>0.84057159010539828</v>
      </c>
      <c r="I65" s="3"/>
      <c r="J65" s="16">
        <f t="array" ref="J65">SUM(F65:H65)</f>
        <v>2.6978885907755128</v>
      </c>
      <c r="K65" s="61">
        <f t="array" ref="K65">PRODUCT(J65,$H$8,$I$8)</f>
        <v>5.3612556937407172</v>
      </c>
      <c r="M65" s="8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2:51" x14ac:dyDescent="0.2">
      <c r="B66" s="83"/>
      <c r="D66" s="3">
        <v>1800</v>
      </c>
      <c r="E66" s="3"/>
      <c r="F66" s="16">
        <v>0.97064590535817963</v>
      </c>
      <c r="G66" s="3">
        <v>0.90129963725451834</v>
      </c>
      <c r="H66" s="3">
        <v>0.8562483082791803</v>
      </c>
      <c r="I66" s="3"/>
      <c r="J66" s="16">
        <f t="array" ref="J66">SUM(F66:H66)</f>
        <v>2.7281938508918784</v>
      </c>
      <c r="K66" s="61">
        <f t="array" ref="K66">PRODUCT(J66,$H$8,$I$8)</f>
        <v>5.4214784356673791</v>
      </c>
      <c r="L66" s="83"/>
      <c r="M66" s="8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2:51" x14ac:dyDescent="0.2">
      <c r="B67" s="83"/>
      <c r="D67" s="3">
        <v>1900</v>
      </c>
      <c r="E67" s="3"/>
      <c r="F67" s="16">
        <v>0.97360651929636133</v>
      </c>
      <c r="G67" s="3">
        <v>0.91086153914373658</v>
      </c>
      <c r="H67" s="3">
        <v>0.86978904371479338</v>
      </c>
      <c r="I67" s="3"/>
      <c r="J67" s="16">
        <f t="array" ref="J67">SUM(F67:H67)</f>
        <v>2.7542571021548912</v>
      </c>
      <c r="K67" s="61">
        <f t="array" ref="K67">PRODUCT(J67,$H$8,$I$8)</f>
        <v>5.4732714395404765</v>
      </c>
      <c r="M67" s="8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2:51" ht="17" thickBot="1" x14ac:dyDescent="0.25">
      <c r="B68" s="83"/>
      <c r="D68" s="3">
        <v>2000</v>
      </c>
      <c r="E68" s="3"/>
      <c r="F68" s="22">
        <v>0.97614281584803475</v>
      </c>
      <c r="G68" s="23">
        <v>0.91912154508039268</v>
      </c>
      <c r="H68" s="23">
        <v>0.88155285921432369</v>
      </c>
      <c r="I68" s="23"/>
      <c r="J68" s="22">
        <f t="array" ref="J68">SUM(F68:H68)</f>
        <v>2.776817220142751</v>
      </c>
      <c r="K68" s="62">
        <f t="array" ref="K68">PRODUCT(J68,$H$8,$I$8)</f>
        <v>5.5181030020547421</v>
      </c>
      <c r="M68" s="8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2:51" x14ac:dyDescent="0.2">
      <c r="B69" s="83"/>
      <c r="D69" s="3"/>
      <c r="E69" s="3"/>
      <c r="F69" s="3"/>
      <c r="G69" s="3"/>
      <c r="H69" s="3"/>
      <c r="I69" s="3"/>
      <c r="J69" s="3"/>
      <c r="K69" s="3"/>
      <c r="M69" s="8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2:51" x14ac:dyDescent="0.2">
      <c r="B70" s="83"/>
      <c r="D70" s="3"/>
      <c r="E70" s="3"/>
      <c r="F70" s="3"/>
      <c r="G70" s="3"/>
      <c r="H70" s="3"/>
      <c r="I70" s="3"/>
      <c r="J70" s="3"/>
      <c r="K70" s="3"/>
      <c r="M70" s="8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2:51" ht="17" thickBot="1" x14ac:dyDescent="0.25">
      <c r="B71" s="83"/>
      <c r="D71" s="3"/>
      <c r="E71" s="3"/>
      <c r="F71" s="3"/>
      <c r="G71" s="3"/>
      <c r="H71" s="3"/>
      <c r="I71" s="3"/>
      <c r="J71" s="3"/>
      <c r="K71" s="3"/>
      <c r="M71" s="8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2:51" ht="17" thickBot="1" x14ac:dyDescent="0.25">
      <c r="B72" s="83"/>
      <c r="D72" s="102" t="s">
        <v>0</v>
      </c>
      <c r="E72" s="3"/>
      <c r="F72" s="147" t="s">
        <v>10</v>
      </c>
      <c r="G72" s="148"/>
      <c r="H72" s="148"/>
      <c r="I72" s="82"/>
      <c r="J72" s="5" t="s">
        <v>6</v>
      </c>
      <c r="K72" s="68" t="s">
        <v>11</v>
      </c>
      <c r="M72" s="8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2:51" x14ac:dyDescent="0.2">
      <c r="B73" s="83"/>
      <c r="D73" s="3">
        <v>298.14999999999998</v>
      </c>
      <c r="E73" s="3"/>
      <c r="F73" s="9" cm="1">
        <f t="array" ref="F73:H90">(C14:E14/D29:D46) / (EXP(C14:E14/D29:D46) - 1)-LN(1 - EXP(-C14:E14/D29:D46))</f>
        <v>0.12725874827546979</v>
      </c>
      <c r="G73" s="10">
        <v>8.8749663047322895E-3</v>
      </c>
      <c r="H73" s="10">
        <v>2.3063228461083383E-3</v>
      </c>
      <c r="I73" s="10"/>
      <c r="J73" s="12">
        <f t="array" ref="J73">SUM(F73:H73)</f>
        <v>0.13844003742631042</v>
      </c>
      <c r="K73" s="66">
        <f t="array" ref="K73">PRODUCT(J73,$H$8,$I$8)</f>
        <v>0.27510863177642725</v>
      </c>
      <c r="M73" s="8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2:51" x14ac:dyDescent="0.2">
      <c r="B74" s="83"/>
      <c r="D74" s="3">
        <v>400</v>
      </c>
      <c r="E74" s="3"/>
      <c r="F74" s="16">
        <v>0.26520617897887655</v>
      </c>
      <c r="G74" s="3">
        <v>3.8966561231315963E-2</v>
      </c>
      <c r="H74" s="3">
        <v>1.47845868953295E-2</v>
      </c>
      <c r="I74" s="3"/>
      <c r="J74" s="18">
        <f t="array" ref="J74">SUM(F74:H74)</f>
        <v>0.31895732710552205</v>
      </c>
      <c r="K74" s="66">
        <f t="array" ref="K74">PRODUCT(J74,$H$8,$I$8)</f>
        <v>0.63383335837202037</v>
      </c>
      <c r="M74" s="85"/>
      <c r="O74" t="s">
        <v>56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2:51" x14ac:dyDescent="0.2">
      <c r="B75" s="83"/>
      <c r="D75" s="3">
        <v>500</v>
      </c>
      <c r="E75" s="3"/>
      <c r="F75" s="16">
        <v>0.40546178879874373</v>
      </c>
      <c r="G75" s="3">
        <v>9.0050728047372852E-2</v>
      </c>
      <c r="H75" s="3">
        <v>4.2391050905381041E-2</v>
      </c>
      <c r="I75" s="3"/>
      <c r="J75" s="18">
        <f t="array" ref="J75">SUM(F75:H75)</f>
        <v>0.53790356775149761</v>
      </c>
      <c r="K75" s="66">
        <f t="array" ref="K75">PRODUCT(J75,$H$8,$I$8)</f>
        <v>1.0689242599384718</v>
      </c>
      <c r="M75" s="8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2:51" x14ac:dyDescent="0.2">
      <c r="B76" s="83"/>
      <c r="D76" s="3">
        <v>600</v>
      </c>
      <c r="E76" s="3"/>
      <c r="F76" s="16">
        <v>0.53865325524376217</v>
      </c>
      <c r="G76" s="3">
        <v>0.15533060791277387</v>
      </c>
      <c r="H76" s="3">
        <v>8.4016008622643717E-2</v>
      </c>
      <c r="I76" s="3"/>
      <c r="J76" s="18">
        <f t="array" ref="J76">SUM(F76:H76)</f>
        <v>0.77799987177917973</v>
      </c>
      <c r="K76" s="66">
        <f t="array" ref="K76">PRODUCT(J76,$H$8,$I$8)</f>
        <v>1.546044657502591</v>
      </c>
      <c r="M76" s="8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2:51" x14ac:dyDescent="0.2">
      <c r="B77" s="83"/>
      <c r="D77" s="3">
        <v>700</v>
      </c>
      <c r="E77" s="3"/>
      <c r="F77" s="16">
        <v>0.6616131489177649</v>
      </c>
      <c r="G77" s="3">
        <v>0.22789638717718053</v>
      </c>
      <c r="H77" s="3">
        <v>0.13561915474164971</v>
      </c>
      <c r="I77" s="3"/>
      <c r="J77" s="18">
        <f t="array" ref="J77">SUM(F77:H77)</f>
        <v>1.0251286908365951</v>
      </c>
      <c r="K77" s="66">
        <f t="array" ref="K77">PRODUCT(J77,$H$8,$I$8)</f>
        <v>2.0371400988744441</v>
      </c>
      <c r="M77" s="8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2:51" x14ac:dyDescent="0.2">
      <c r="B78" s="83"/>
      <c r="D78" s="3">
        <v>800</v>
      </c>
      <c r="E78" s="3"/>
      <c r="F78" s="16">
        <v>0.77422451099067024</v>
      </c>
      <c r="G78" s="3">
        <v>0.30304089907497556</v>
      </c>
      <c r="H78" s="3">
        <v>0.19321274786178916</v>
      </c>
      <c r="I78" s="3"/>
      <c r="J78" s="18">
        <f t="array" ref="J78">SUM(F78:H78)</f>
        <v>1.2704781579274349</v>
      </c>
      <c r="K78" s="66">
        <f t="array" ref="K78">PRODUCT(J78,$H$8,$I$8)</f>
        <v>2.5246996044427994</v>
      </c>
      <c r="M78" s="8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2:51" x14ac:dyDescent="0.2">
      <c r="B79" s="83"/>
      <c r="D79" s="3">
        <v>900</v>
      </c>
      <c r="E79" s="3"/>
      <c r="F79" s="16">
        <v>0.87734329050168225</v>
      </c>
      <c r="G79" s="3">
        <v>0.37795723173690665</v>
      </c>
      <c r="H79" s="3">
        <v>0.25377466060495368</v>
      </c>
      <c r="I79" s="3"/>
      <c r="J79" s="18">
        <f t="array" ref="J79">SUM(F79:H79)</f>
        <v>1.5090751828435427</v>
      </c>
      <c r="K79" s="66">
        <f t="array" ref="K79">PRODUCT(J79,$H$8,$I$8)</f>
        <v>2.9988406281732773</v>
      </c>
      <c r="M79" s="8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2:51" x14ac:dyDescent="0.2">
      <c r="B80" s="83"/>
      <c r="D80" s="3">
        <v>1000</v>
      </c>
      <c r="E80" s="3"/>
      <c r="F80" s="16">
        <v>0.97204909502097769</v>
      </c>
      <c r="G80" s="3">
        <v>0.4510956823863026</v>
      </c>
      <c r="H80" s="3">
        <v>0.31525602605364128</v>
      </c>
      <c r="I80" s="3"/>
      <c r="J80" s="18">
        <f t="array" ref="J80">SUM(F80:H80)</f>
        <v>1.7384008034609215</v>
      </c>
      <c r="K80" s="66">
        <f t="array" ref="K80">PRODUCT(J80,$H$8,$I$8)</f>
        <v>3.4545574778086925</v>
      </c>
      <c r="M80" s="8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2:51" x14ac:dyDescent="0.2">
      <c r="B81" s="83"/>
      <c r="D81" s="3">
        <v>1100</v>
      </c>
      <c r="E81" s="3"/>
      <c r="F81" s="16">
        <v>1.0593852116450162</v>
      </c>
      <c r="G81" s="3">
        <v>0.5216665887197629</v>
      </c>
      <c r="H81" s="3">
        <v>0.37635026798394366</v>
      </c>
      <c r="I81" s="3"/>
      <c r="J81" s="18">
        <f t="array" ref="J81">SUM(F81:H81)</f>
        <v>1.9574020683487228</v>
      </c>
      <c r="K81" s="66">
        <f t="array" ref="K81">PRODUCT(J81,$H$8,$I$8)</f>
        <v>3.8897577237827639</v>
      </c>
      <c r="M81" s="8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2:51" x14ac:dyDescent="0.2">
      <c r="B82" s="83"/>
      <c r="D82" s="3">
        <v>1200</v>
      </c>
      <c r="E82" s="3"/>
      <c r="F82" s="16">
        <v>1.1402791239791061</v>
      </c>
      <c r="G82" s="3">
        <v>0.58932219741886305</v>
      </c>
      <c r="H82" s="3">
        <v>0.43626224320069429</v>
      </c>
      <c r="I82" s="3"/>
      <c r="J82" s="18">
        <f t="array" ref="J82">SUM(F82:H82)</f>
        <v>2.1658635645986637</v>
      </c>
      <c r="K82" s="66">
        <f t="array" ref="K82">PRODUCT(J82,$H$8,$I$8)</f>
        <v>4.3040132966470397</v>
      </c>
      <c r="M82" s="8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2:51" x14ac:dyDescent="0.2">
      <c r="B83" s="83"/>
      <c r="D83" s="3">
        <v>1300</v>
      </c>
      <c r="E83" s="3"/>
      <c r="F83" s="16">
        <v>1.2155292100365598</v>
      </c>
      <c r="G83" s="3">
        <v>0.65396561893667449</v>
      </c>
      <c r="H83" s="3">
        <v>0.49453340329282791</v>
      </c>
      <c r="I83" s="3"/>
      <c r="J83" s="18">
        <f t="array" ref="J83">SUM(F83:H83)</f>
        <v>2.3640282322660622</v>
      </c>
      <c r="K83" s="66">
        <f t="array" ref="K83">PRODUCT(J83,$H$8,$I$8)</f>
        <v>4.6978069679137562</v>
      </c>
      <c r="M83" s="8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2:51" x14ac:dyDescent="0.2">
      <c r="B84" s="83"/>
      <c r="D84" s="3">
        <v>1400</v>
      </c>
      <c r="E84" s="3"/>
      <c r="F84" s="16">
        <v>1.2858143918377545</v>
      </c>
      <c r="G84" s="3">
        <v>0.71563871763042053</v>
      </c>
      <c r="H84" s="3">
        <v>0.55092151587928351</v>
      </c>
      <c r="I84" s="3"/>
      <c r="J84" s="18">
        <f t="array" ref="J84">SUM(F84:H84)</f>
        <v>2.5523746253474586</v>
      </c>
      <c r="K84" s="66">
        <f t="array" ref="K84">PRODUCT(J84,$H$8,$I$8)</f>
        <v>5.0720897221222625</v>
      </c>
      <c r="M84" s="8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2:51" x14ac:dyDescent="0.2">
      <c r="B85" s="83"/>
      <c r="D85" s="3">
        <v>1500</v>
      </c>
      <c r="E85" s="3"/>
      <c r="F85" s="16">
        <v>1.3517102412339004</v>
      </c>
      <c r="G85" s="3">
        <v>0.77445687400677132</v>
      </c>
      <c r="H85" s="3">
        <v>0.60532120149791768</v>
      </c>
      <c r="I85" s="3"/>
      <c r="J85" s="18">
        <f t="array" ref="J85">SUM(F85:H85)</f>
        <v>2.7314883167385897</v>
      </c>
      <c r="K85" s="66">
        <f t="array" ref="K85">PRODUCT(J85,$H$8,$I$8)</f>
        <v>5.4280252122240187</v>
      </c>
      <c r="M85" s="8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2:51" x14ac:dyDescent="0.2">
      <c r="B86" s="83"/>
      <c r="D86" s="3">
        <v>1600</v>
      </c>
      <c r="E86" s="3"/>
      <c r="F86" s="16">
        <v>1.4137053917681364</v>
      </c>
      <c r="G86" s="3">
        <v>0.83057119732203089</v>
      </c>
      <c r="H86" s="3">
        <v>0.65771235616404267</v>
      </c>
      <c r="I86" s="3"/>
      <c r="J86" s="18">
        <f t="array" ref="J86">SUM(F86:H86)</f>
        <v>2.9019889452542098</v>
      </c>
      <c r="K86" s="66">
        <f t="array" ref="K86">PRODUCT(J86,$H$8,$I$8)</f>
        <v>5.7668447871097923</v>
      </c>
      <c r="M86" s="8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2:51" x14ac:dyDescent="0.2">
      <c r="B87" s="83"/>
      <c r="D87" s="3">
        <v>1700</v>
      </c>
      <c r="E87" s="3"/>
      <c r="F87" s="16">
        <v>1.4722161761989869</v>
      </c>
      <c r="G87" s="3">
        <v>0.88414679118914541</v>
      </c>
      <c r="H87" s="3">
        <v>0.70812692630270879</v>
      </c>
      <c r="I87" s="3"/>
      <c r="J87" s="18">
        <f t="array" ref="J87">SUM(F87:H87)</f>
        <v>3.0644898936908409</v>
      </c>
      <c r="K87" s="66">
        <f t="array" ref="K87">PRODUCT(J87,$H$8,$I$8)</f>
        <v>6.0897673636842855</v>
      </c>
      <c r="M87" s="8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spans="2:51" x14ac:dyDescent="0.2">
      <c r="B88" s="83"/>
      <c r="D88" s="3">
        <v>1800</v>
      </c>
      <c r="E88" s="3"/>
      <c r="F88" s="16">
        <v>1.52759900045357</v>
      </c>
      <c r="G88" s="3">
        <v>0.93535043528058548</v>
      </c>
      <c r="H88" s="3">
        <v>0.7566275801562562</v>
      </c>
      <c r="I88" s="3"/>
      <c r="J88" s="18">
        <f t="array" ref="J88">SUM(F88:H88)</f>
        <v>3.2195770158904118</v>
      </c>
      <c r="K88" s="66">
        <f t="array" ref="K88">PRODUCT(J88,$H$8,$I$8)</f>
        <v>6.3979571531964261</v>
      </c>
      <c r="M88" s="8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spans="2:51" x14ac:dyDescent="0.2">
      <c r="B89" s="83"/>
      <c r="D89" s="3">
        <v>1900</v>
      </c>
      <c r="E89" s="3"/>
      <c r="F89" s="16">
        <v>1.5801605569477633</v>
      </c>
      <c r="G89" s="3">
        <v>0.98434380882406525</v>
      </c>
      <c r="H89" s="3">
        <v>0.80329405424572264</v>
      </c>
      <c r="I89" s="3"/>
      <c r="J89" s="18">
        <f t="array" ref="J89">SUM(F89:H89)</f>
        <v>3.367798420017551</v>
      </c>
      <c r="K89" s="66">
        <f t="array" ref="K89">PRODUCT(J89,$H$8,$I$8)</f>
        <v>6.6925033585245135</v>
      </c>
      <c r="M89" s="8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pans="2:51" ht="17" thickBot="1" x14ac:dyDescent="0.25">
      <c r="B90" s="83"/>
      <c r="D90" s="3">
        <v>2000</v>
      </c>
      <c r="E90" s="3"/>
      <c r="F90" s="22">
        <v>1.6301661684242121</v>
      </c>
      <c r="G90" s="23">
        <v>1.0312799793456513</v>
      </c>
      <c r="H90" s="23">
        <v>0.84821445234248682</v>
      </c>
      <c r="I90" s="23"/>
      <c r="J90" s="25">
        <f t="array" ref="J90">SUM(F90:H90)</f>
        <v>3.5096606001123503</v>
      </c>
      <c r="K90" s="67">
        <f t="array" ref="K90">PRODUCT(J90,$H$8,$I$8)</f>
        <v>6.9744124867813957</v>
      </c>
      <c r="M90" s="8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pans="2:51" x14ac:dyDescent="0.2">
      <c r="B91" s="83"/>
      <c r="D91" s="3"/>
      <c r="E91" s="3"/>
      <c r="F91" s="3"/>
      <c r="G91" s="3"/>
      <c r="H91" s="3"/>
      <c r="I91" s="3"/>
      <c r="M91" s="8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pans="2:51" ht="17" thickBot="1" x14ac:dyDescent="0.25">
      <c r="B92" s="41"/>
      <c r="C92" s="42"/>
      <c r="D92" s="23"/>
      <c r="E92" s="23"/>
      <c r="F92" s="23"/>
      <c r="G92" s="23"/>
      <c r="H92" s="23"/>
      <c r="I92" s="23"/>
      <c r="J92" s="23"/>
      <c r="K92" s="23"/>
      <c r="L92" s="42"/>
      <c r="M92" s="4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pans="2:51" x14ac:dyDescent="0.2">
      <c r="D93" s="3"/>
      <c r="E93" s="3"/>
      <c r="F93" s="14"/>
      <c r="G93" s="14"/>
      <c r="H93" s="14"/>
      <c r="I93" s="14"/>
      <c r="J93" s="14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pans="2:51" ht="17" thickBot="1" x14ac:dyDescent="0.25">
      <c r="D94" s="3"/>
      <c r="E94" s="3"/>
      <c r="F94" s="14"/>
      <c r="G94" s="14"/>
      <c r="H94" s="14"/>
      <c r="I94" s="14"/>
      <c r="J94" s="14"/>
      <c r="AE94" s="14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pans="2:51" x14ac:dyDescent="0.2">
      <c r="B95" s="40"/>
      <c r="C95" s="10"/>
      <c r="D95" s="10"/>
      <c r="E95" s="7"/>
      <c r="F95" s="7"/>
      <c r="G95" s="7"/>
      <c r="H95" s="7"/>
      <c r="I95" s="7"/>
      <c r="J95" s="7"/>
      <c r="K95" s="7"/>
      <c r="L95" s="7"/>
      <c r="M95" s="8"/>
      <c r="N95" s="3"/>
      <c r="O95" s="3"/>
      <c r="P95" s="3"/>
      <c r="Q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pans="2:51" ht="17" thickBot="1" x14ac:dyDescent="0.25">
      <c r="B96" s="83"/>
      <c r="C96" s="3"/>
      <c r="D96" s="3"/>
      <c r="E96" s="14"/>
      <c r="F96" s="14"/>
      <c r="G96" s="14"/>
      <c r="H96" s="14"/>
      <c r="I96" s="14"/>
      <c r="J96" s="14"/>
      <c r="K96" s="14"/>
      <c r="L96" s="14"/>
      <c r="M96" s="15"/>
      <c r="N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pans="2:51" ht="17" thickBot="1" x14ac:dyDescent="0.25">
      <c r="B97" s="83"/>
      <c r="C97" s="3"/>
      <c r="D97" s="3"/>
      <c r="E97" s="130" t="s">
        <v>49</v>
      </c>
      <c r="F97" s="131"/>
      <c r="G97" s="131"/>
      <c r="H97" s="131"/>
      <c r="I97" s="131"/>
      <c r="J97" s="131"/>
      <c r="K97" s="131"/>
      <c r="L97" s="132"/>
      <c r="M97" s="17"/>
      <c r="N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pans="2:51" x14ac:dyDescent="0.2">
      <c r="B98" s="83"/>
      <c r="C98" s="3"/>
      <c r="D98" s="3"/>
      <c r="E98" s="54" t="s">
        <v>48</v>
      </c>
      <c r="F98" s="3"/>
      <c r="G98" s="3"/>
      <c r="H98" s="3"/>
      <c r="I98" s="3"/>
      <c r="J98" s="3"/>
      <c r="K98" s="3"/>
      <c r="L98" s="3"/>
      <c r="M98" s="17"/>
      <c r="N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pans="2:51" ht="17" thickBot="1" x14ac:dyDescent="0.25">
      <c r="B99" s="83"/>
      <c r="C99" s="3"/>
      <c r="D99" s="3"/>
      <c r="E99" s="3"/>
      <c r="F99" s="3"/>
      <c r="G99" s="3"/>
      <c r="H99" s="3"/>
      <c r="I99" s="3"/>
      <c r="J99" s="3"/>
      <c r="K99" s="3"/>
      <c r="L99" s="3"/>
      <c r="M99" s="17"/>
      <c r="N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pans="2:51" ht="17" thickBot="1" x14ac:dyDescent="0.25">
      <c r="B100" s="83"/>
      <c r="C100" s="102" t="s">
        <v>0</v>
      </c>
      <c r="D100" s="3"/>
      <c r="E100" s="34" t="s">
        <v>13</v>
      </c>
      <c r="F100" s="59" t="s">
        <v>12</v>
      </c>
      <c r="G100" s="3"/>
      <c r="H100" s="60" t="s">
        <v>7</v>
      </c>
      <c r="I100" s="3"/>
      <c r="J100" s="34" t="s">
        <v>14</v>
      </c>
      <c r="K100" s="34" t="s">
        <v>15</v>
      </c>
      <c r="L100" s="68" t="s">
        <v>51</v>
      </c>
      <c r="M100" s="17"/>
      <c r="N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pans="2:51" x14ac:dyDescent="0.2">
      <c r="B101" s="83"/>
      <c r="C101" s="3">
        <v>298.14999999999998</v>
      </c>
      <c r="D101" s="3"/>
      <c r="E101" s="98">
        <f t="shared" ref="E101:E118" si="1">$C$8*C101/101325</f>
        <v>4.0625758633111278E-26</v>
      </c>
      <c r="F101" s="57" cm="1">
        <f t="array" ref="F101:F118">E101:E118*(2*PI()*$L$8*$C$8*C101:C118/($D$8)^2)^(3/2)</f>
        <v>12259991.810249273</v>
      </c>
      <c r="G101" s="3"/>
      <c r="H101" s="74">
        <f t="shared" ref="H101:H118" si="2">$H$8*$I$8*3/2</f>
        <v>2.9808063861893652</v>
      </c>
      <c r="I101" s="3"/>
      <c r="J101" s="98" cm="1">
        <f t="array" ref="J101:J118" xml:space="preserve"> (2 * PI() * $L$8 * $C$8 * C101:C118/ (($D$8)^2))^(3/2)</f>
        <v>3.0177877836001789E+32</v>
      </c>
      <c r="K101" s="98" cm="1">
        <f t="array" ref="K101:K118">$H$8*C101:C118/101325</f>
        <v>2.4465403696587219E-2</v>
      </c>
      <c r="L101" s="122" cm="1">
        <f t="array" ref="L101:L118">LN(J101:J118 * K101:K118*EXP(5/2) / $E$8)*$H$8*$I$8</f>
        <v>37.402864070867395</v>
      </c>
      <c r="M101" s="17"/>
      <c r="N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pans="2:51" x14ac:dyDescent="0.2">
      <c r="B102" s="83"/>
      <c r="C102" s="3">
        <v>400</v>
      </c>
      <c r="D102" s="3"/>
      <c r="E102" s="98">
        <f t="shared" si="1"/>
        <v>5.4503784850727862E-26</v>
      </c>
      <c r="F102" s="57">
        <v>25559545.338671427</v>
      </c>
      <c r="G102" s="3"/>
      <c r="H102" s="61">
        <f t="shared" si="2"/>
        <v>2.9808063861893652</v>
      </c>
      <c r="I102" s="3"/>
      <c r="J102" s="98">
        <v>4.6894991620623383E+32</v>
      </c>
      <c r="K102" s="98">
        <v>3.2822946431778931E-2</v>
      </c>
      <c r="L102" s="122">
        <v>38.862802585778482</v>
      </c>
      <c r="M102" s="17"/>
      <c r="AD102" s="54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2:51" x14ac:dyDescent="0.2">
      <c r="B103" s="83"/>
      <c r="C103" s="3">
        <v>500</v>
      </c>
      <c r="D103" s="3"/>
      <c r="E103" s="98">
        <f t="shared" si="1"/>
        <v>6.8129731063409828E-26</v>
      </c>
      <c r="F103" s="57">
        <v>44650688.165044941</v>
      </c>
      <c r="G103" s="3"/>
      <c r="H103" s="61">
        <f t="shared" si="2"/>
        <v>2.9808063861893652</v>
      </c>
      <c r="I103" s="3"/>
      <c r="J103" s="98">
        <v>6.553774316749845E+32</v>
      </c>
      <c r="K103" s="98">
        <v>4.1028683039723658E-2</v>
      </c>
      <c r="L103" s="122">
        <v>39.971382123769111</v>
      </c>
      <c r="M103" s="17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2:51" x14ac:dyDescent="0.2">
      <c r="B104" s="83"/>
      <c r="C104" s="3">
        <v>600</v>
      </c>
      <c r="D104" s="3"/>
      <c r="E104" s="98">
        <f t="shared" si="1"/>
        <v>8.1755677276091782E-26</v>
      </c>
      <c r="F104" s="57">
        <v>70433824.654437453</v>
      </c>
      <c r="G104" s="3"/>
      <c r="H104" s="61">
        <f t="shared" si="2"/>
        <v>2.9808063861893652</v>
      </c>
      <c r="I104" s="3"/>
      <c r="J104" s="98">
        <v>8.6151600721965719E+32</v>
      </c>
      <c r="K104" s="98">
        <v>4.92344196476684E-2</v>
      </c>
      <c r="L104" s="122">
        <v>40.877157558488122</v>
      </c>
      <c r="M104" s="17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2:51" x14ac:dyDescent="0.2">
      <c r="B105" s="83"/>
      <c r="C105" s="3">
        <v>700</v>
      </c>
      <c r="D105" s="3"/>
      <c r="E105" s="98">
        <f t="shared" si="1"/>
        <v>9.5381623488773759E-26</v>
      </c>
      <c r="F105" s="57">
        <v>103549557.15344563</v>
      </c>
      <c r="G105" s="3"/>
      <c r="H105" s="61">
        <f t="shared" si="2"/>
        <v>2.9808063861893652</v>
      </c>
      <c r="I105" s="3"/>
      <c r="J105" s="98">
        <v>1.0856342486729976E+33</v>
      </c>
      <c r="K105" s="98">
        <v>5.7440156255613127E-2</v>
      </c>
      <c r="L105" s="122">
        <v>41.642979776595666</v>
      </c>
      <c r="M105" s="17"/>
      <c r="AE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Y105" s="3"/>
    </row>
    <row r="106" spans="2:51" x14ac:dyDescent="0.2">
      <c r="B106" s="83"/>
      <c r="C106" s="3">
        <v>800</v>
      </c>
      <c r="D106" s="3"/>
      <c r="E106" s="98">
        <f t="shared" si="1"/>
        <v>1.0900756970145572E-25</v>
      </c>
      <c r="F106" s="57">
        <v>144586622.66415703</v>
      </c>
      <c r="G106" s="3"/>
      <c r="H106" s="61">
        <f t="shared" si="2"/>
        <v>2.9808063861893652</v>
      </c>
      <c r="I106" s="3"/>
      <c r="J106" s="98">
        <v>1.3263906631451685E+33</v>
      </c>
      <c r="K106" s="98">
        <v>6.5645892863557861E-2</v>
      </c>
      <c r="L106" s="122">
        <v>42.306365156415552</v>
      </c>
      <c r="M106" s="17"/>
      <c r="AE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2:51" x14ac:dyDescent="0.2">
      <c r="B107" s="83"/>
      <c r="C107" s="3">
        <v>900</v>
      </c>
      <c r="D107" s="3"/>
      <c r="E107" s="98">
        <f t="shared" si="1"/>
        <v>1.2263351591413768E-25</v>
      </c>
      <c r="F107" s="57">
        <v>194092797.41553921</v>
      </c>
      <c r="G107" s="3"/>
      <c r="H107" s="61">
        <f t="shared" si="2"/>
        <v>2.9808063861893652</v>
      </c>
      <c r="I107" s="3"/>
      <c r="J107" s="98">
        <v>1.5827059671960643E+33</v>
      </c>
      <c r="K107" s="98">
        <v>7.3851629471502603E-2</v>
      </c>
      <c r="L107" s="122">
        <v>42.891512531197776</v>
      </c>
      <c r="M107" s="17"/>
      <c r="AE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2:51" x14ac:dyDescent="0.2">
      <c r="B108" s="83"/>
      <c r="C108" s="3">
        <v>1000</v>
      </c>
      <c r="D108" s="3"/>
      <c r="E108" s="98">
        <f t="shared" si="1"/>
        <v>1.3625946212681966E-25</v>
      </c>
      <c r="F108" s="57">
        <v>252582435.0891943</v>
      </c>
      <c r="G108" s="3"/>
      <c r="H108" s="61">
        <f t="shared" si="2"/>
        <v>2.9808063861893652</v>
      </c>
      <c r="I108" s="3"/>
      <c r="J108" s="98">
        <v>1.853687304696024E+33</v>
      </c>
      <c r="K108" s="98">
        <v>8.2057366079447316E-2</v>
      </c>
      <c r="L108" s="122">
        <v>43.414944694406181</v>
      </c>
      <c r="M108" s="17"/>
      <c r="AE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2:51" x14ac:dyDescent="0.2">
      <c r="B109" s="83"/>
      <c r="C109" s="3">
        <v>1100</v>
      </c>
      <c r="D109" s="3"/>
      <c r="E109" s="98">
        <f t="shared" si="1"/>
        <v>1.4988540833950161E-25</v>
      </c>
      <c r="F109" s="57">
        <v>320541938.30483311</v>
      </c>
      <c r="G109" s="3"/>
      <c r="H109" s="61">
        <f t="shared" si="2"/>
        <v>2.9808063861893652</v>
      </c>
      <c r="I109" s="3"/>
      <c r="J109" s="98">
        <v>2.1385800115964707E+33</v>
      </c>
      <c r="K109" s="98">
        <v>9.0263102687392072E-2</v>
      </c>
      <c r="L109" s="122">
        <v>43.888446682122179</v>
      </c>
      <c r="M109" s="17"/>
      <c r="AE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2:51" x14ac:dyDescent="0.2">
      <c r="B110" s="83"/>
      <c r="C110" s="3">
        <v>1200</v>
      </c>
      <c r="D110" s="3"/>
      <c r="E110" s="98">
        <f t="shared" si="1"/>
        <v>1.6351135455218356E-25</v>
      </c>
      <c r="F110" s="57">
        <v>398433880.30445683</v>
      </c>
      <c r="G110" s="3"/>
      <c r="H110" s="61">
        <f t="shared" si="2"/>
        <v>2.9808063861893652</v>
      </c>
      <c r="I110" s="3"/>
      <c r="J110" s="98">
        <v>2.4367352432231199E+33</v>
      </c>
      <c r="K110" s="98">
        <v>9.8468839295336799E-2</v>
      </c>
      <c r="L110" s="122">
        <v>44.320720129125199</v>
      </c>
      <c r="M110" s="17"/>
      <c r="AE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2:51" x14ac:dyDescent="0.2">
      <c r="B111" s="83"/>
      <c r="C111" s="3">
        <v>1300</v>
      </c>
      <c r="D111" s="3"/>
      <c r="E111" s="98">
        <f t="shared" si="1"/>
        <v>1.7713730076486554E-25</v>
      </c>
      <c r="F111" s="57">
        <v>486700202.15767324</v>
      </c>
      <c r="G111" s="3"/>
      <c r="H111" s="61">
        <f t="shared" si="2"/>
        <v>2.9808063861893652</v>
      </c>
      <c r="I111" s="3"/>
      <c r="J111" s="98">
        <v>2.7475873238224722E+33</v>
      </c>
      <c r="K111" s="98">
        <v>0.10667457590328153</v>
      </c>
      <c r="L111" s="122">
        <v>44.718373152793809</v>
      </c>
      <c r="M111" s="17"/>
      <c r="AE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spans="2:51" x14ac:dyDescent="0.2">
      <c r="B112" s="83"/>
      <c r="C112" s="3">
        <v>1400</v>
      </c>
      <c r="D112" s="3"/>
      <c r="E112" s="98">
        <f t="shared" si="1"/>
        <v>1.9076324697754752E-25</v>
      </c>
      <c r="F112" s="57">
        <v>585764752.4165163</v>
      </c>
      <c r="G112" s="3"/>
      <c r="H112" s="61">
        <f t="shared" si="2"/>
        <v>2.9808063861893652</v>
      </c>
      <c r="I112" s="3"/>
      <c r="J112" s="98">
        <v>3.0706373565001215E+33</v>
      </c>
      <c r="K112" s="98">
        <v>0.11488031251122625</v>
      </c>
      <c r="L112" s="122">
        <v>45.086542347232708</v>
      </c>
      <c r="M112" s="17"/>
      <c r="AE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2:51" x14ac:dyDescent="0.2">
      <c r="B113" s="83"/>
      <c r="C113" s="3">
        <v>1500</v>
      </c>
      <c r="D113" s="3"/>
      <c r="E113" s="98">
        <f t="shared" si="1"/>
        <v>2.0438919319022949E-25</v>
      </c>
      <c r="F113" s="57">
        <v>696035344.45294738</v>
      </c>
      <c r="G113" s="3"/>
      <c r="H113" s="61">
        <f t="shared" si="2"/>
        <v>2.9808063861893652</v>
      </c>
      <c r="I113" s="3"/>
      <c r="J113" s="98">
        <v>3.4054410293852085E+33</v>
      </c>
      <c r="K113" s="98">
        <v>0.12308604911917098</v>
      </c>
      <c r="L113" s="122">
        <v>45.429299667115799</v>
      </c>
      <c r="M113" s="17"/>
      <c r="AE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spans="2:51" x14ac:dyDescent="0.2">
      <c r="B114" s="83"/>
      <c r="C114" s="3">
        <v>1600</v>
      </c>
      <c r="D114" s="3"/>
      <c r="E114" s="98">
        <f t="shared" si="1"/>
        <v>2.1801513940291145E-25</v>
      </c>
      <c r="F114" s="57">
        <v>817905450.8374902</v>
      </c>
      <c r="G114" s="3"/>
      <c r="H114" s="61">
        <f t="shared" si="2"/>
        <v>2.9808063861893652</v>
      </c>
      <c r="I114" s="3"/>
      <c r="J114" s="98">
        <v>3.7515993296498914E+33</v>
      </c>
      <c r="K114" s="98">
        <v>0.13129178572711572</v>
      </c>
      <c r="L114" s="122">
        <v>45.749927727052615</v>
      </c>
      <c r="M114" s="17"/>
      <c r="AE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spans="2:51" x14ac:dyDescent="0.2">
      <c r="B115" s="83"/>
      <c r="C115" s="3">
        <v>1700</v>
      </c>
      <c r="D115" s="3"/>
      <c r="E115" s="98">
        <f t="shared" si="1"/>
        <v>2.316410856155934E-25</v>
      </c>
      <c r="F115" s="57">
        <v>951755618.60365522</v>
      </c>
      <c r="G115" s="3"/>
      <c r="H115" s="61">
        <f t="shared" si="2"/>
        <v>2.9808063861893652</v>
      </c>
      <c r="I115" s="3"/>
      <c r="J115" s="98">
        <v>4.1087513299911155E+33</v>
      </c>
      <c r="K115" s="98">
        <v>0.13949752233506044</v>
      </c>
      <c r="L115" s="122">
        <v>46.051111493503868</v>
      </c>
      <c r="M115" s="17"/>
      <c r="AE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spans="2:51" x14ac:dyDescent="0.2">
      <c r="B116" s="83"/>
      <c r="C116" s="3">
        <v>1800</v>
      </c>
      <c r="D116" s="3"/>
      <c r="E116" s="98">
        <f t="shared" si="1"/>
        <v>2.4526703182827536E-25</v>
      </c>
      <c r="F116" s="57">
        <v>1097954665.8559442</v>
      </c>
      <c r="G116" s="3"/>
      <c r="H116" s="61">
        <f t="shared" si="2"/>
        <v>2.9808063861893652</v>
      </c>
      <c r="I116" s="3"/>
      <c r="J116" s="98">
        <v>4.4765684881149505E+33</v>
      </c>
      <c r="K116" s="98">
        <v>0.14770325894300521</v>
      </c>
      <c r="L116" s="122">
        <v>46.335075101834818</v>
      </c>
      <c r="M116" s="17"/>
      <c r="AE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spans="2:51" x14ac:dyDescent="0.2">
      <c r="B117" s="83"/>
      <c r="C117" s="3">
        <v>1900</v>
      </c>
      <c r="D117" s="3"/>
      <c r="E117" s="98">
        <f t="shared" si="1"/>
        <v>2.5889297804095731E-25</v>
      </c>
      <c r="F117" s="57">
        <v>1256860704.3079922</v>
      </c>
      <c r="G117" s="3"/>
      <c r="H117" s="61">
        <f t="shared" si="2"/>
        <v>2.9808063861893652</v>
      </c>
      <c r="I117" s="3"/>
      <c r="J117" s="98">
        <v>4.8547500740215311E+33</v>
      </c>
      <c r="K117" s="98">
        <v>0.15590899555094992</v>
      </c>
      <c r="L117" s="122">
        <v>46.603681632578073</v>
      </c>
      <c r="M117" s="17"/>
      <c r="AE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spans="2:51" ht="17" thickBot="1" x14ac:dyDescent="0.25">
      <c r="B118" s="83"/>
      <c r="C118" s="3">
        <v>2000</v>
      </c>
      <c r="D118" s="3"/>
      <c r="E118" s="101">
        <f t="shared" si="1"/>
        <v>2.7251892425363931E-25</v>
      </c>
      <c r="F118" s="58">
        <v>1428822021.281446</v>
      </c>
      <c r="G118" s="3"/>
      <c r="H118" s="62">
        <f t="shared" si="2"/>
        <v>2.9808063861893652</v>
      </c>
      <c r="I118" s="3"/>
      <c r="J118" s="101">
        <v>5.2430194533999048E+33</v>
      </c>
      <c r="K118" s="101">
        <v>0.16411473215889463</v>
      </c>
      <c r="L118" s="123">
        <v>46.858507265043251</v>
      </c>
      <c r="M118" s="17"/>
      <c r="AE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spans="2:51" x14ac:dyDescent="0.2">
      <c r="B119" s="8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17"/>
      <c r="AE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spans="2:51" ht="17" thickBot="1" x14ac:dyDescent="0.25">
      <c r="B120" s="41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3"/>
      <c r="AE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spans="2:51" x14ac:dyDescent="0.2">
      <c r="AE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spans="2:51" ht="17" thickBot="1" x14ac:dyDescent="0.25">
      <c r="AE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spans="2:51" x14ac:dyDescent="0.2">
      <c r="B123" s="6"/>
      <c r="C123" s="7"/>
      <c r="D123" s="7"/>
      <c r="E123" s="7"/>
      <c r="F123" s="7"/>
      <c r="G123" s="7"/>
      <c r="H123" s="7"/>
      <c r="I123" s="7"/>
      <c r="J123" s="10"/>
      <c r="K123" s="10"/>
      <c r="L123" s="10"/>
      <c r="M123" s="110"/>
      <c r="AE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spans="2:51" ht="17" thickBot="1" x14ac:dyDescent="0.25">
      <c r="B124" s="13"/>
      <c r="C124" s="14"/>
      <c r="D124" s="14"/>
      <c r="E124" s="14"/>
      <c r="F124" s="14"/>
      <c r="G124" s="14"/>
      <c r="H124" s="14"/>
      <c r="I124" s="14"/>
      <c r="J124" s="3"/>
      <c r="K124" s="3"/>
      <c r="L124" s="3"/>
      <c r="M124" s="85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spans="2:51" ht="17" thickBot="1" x14ac:dyDescent="0.25">
      <c r="B125" s="83"/>
      <c r="C125" s="3"/>
      <c r="D125" s="3"/>
      <c r="E125" s="133" t="s">
        <v>52</v>
      </c>
      <c r="F125" s="134"/>
      <c r="G125" s="134"/>
      <c r="H125" s="134"/>
      <c r="I125" s="134"/>
      <c r="J125" s="134"/>
      <c r="K125" s="134"/>
      <c r="L125" s="135"/>
      <c r="M125" s="85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spans="2:51" x14ac:dyDescent="0.2">
      <c r="B126" s="83"/>
      <c r="C126" s="3"/>
      <c r="D126" s="3"/>
      <c r="E126" s="3"/>
      <c r="F126" s="3"/>
      <c r="G126" s="3"/>
      <c r="H126" s="3"/>
      <c r="I126" s="3"/>
      <c r="J126" s="3"/>
      <c r="K126" s="3"/>
      <c r="M126" s="85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spans="2:51" ht="17" thickBot="1" x14ac:dyDescent="0.25">
      <c r="B127" s="83"/>
      <c r="C127" s="3"/>
      <c r="D127" s="3"/>
      <c r="E127" s="3"/>
      <c r="M127" s="85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spans="2:51" ht="17" thickBot="1" x14ac:dyDescent="0.25">
      <c r="B128" s="83"/>
      <c r="C128" s="102" t="s">
        <v>0</v>
      </c>
      <c r="D128" s="103"/>
      <c r="F128" s="115" t="s">
        <v>20</v>
      </c>
      <c r="G128" s="3"/>
      <c r="H128" s="116" t="s">
        <v>7</v>
      </c>
      <c r="I128" s="3"/>
      <c r="J128" s="3"/>
      <c r="K128" s="3"/>
      <c r="L128" s="68" t="s">
        <v>50</v>
      </c>
      <c r="M128" s="85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spans="2:51" x14ac:dyDescent="0.2">
      <c r="B129" s="83"/>
      <c r="C129" s="3">
        <v>298.14999999999998</v>
      </c>
      <c r="D129" s="3"/>
      <c r="F129" s="91">
        <f>(SQRT($K$17*$L$17*$M$17)*8*(PI())^2*(2*PI() * $C$8*C129)^(3/2))/($F$8*($D$8)^3)</f>
        <v>2264.4463130606919</v>
      </c>
      <c r="G129" s="3"/>
      <c r="H129" s="117">
        <f>$H$8*$I$8*3/2</f>
        <v>2.9808063861893652</v>
      </c>
      <c r="I129" s="3"/>
      <c r="J129" s="97">
        <f>(SQRT(PI())/$F$8)*(C129^3/($K$19*$L$19*$M$19))^(1/2)</f>
        <v>2264.4535903564588</v>
      </c>
      <c r="K129" s="8">
        <f t="shared" ref="K129:K146" si="3">(LN(J129)+1.5)*$C$8</f>
        <v>1.2736609582938146E-22</v>
      </c>
      <c r="L129" s="124">
        <f t="shared" ref="L129:L146" si="4">K129*$E$8*$I$8</f>
        <v>18.332135676251973</v>
      </c>
      <c r="M129" s="85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spans="2:51" x14ac:dyDescent="0.2">
      <c r="B130" s="83"/>
      <c r="C130" s="3">
        <v>400</v>
      </c>
      <c r="D130" s="3"/>
      <c r="F130" s="57">
        <f t="shared" ref="F130:F146" si="5">(SQRT($K$17*$L$17*$M$17)*8*PI()^2*(2*PI()*$C$8*C130)^(3/2))/($F$8*($D$8)^3)</f>
        <v>3518.8422278537278</v>
      </c>
      <c r="G130" s="3"/>
      <c r="H130" s="118">
        <f t="shared" ref="H130:H146" si="6">$H$8*$I$8*3/2</f>
        <v>2.9808063861893652</v>
      </c>
      <c r="I130" s="3"/>
      <c r="J130" s="98">
        <f t="shared" ref="J130:J146" si="7">(SQRT(PI())/$F$8)*(C130^3/($K$19*$L$19*$M$19))^(1/2)</f>
        <v>3518.8535364263862</v>
      </c>
      <c r="K130" s="15">
        <f t="shared" si="3"/>
        <v>1.3345202074557605E-22</v>
      </c>
      <c r="L130" s="122">
        <f t="shared" si="4"/>
        <v>19.208098785214794</v>
      </c>
      <c r="M130" s="85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spans="2:51" x14ac:dyDescent="0.2">
      <c r="B131" s="83"/>
      <c r="C131" s="3">
        <v>500</v>
      </c>
      <c r="D131" s="3"/>
      <c r="F131" s="57">
        <f t="shared" si="5"/>
        <v>4917.7315147361151</v>
      </c>
      <c r="G131" s="3"/>
      <c r="H131" s="118">
        <f t="shared" si="6"/>
        <v>2.9808063861893652</v>
      </c>
      <c r="I131" s="3"/>
      <c r="J131" s="98">
        <f t="shared" si="7"/>
        <v>4917.7473189468319</v>
      </c>
      <c r="K131" s="15">
        <f t="shared" si="3"/>
        <v>1.3807326456025223E-22</v>
      </c>
      <c r="L131" s="122">
        <f t="shared" si="4"/>
        <v>19.873246508021424</v>
      </c>
      <c r="M131" s="85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spans="2:51" x14ac:dyDescent="0.2">
      <c r="B132" s="83"/>
      <c r="C132" s="3">
        <v>600</v>
      </c>
      <c r="D132" s="3"/>
      <c r="F132" s="57">
        <f t="shared" si="5"/>
        <v>6464.5259576999679</v>
      </c>
      <c r="G132" s="3"/>
      <c r="H132" s="118">
        <f t="shared" si="6"/>
        <v>2.9808063861893652</v>
      </c>
      <c r="I132" s="3"/>
      <c r="J132" s="98">
        <f t="shared" si="7"/>
        <v>6464.546732874559</v>
      </c>
      <c r="K132" s="15">
        <f t="shared" si="3"/>
        <v>1.418490956862425E-22</v>
      </c>
      <c r="L132" s="122">
        <f t="shared" si="4"/>
        <v>20.41671176886285</v>
      </c>
      <c r="M132" s="85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spans="2:51" x14ac:dyDescent="0.2">
      <c r="B133" s="83"/>
      <c r="C133" s="3">
        <v>700</v>
      </c>
      <c r="D133" s="3"/>
      <c r="F133" s="57">
        <f t="shared" si="5"/>
        <v>8146.2337580517133</v>
      </c>
      <c r="G133" s="3"/>
      <c r="H133" s="118">
        <f t="shared" si="6"/>
        <v>2.9808063861893652</v>
      </c>
      <c r="I133" s="3"/>
      <c r="J133" s="98">
        <f t="shared" si="7"/>
        <v>8146.2599377638335</v>
      </c>
      <c r="K133" s="15">
        <f t="shared" si="3"/>
        <v>1.4504151541553483E-22</v>
      </c>
      <c r="L133" s="122">
        <f t="shared" si="4"/>
        <v>20.876205099735834</v>
      </c>
      <c r="M133" s="85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spans="2:51" x14ac:dyDescent="0.2">
      <c r="B134" s="83"/>
      <c r="C134" s="3">
        <v>800</v>
      </c>
      <c r="D134" s="3"/>
      <c r="F134" s="57">
        <f t="shared" si="5"/>
        <v>9952.7888049638241</v>
      </c>
      <c r="G134" s="3"/>
      <c r="H134" s="118">
        <f t="shared" si="6"/>
        <v>2.9808063861893652</v>
      </c>
      <c r="I134" s="3"/>
      <c r="J134" s="98">
        <f t="shared" si="7"/>
        <v>9952.8207904374449</v>
      </c>
      <c r="K134" s="15">
        <f t="shared" si="3"/>
        <v>1.4780691517096965E-22</v>
      </c>
      <c r="L134" s="122">
        <f t="shared" si="4"/>
        <v>21.274236327635109</v>
      </c>
      <c r="M134" s="85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spans="2:51" x14ac:dyDescent="0.2">
      <c r="B135" s="83"/>
      <c r="C135" s="3">
        <v>900</v>
      </c>
      <c r="D135" s="3"/>
      <c r="F135" s="57">
        <f t="shared" si="5"/>
        <v>11876.09251900635</v>
      </c>
      <c r="G135" s="3"/>
      <c r="H135" s="118">
        <f t="shared" si="6"/>
        <v>2.9808063861893652</v>
      </c>
      <c r="I135" s="3"/>
      <c r="J135" s="98">
        <f t="shared" si="7"/>
        <v>11876.130685439053</v>
      </c>
      <c r="K135" s="15">
        <f t="shared" si="3"/>
        <v>1.5024617062690891E-22</v>
      </c>
      <c r="L135" s="122">
        <f t="shared" si="4"/>
        <v>21.625324752510899</v>
      </c>
      <c r="M135" s="85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spans="2:51" x14ac:dyDescent="0.2">
      <c r="B136" s="83"/>
      <c r="C136" s="3">
        <v>1000</v>
      </c>
      <c r="D136" s="3"/>
      <c r="F136" s="57">
        <f t="shared" si="5"/>
        <v>13909.445208498635</v>
      </c>
      <c r="G136" s="3"/>
      <c r="H136" s="118">
        <f t="shared" si="6"/>
        <v>2.9808063861893652</v>
      </c>
      <c r="I136" s="3"/>
      <c r="J136" s="98">
        <f t="shared" si="7"/>
        <v>13909.489909557074</v>
      </c>
      <c r="K136" s="15">
        <f t="shared" si="3"/>
        <v>1.5242815898564584E-22</v>
      </c>
      <c r="L136" s="122">
        <f t="shared" si="4"/>
        <v>21.939384050441738</v>
      </c>
      <c r="M136" s="85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spans="2:51" x14ac:dyDescent="0.2">
      <c r="B137" s="83"/>
      <c r="C137" s="3">
        <v>1100</v>
      </c>
      <c r="D137" s="3"/>
      <c r="F137" s="57">
        <f t="shared" si="5"/>
        <v>16047.184128592524</v>
      </c>
      <c r="G137" s="3"/>
      <c r="H137" s="118">
        <f t="shared" si="6"/>
        <v>2.9808063861893652</v>
      </c>
      <c r="I137" s="3"/>
      <c r="J137" s="98">
        <f t="shared" si="7"/>
        <v>16047.23569974459</v>
      </c>
      <c r="K137" s="15">
        <f t="shared" si="3"/>
        <v>1.5440200755219577E-22</v>
      </c>
      <c r="L137" s="122">
        <f t="shared" si="4"/>
        <v>22.223485243076567</v>
      </c>
      <c r="M137" s="85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spans="2:51" x14ac:dyDescent="0.2">
      <c r="B138" s="83"/>
      <c r="C138" s="3">
        <v>1200</v>
      </c>
      <c r="D138" s="3"/>
      <c r="F138" s="57">
        <f t="shared" si="5"/>
        <v>18284.440567384481</v>
      </c>
      <c r="G138" s="3"/>
      <c r="H138" s="118">
        <f t="shared" si="6"/>
        <v>2.9808063861893652</v>
      </c>
      <c r="I138" s="3"/>
      <c r="J138" s="98">
        <f t="shared" si="7"/>
        <v>18284.499328451766</v>
      </c>
      <c r="K138" s="15">
        <f t="shared" si="3"/>
        <v>1.562039901116361E-22</v>
      </c>
      <c r="L138" s="122">
        <f t="shared" si="4"/>
        <v>22.482849311283164</v>
      </c>
      <c r="M138" s="85"/>
    </row>
    <row r="139" spans="2:51" x14ac:dyDescent="0.2">
      <c r="B139" s="83"/>
      <c r="C139" s="3">
        <v>1300</v>
      </c>
      <c r="D139" s="3"/>
      <c r="F139" s="57">
        <f t="shared" si="5"/>
        <v>20616.969884541093</v>
      </c>
      <c r="G139" s="3"/>
      <c r="H139" s="118">
        <f t="shared" si="6"/>
        <v>2.9808063861893652</v>
      </c>
      <c r="I139" s="3"/>
      <c r="J139" s="98">
        <f t="shared" si="7"/>
        <v>20617.036141703826</v>
      </c>
      <c r="K139" s="15">
        <f t="shared" si="3"/>
        <v>1.5786165337623748E-22</v>
      </c>
      <c r="L139" s="122">
        <f t="shared" si="4"/>
        <v>22.721441125488724</v>
      </c>
      <c r="M139" s="85"/>
    </row>
    <row r="140" spans="2:51" x14ac:dyDescent="0.2">
      <c r="B140" s="83"/>
      <c r="C140" s="3">
        <v>1400</v>
      </c>
      <c r="D140" s="3"/>
      <c r="F140" s="57">
        <f t="shared" si="5"/>
        <v>23041.028525796621</v>
      </c>
      <c r="G140" s="3"/>
      <c r="H140" s="118">
        <f t="shared" si="6"/>
        <v>2.9808063861893652</v>
      </c>
      <c r="I140" s="3"/>
      <c r="J140" s="98">
        <f t="shared" si="7"/>
        <v>23041.102573204436</v>
      </c>
      <c r="K140" s="15">
        <f t="shared" si="3"/>
        <v>1.5939640984092846E-22</v>
      </c>
      <c r="L140" s="122">
        <f t="shared" si="4"/>
        <v>22.942342642156156</v>
      </c>
      <c r="M140" s="85"/>
    </row>
    <row r="141" spans="2:51" x14ac:dyDescent="0.2">
      <c r="B141" s="83"/>
      <c r="C141" s="3">
        <v>1500</v>
      </c>
      <c r="D141" s="3"/>
      <c r="F141" s="57">
        <f t="shared" si="5"/>
        <v>25553.282524516726</v>
      </c>
      <c r="H141" s="118">
        <f t="shared" si="6"/>
        <v>2.9808063861893652</v>
      </c>
      <c r="J141" s="98">
        <f t="shared" si="7"/>
        <v>25553.364645604626</v>
      </c>
      <c r="K141" s="15">
        <f t="shared" si="3"/>
        <v>1.6082523392631229E-22</v>
      </c>
      <c r="L141" s="122">
        <f t="shared" si="4"/>
        <v>23.147997034089794</v>
      </c>
      <c r="M141" s="85"/>
    </row>
    <row r="142" spans="2:51" x14ac:dyDescent="0.2">
      <c r="B142" s="83"/>
      <c r="C142" s="3">
        <v>1600</v>
      </c>
      <c r="D142" s="3"/>
      <c r="F142" s="57">
        <f t="shared" si="5"/>
        <v>28150.737822829975</v>
      </c>
      <c r="H142" s="118">
        <f t="shared" si="6"/>
        <v>2.9808063861893652</v>
      </c>
      <c r="J142" s="98">
        <f t="shared" si="7"/>
        <v>28150.82829141109</v>
      </c>
      <c r="K142" s="15">
        <f t="shared" si="3"/>
        <v>1.6216180959636328E-22</v>
      </c>
      <c r="L142" s="122">
        <f t="shared" si="4"/>
        <v>23.34037387005543</v>
      </c>
      <c r="M142" s="85"/>
    </row>
    <row r="143" spans="2:51" x14ac:dyDescent="0.2">
      <c r="B143" s="83"/>
      <c r="C143" s="3">
        <v>1700</v>
      </c>
      <c r="D143" s="3"/>
      <c r="F143" s="57">
        <f t="shared" si="5"/>
        <v>30830.686143814914</v>
      </c>
      <c r="H143" s="118">
        <f t="shared" si="6"/>
        <v>2.9808063861893652</v>
      </c>
      <c r="J143" s="98">
        <f t="shared" si="7"/>
        <v>30830.785224998992</v>
      </c>
      <c r="K143" s="15">
        <f t="shared" si="3"/>
        <v>1.6341732944865686E-22</v>
      </c>
      <c r="L143" s="122">
        <f t="shared" si="4"/>
        <v>23.521084129929505</v>
      </c>
      <c r="M143" s="85"/>
    </row>
    <row r="144" spans="2:51" x14ac:dyDescent="0.2">
      <c r="B144" s="83"/>
      <c r="C144" s="3">
        <v>1800</v>
      </c>
      <c r="D144" s="3"/>
      <c r="F144" s="57">
        <f t="shared" si="5"/>
        <v>33590.662216752957</v>
      </c>
      <c r="H144" s="118">
        <f t="shared" si="6"/>
        <v>2.9808063861893652</v>
      </c>
      <c r="J144" s="98">
        <f t="shared" si="7"/>
        <v>33590.770167726383</v>
      </c>
      <c r="K144" s="15">
        <f t="shared" si="3"/>
        <v>1.6460106505230253E-22</v>
      </c>
      <c r="L144" s="122">
        <f t="shared" si="4"/>
        <v>23.691462294931217</v>
      </c>
      <c r="M144" s="85"/>
    </row>
    <row r="145" spans="2:13" x14ac:dyDescent="0.2">
      <c r="B145" s="83"/>
      <c r="C145" s="3">
        <v>1900</v>
      </c>
      <c r="D145" s="3"/>
      <c r="F145" s="57">
        <f t="shared" si="5"/>
        <v>36428.40946500982</v>
      </c>
      <c r="H145" s="118">
        <f t="shared" si="6"/>
        <v>2.9808063861893652</v>
      </c>
      <c r="J145" s="98">
        <f t="shared" si="7"/>
        <v>36428.526535707926</v>
      </c>
      <c r="K145" s="15">
        <f t="shared" si="3"/>
        <v>1.657207828769963E-22</v>
      </c>
      <c r="L145" s="122">
        <f t="shared" si="4"/>
        <v>23.852626213380137</v>
      </c>
      <c r="M145" s="85"/>
    </row>
    <row r="146" spans="2:13" ht="17" thickBot="1" x14ac:dyDescent="0.25">
      <c r="B146" s="83"/>
      <c r="C146" s="3">
        <v>2000</v>
      </c>
      <c r="D146" s="3"/>
      <c r="F146" s="58">
        <f t="shared" si="5"/>
        <v>39341.852117888579</v>
      </c>
      <c r="H146" s="119">
        <f t="shared" si="6"/>
        <v>2.9808063861893652</v>
      </c>
      <c r="J146" s="101">
        <f t="shared" si="7"/>
        <v>39341.978551574655</v>
      </c>
      <c r="K146" s="21">
        <f t="shared" si="3"/>
        <v>1.6678305341103949E-22</v>
      </c>
      <c r="L146" s="123">
        <f t="shared" si="4"/>
        <v>24.00552159286206</v>
      </c>
      <c r="M146" s="85"/>
    </row>
    <row r="147" spans="2:13" x14ac:dyDescent="0.2">
      <c r="B147" s="1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85"/>
    </row>
    <row r="148" spans="2:13" ht="17" thickBot="1" x14ac:dyDescent="0.25">
      <c r="B148" s="22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43"/>
    </row>
  </sheetData>
  <mergeCells count="12">
    <mergeCell ref="E125:L125"/>
    <mergeCell ref="C4:L4"/>
    <mergeCell ref="C12:F12"/>
    <mergeCell ref="H14:I14"/>
    <mergeCell ref="H16:I16"/>
    <mergeCell ref="H17:I17"/>
    <mergeCell ref="H19:I19"/>
    <mergeCell ref="F25:K25"/>
    <mergeCell ref="F28:H28"/>
    <mergeCell ref="F50:H50"/>
    <mergeCell ref="F72:H72"/>
    <mergeCell ref="E97:L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0E32-F9EB-BD42-853D-FA4CAC830B83}">
  <dimension ref="B3:AO121"/>
  <sheetViews>
    <sheetView topLeftCell="C1" zoomScaleNormal="32" workbookViewId="0">
      <selection activeCell="AV75" sqref="AV75"/>
    </sheetView>
  </sheetViews>
  <sheetFormatPr baseColWidth="10" defaultRowHeight="16" x14ac:dyDescent="0.2"/>
  <cols>
    <col min="2" max="2" width="11.33203125" bestFit="1" customWidth="1"/>
    <col min="3" max="3" width="13.5" customWidth="1"/>
    <col min="4" max="4" width="11.5" bestFit="1" customWidth="1"/>
    <col min="5" max="5" width="12.33203125" customWidth="1"/>
    <col min="6" max="6" width="13.5" customWidth="1"/>
    <col min="7" max="7" width="12.6640625" bestFit="1" customWidth="1"/>
    <col min="8" max="8" width="14.1640625" bestFit="1" customWidth="1"/>
    <col min="9" max="12" width="12.5" bestFit="1" customWidth="1"/>
    <col min="13" max="13" width="11.5" bestFit="1" customWidth="1"/>
    <col min="14" max="22" width="11.5" customWidth="1"/>
    <col min="23" max="23" width="12.33203125" bestFit="1" customWidth="1"/>
    <col min="24" max="28" width="11.5" bestFit="1" customWidth="1"/>
    <col min="29" max="37" width="11.5" customWidth="1"/>
    <col min="38" max="39" width="11.5" bestFit="1" customWidth="1"/>
    <col min="40" max="40" width="11.33203125" bestFit="1" customWidth="1"/>
  </cols>
  <sheetData>
    <row r="3" spans="2:41" ht="17" thickBot="1" x14ac:dyDescent="0.25"/>
    <row r="4" spans="2:41" ht="17" thickBot="1" x14ac:dyDescent="0.25">
      <c r="K4" s="149" t="s">
        <v>21</v>
      </c>
      <c r="L4" s="150"/>
      <c r="M4" s="150"/>
      <c r="N4" s="150"/>
      <c r="O4" s="150"/>
      <c r="P4" s="150"/>
      <c r="Q4" s="150"/>
      <c r="R4" s="150"/>
      <c r="S4" s="150"/>
      <c r="T4" s="151"/>
    </row>
    <row r="5" spans="2:41" ht="49" thickBot="1" x14ac:dyDescent="0.25">
      <c r="F5" t="s">
        <v>56</v>
      </c>
      <c r="K5" s="33" t="s">
        <v>23</v>
      </c>
      <c r="L5" s="33" t="s">
        <v>22</v>
      </c>
      <c r="M5" s="33" t="s">
        <v>24</v>
      </c>
      <c r="N5" s="33" t="s">
        <v>25</v>
      </c>
      <c r="O5" s="33" t="s">
        <v>26</v>
      </c>
      <c r="P5" s="33" t="s">
        <v>28</v>
      </c>
      <c r="Q5" s="34" t="s">
        <v>29</v>
      </c>
      <c r="R5" s="86" t="s">
        <v>31</v>
      </c>
      <c r="S5" s="33" t="s">
        <v>33</v>
      </c>
      <c r="T5" s="33" t="s">
        <v>33</v>
      </c>
    </row>
    <row r="6" spans="2:41" ht="17" thickBot="1" x14ac:dyDescent="0.25">
      <c r="K6" s="32" t="s">
        <v>1</v>
      </c>
      <c r="L6" s="32" t="s">
        <v>3</v>
      </c>
      <c r="M6" s="32" t="s">
        <v>37</v>
      </c>
      <c r="N6" s="32" t="s">
        <v>16</v>
      </c>
      <c r="O6" s="32" t="s">
        <v>17</v>
      </c>
      <c r="P6" s="32" t="s">
        <v>8</v>
      </c>
      <c r="Q6" s="32" t="s">
        <v>30</v>
      </c>
      <c r="R6" s="32"/>
      <c r="S6" s="32"/>
      <c r="T6" s="32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2:41" ht="17" thickBot="1" x14ac:dyDescent="0.25">
      <c r="B7" s="40"/>
      <c r="C7" s="10"/>
      <c r="D7" s="10"/>
      <c r="E7" s="10"/>
      <c r="F7" s="10"/>
      <c r="G7" s="10"/>
      <c r="H7" s="112"/>
      <c r="K7" s="31" t="s">
        <v>2</v>
      </c>
      <c r="L7" s="30" t="s">
        <v>4</v>
      </c>
      <c r="M7" s="30" t="s">
        <v>38</v>
      </c>
      <c r="N7" s="30"/>
      <c r="O7" s="30" t="s">
        <v>18</v>
      </c>
      <c r="P7" s="30" t="s">
        <v>27</v>
      </c>
      <c r="Q7" s="30" t="s">
        <v>32</v>
      </c>
      <c r="R7" s="30" t="s">
        <v>34</v>
      </c>
      <c r="S7" s="30" t="s">
        <v>35</v>
      </c>
      <c r="T7" s="30" t="s">
        <v>36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2:41" ht="17" thickBot="1" x14ac:dyDescent="0.25">
      <c r="B8" s="83"/>
      <c r="C8" s="3"/>
      <c r="D8" s="3"/>
      <c r="E8" s="3"/>
      <c r="F8" s="3"/>
      <c r="G8" s="3"/>
      <c r="H8" s="113"/>
      <c r="I8" s="3"/>
      <c r="K8" s="28">
        <v>1.3806490000000001E-23</v>
      </c>
      <c r="L8" s="28">
        <v>6.6260701499999998E-34</v>
      </c>
      <c r="M8" s="28">
        <v>6.0221407599999999E+23</v>
      </c>
      <c r="N8" s="28">
        <v>1</v>
      </c>
      <c r="O8" s="28">
        <v>29979245800</v>
      </c>
      <c r="P8" s="29">
        <v>8.3144626180000003</v>
      </c>
      <c r="Q8" s="29">
        <v>0.239005736</v>
      </c>
      <c r="R8" s="29">
        <v>1.6605390666E-27</v>
      </c>
      <c r="S8" s="29">
        <v>28.01</v>
      </c>
      <c r="T8" s="29">
        <f>S8*R8</f>
        <v>4.6511699255466001E-26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2:41" ht="17" thickBot="1" x14ac:dyDescent="0.25">
      <c r="B9" s="83"/>
      <c r="C9" s="3"/>
      <c r="D9" s="3"/>
      <c r="E9" s="140" t="s">
        <v>47</v>
      </c>
      <c r="F9" s="141"/>
      <c r="G9" s="142"/>
      <c r="H9" s="84"/>
      <c r="I9" s="78"/>
      <c r="N9" s="78"/>
      <c r="O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3"/>
    </row>
    <row r="10" spans="2:41" x14ac:dyDescent="0.2">
      <c r="B10" s="83"/>
      <c r="C10" s="3"/>
      <c r="D10" s="3"/>
      <c r="E10" s="3"/>
      <c r="F10" s="3"/>
      <c r="G10" s="3"/>
      <c r="H10" s="113"/>
      <c r="I10" s="3"/>
      <c r="J10" s="3"/>
      <c r="L10" s="3"/>
      <c r="M10" s="3"/>
      <c r="N10" s="3"/>
      <c r="O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2:41" ht="17" thickBot="1" x14ac:dyDescent="0.25">
      <c r="B11" s="83"/>
      <c r="C11" s="3"/>
      <c r="D11" s="3"/>
      <c r="E11" s="3"/>
      <c r="F11" s="3"/>
      <c r="G11" s="3"/>
      <c r="H11" s="17"/>
      <c r="I11" s="3"/>
      <c r="J11" s="3"/>
      <c r="K11" s="3"/>
      <c r="L11" s="3"/>
      <c r="M11" s="3"/>
      <c r="N11" s="3"/>
      <c r="O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2:41" ht="17" thickBot="1" x14ac:dyDescent="0.25">
      <c r="B12" s="83"/>
      <c r="C12" s="102" t="s">
        <v>0</v>
      </c>
      <c r="D12" s="3"/>
      <c r="E12" s="55" t="s">
        <v>5</v>
      </c>
      <c r="F12" s="115" t="s">
        <v>55</v>
      </c>
      <c r="H12" s="85"/>
      <c r="Q12" s="133" t="s">
        <v>46</v>
      </c>
      <c r="R12" s="134"/>
      <c r="S12" s="134"/>
      <c r="T12" s="134"/>
      <c r="AO12" s="3"/>
    </row>
    <row r="13" spans="2:41" ht="17" thickBot="1" x14ac:dyDescent="0.25">
      <c r="B13" s="83"/>
      <c r="C13" s="3">
        <v>298.14999999999998</v>
      </c>
      <c r="D13" s="3"/>
      <c r="E13" s="13" cm="1">
        <f t="array" ref="E13:E30">EXP(-M15/(2*C13:C30))/(1-EXP(-M15/C13:C30))</f>
        <v>4.920734665221675E-3</v>
      </c>
      <c r="F13" s="114">
        <f t="shared" ref="F13:F30" si="0">PRODUCT(E13:E13)</f>
        <v>4.920734665221675E-3</v>
      </c>
      <c r="H13" s="85"/>
      <c r="L13" s="140" t="s">
        <v>39</v>
      </c>
      <c r="M13" s="141"/>
      <c r="N13" s="142"/>
      <c r="T13" s="27">
        <v>1</v>
      </c>
      <c r="AO13" s="3"/>
    </row>
    <row r="14" spans="2:41" ht="17" thickBot="1" x14ac:dyDescent="0.25">
      <c r="B14" s="83"/>
      <c r="C14" s="3">
        <v>400</v>
      </c>
      <c r="D14" s="3"/>
      <c r="E14" s="13">
        <v>1.9047872263307807E-2</v>
      </c>
      <c r="F14" s="92">
        <f t="shared" si="0"/>
        <v>1.9047872263307807E-2</v>
      </c>
      <c r="H14" s="85"/>
      <c r="M14">
        <v>1</v>
      </c>
      <c r="Q14" s="136" t="s">
        <v>40</v>
      </c>
      <c r="R14" s="137"/>
      <c r="S14" s="30" t="s">
        <v>41</v>
      </c>
      <c r="T14" s="39">
        <v>56.994293300000002</v>
      </c>
      <c r="AO14" s="3"/>
    </row>
    <row r="15" spans="2:41" ht="17" thickBot="1" x14ac:dyDescent="0.25">
      <c r="B15" s="83"/>
      <c r="C15" s="3">
        <v>500</v>
      </c>
      <c r="D15" s="3"/>
      <c r="E15" s="13">
        <v>4.2123042795707485E-2</v>
      </c>
      <c r="F15" s="92">
        <f t="shared" si="0"/>
        <v>4.2123042795707485E-2</v>
      </c>
      <c r="H15" s="85"/>
      <c r="M15" s="159">
        <v>3168.93</v>
      </c>
      <c r="Q15" s="121"/>
      <c r="R15" s="27"/>
      <c r="S15" s="30" t="s">
        <v>42</v>
      </c>
      <c r="T15" s="125">
        <f>T14*1000000000</f>
        <v>56994293300</v>
      </c>
      <c r="AO15" s="3"/>
    </row>
    <row r="16" spans="2:41" ht="17" thickBot="1" x14ac:dyDescent="0.25">
      <c r="B16" s="83"/>
      <c r="C16" s="3">
        <v>600</v>
      </c>
      <c r="D16" s="3"/>
      <c r="E16" s="13">
        <v>7.1670397260126237E-2</v>
      </c>
      <c r="F16" s="92">
        <f t="shared" si="0"/>
        <v>7.1670397260126237E-2</v>
      </c>
      <c r="H16" s="85"/>
      <c r="Q16" s="136" t="s">
        <v>43</v>
      </c>
      <c r="R16" s="137"/>
      <c r="S16" s="30" t="s">
        <v>19</v>
      </c>
      <c r="T16" s="44">
        <f>T15/$O$8</f>
        <v>1.90112498760726</v>
      </c>
      <c r="AO16" s="3"/>
    </row>
    <row r="17" spans="2:41" ht="17" thickBot="1" x14ac:dyDescent="0.25">
      <c r="B17" s="83"/>
      <c r="C17" s="3">
        <v>700</v>
      </c>
      <c r="D17" s="3"/>
      <c r="E17" s="13">
        <v>0.10512029222843917</v>
      </c>
      <c r="F17" s="92">
        <f t="shared" si="0"/>
        <v>0.10512029222843917</v>
      </c>
      <c r="H17" s="85"/>
      <c r="Q17" s="138" t="s">
        <v>44</v>
      </c>
      <c r="R17" s="139"/>
      <c r="S17" s="30" t="s">
        <v>45</v>
      </c>
      <c r="T17" s="48">
        <f>$L$8/(8*(PI())^2*$O$8*T16)</f>
        <v>1.472430904093609E-46</v>
      </c>
      <c r="AO17" s="3"/>
    </row>
    <row r="18" spans="2:41" ht="17" thickBot="1" x14ac:dyDescent="0.25">
      <c r="B18" s="83"/>
      <c r="C18" s="3">
        <v>800</v>
      </c>
      <c r="D18" s="3"/>
      <c r="E18" s="13">
        <v>0.14066745210020326</v>
      </c>
      <c r="F18" s="92">
        <f t="shared" si="0"/>
        <v>0.14066745210020326</v>
      </c>
      <c r="H18" s="85"/>
      <c r="Q18" s="128"/>
      <c r="R18" s="129"/>
      <c r="S18" s="49"/>
      <c r="T18" s="49"/>
      <c r="AO18" s="3"/>
    </row>
    <row r="19" spans="2:41" ht="17" thickBot="1" x14ac:dyDescent="0.25">
      <c r="B19" s="83"/>
      <c r="C19" s="3">
        <v>900</v>
      </c>
      <c r="D19" s="3"/>
      <c r="E19" s="13">
        <v>0.17719546571960901</v>
      </c>
      <c r="F19" s="92">
        <f t="shared" si="0"/>
        <v>0.17719546571960901</v>
      </c>
      <c r="H19" s="85"/>
      <c r="Q19" s="138" t="s">
        <v>53</v>
      </c>
      <c r="R19" s="139"/>
      <c r="S19" s="30" t="s">
        <v>54</v>
      </c>
      <c r="T19" s="50">
        <v>2.73529</v>
      </c>
      <c r="AO19" s="3"/>
    </row>
    <row r="20" spans="2:41" x14ac:dyDescent="0.2">
      <c r="B20" s="83"/>
      <c r="C20" s="3">
        <v>1000</v>
      </c>
      <c r="D20" s="3"/>
      <c r="E20" s="13">
        <v>0.21405831465206437</v>
      </c>
      <c r="F20" s="92">
        <f t="shared" si="0"/>
        <v>0.21405831465206437</v>
      </c>
      <c r="H20" s="85"/>
      <c r="AO20" s="3"/>
    </row>
    <row r="21" spans="2:41" x14ac:dyDescent="0.2">
      <c r="B21" s="83"/>
      <c r="C21" s="3">
        <v>1100</v>
      </c>
      <c r="D21" s="3"/>
      <c r="E21" s="13">
        <v>0.25089992953738427</v>
      </c>
      <c r="F21" s="92">
        <f t="shared" si="0"/>
        <v>0.25089992953738427</v>
      </c>
      <c r="H21" s="85"/>
      <c r="AO21" s="3"/>
    </row>
    <row r="22" spans="2:41" ht="17" thickBot="1" x14ac:dyDescent="0.25">
      <c r="B22" s="83"/>
      <c r="C22" s="3">
        <v>1200</v>
      </c>
      <c r="D22" s="3"/>
      <c r="E22" s="13">
        <v>0.28753475640372039</v>
      </c>
      <c r="F22" s="92">
        <f t="shared" si="0"/>
        <v>0.28753475640372039</v>
      </c>
      <c r="H22" s="85"/>
      <c r="AO22" s="3"/>
    </row>
    <row r="23" spans="2:41" x14ac:dyDescent="0.2">
      <c r="B23" s="83"/>
      <c r="C23" s="3">
        <v>1300</v>
      </c>
      <c r="D23" s="3"/>
      <c r="E23" s="13">
        <v>0.3238749292646052</v>
      </c>
      <c r="F23" s="92">
        <f t="shared" si="0"/>
        <v>0.3238749292646052</v>
      </c>
      <c r="H23" s="85"/>
      <c r="J23" s="40"/>
      <c r="K23" s="10"/>
      <c r="L23" s="10"/>
      <c r="M23" s="7"/>
      <c r="N23" s="7"/>
      <c r="O23" s="7"/>
      <c r="P23" s="7"/>
      <c r="Q23" s="7"/>
      <c r="R23" s="7"/>
      <c r="S23" s="7"/>
      <c r="T23" s="7"/>
      <c r="U23" s="8"/>
      <c r="AO23" s="3"/>
    </row>
    <row r="24" spans="2:41" ht="17" thickBot="1" x14ac:dyDescent="0.25">
      <c r="B24" s="83"/>
      <c r="C24" s="3">
        <v>1400</v>
      </c>
      <c r="D24" s="3"/>
      <c r="E24" s="13">
        <v>0.35988739952615512</v>
      </c>
      <c r="F24" s="92">
        <f t="shared" si="0"/>
        <v>0.35988739952615512</v>
      </c>
      <c r="H24" s="85"/>
      <c r="J24" s="83"/>
      <c r="K24" s="3"/>
      <c r="L24" s="3"/>
      <c r="M24" s="14"/>
      <c r="N24" s="14"/>
      <c r="O24" s="14"/>
      <c r="P24" s="14"/>
      <c r="Q24" s="14"/>
      <c r="R24" s="14"/>
      <c r="S24" s="14"/>
      <c r="T24" s="14"/>
      <c r="U24" s="15"/>
      <c r="AO24" s="3"/>
    </row>
    <row r="25" spans="2:41" ht="17" thickBot="1" x14ac:dyDescent="0.25">
      <c r="B25" s="83"/>
      <c r="C25" s="3">
        <v>1500</v>
      </c>
      <c r="D25" s="3"/>
      <c r="E25" s="13">
        <v>0.39556910187219513</v>
      </c>
      <c r="F25" s="92">
        <f t="shared" si="0"/>
        <v>0.39556910187219513</v>
      </c>
      <c r="H25" s="85"/>
      <c r="J25" s="83"/>
      <c r="K25" s="3"/>
      <c r="L25" s="3"/>
      <c r="M25" s="35" t="s">
        <v>49</v>
      </c>
      <c r="N25" s="104"/>
      <c r="O25" s="104"/>
      <c r="P25" s="104"/>
      <c r="Q25" s="104"/>
      <c r="R25" s="104"/>
      <c r="S25" s="104"/>
      <c r="T25" s="105"/>
      <c r="U25" s="17"/>
      <c r="AO25" s="3"/>
    </row>
    <row r="26" spans="2:41" x14ac:dyDescent="0.2">
      <c r="B26" s="83"/>
      <c r="C26" s="3">
        <v>1600</v>
      </c>
      <c r="D26" s="3"/>
      <c r="E26" s="13">
        <v>0.43093269185091454</v>
      </c>
      <c r="F26" s="92">
        <f t="shared" si="0"/>
        <v>0.43093269185091454</v>
      </c>
      <c r="H26" s="85"/>
      <c r="J26" s="83"/>
      <c r="K26" s="3"/>
      <c r="L26" s="3"/>
      <c r="M26" s="54" t="s">
        <v>48</v>
      </c>
      <c r="N26" s="3"/>
      <c r="O26" s="3"/>
      <c r="P26" s="3"/>
      <c r="Q26" s="3"/>
      <c r="R26" s="3"/>
      <c r="S26" s="3"/>
      <c r="T26" s="3"/>
      <c r="U26" s="17"/>
      <c r="AO26" s="3"/>
    </row>
    <row r="27" spans="2:41" ht="17" thickBot="1" x14ac:dyDescent="0.25">
      <c r="B27" s="83"/>
      <c r="C27" s="3">
        <v>1700</v>
      </c>
      <c r="D27" s="3"/>
      <c r="E27" s="13">
        <v>0.46599841713874307</v>
      </c>
      <c r="F27" s="92">
        <f t="shared" si="0"/>
        <v>0.46599841713874307</v>
      </c>
      <c r="H27" s="85"/>
      <c r="J27" s="83"/>
      <c r="K27" s="3"/>
      <c r="L27" s="3"/>
      <c r="M27" s="3"/>
      <c r="N27" s="3"/>
      <c r="O27" s="3"/>
      <c r="P27" s="3"/>
      <c r="Q27" s="3"/>
      <c r="R27" s="3"/>
      <c r="S27" s="3"/>
      <c r="T27" s="3"/>
      <c r="U27" s="17"/>
      <c r="AO27" s="3"/>
    </row>
    <row r="28" spans="2:41" ht="17" thickBot="1" x14ac:dyDescent="0.25">
      <c r="B28" s="83"/>
      <c r="C28" s="3">
        <v>1800</v>
      </c>
      <c r="D28" s="3"/>
      <c r="E28" s="13">
        <v>0.50078953743313681</v>
      </c>
      <c r="F28" s="92">
        <f t="shared" si="0"/>
        <v>0.50078953743313681</v>
      </c>
      <c r="H28" s="85"/>
      <c r="J28" s="83"/>
      <c r="K28" s="102" t="s">
        <v>0</v>
      </c>
      <c r="L28" s="3"/>
      <c r="M28" s="34" t="s">
        <v>13</v>
      </c>
      <c r="N28" s="59" t="s">
        <v>12</v>
      </c>
      <c r="O28" s="3"/>
      <c r="P28" s="60" t="s">
        <v>7</v>
      </c>
      <c r="Q28" s="3"/>
      <c r="R28" s="34" t="s">
        <v>14</v>
      </c>
      <c r="S28" s="34" t="s">
        <v>15</v>
      </c>
      <c r="T28" s="68" t="s">
        <v>51</v>
      </c>
      <c r="U28" s="17"/>
      <c r="AO28" s="3"/>
    </row>
    <row r="29" spans="2:41" x14ac:dyDescent="0.2">
      <c r="B29" s="83"/>
      <c r="C29" s="3">
        <v>1900</v>
      </c>
      <c r="D29" s="3"/>
      <c r="E29" s="13">
        <v>0.53532979659819646</v>
      </c>
      <c r="F29" s="92">
        <f t="shared" si="0"/>
        <v>0.53532979659819646</v>
      </c>
      <c r="H29" s="85"/>
      <c r="J29" s="83"/>
      <c r="K29" s="3">
        <v>298.14999999999998</v>
      </c>
      <c r="L29" s="3"/>
      <c r="M29" s="98">
        <f t="shared" ref="M29:M46" si="1">$K$8*K29/101325</f>
        <v>4.0625758633111278E-26</v>
      </c>
      <c r="N29" s="57" cm="1">
        <f t="array" ref="N29:N46">M29:M46*(2*PI()*$T$8*$K$8*K29:K46/($L$8)^2)^(3/2)</f>
        <v>5826713.3368545715</v>
      </c>
      <c r="O29" s="3"/>
      <c r="P29" s="74">
        <f t="shared" ref="P29:P46" si="2">$P$8*$Q$8*3/2</f>
        <v>2.9808063861893652</v>
      </c>
      <c r="Q29" s="3"/>
      <c r="R29" s="98" cm="1">
        <f t="array" ref="R29:R46" xml:space="preserve"> (2 * PI() * $T$8 * $K$8 * K29:K46/ (($L$8)^2))^(3/2)</f>
        <v>1.4342411152183668E+32</v>
      </c>
      <c r="S29" s="98" cm="1">
        <f t="array" ref="S29:S46">$P$8*K29:K46/101325</f>
        <v>2.4465403696587219E-2</v>
      </c>
      <c r="T29" s="122" cm="1">
        <f t="array" ref="T29:T46">LN(R29:R46 * S29:S46*EXP(5/2) / $M$8)*$P$8*$Q$8</f>
        <v>35.924606329950713</v>
      </c>
      <c r="U29" s="17"/>
      <c r="AO29" s="3"/>
    </row>
    <row r="30" spans="2:41" ht="17" thickBot="1" x14ac:dyDescent="0.25">
      <c r="B30" s="83"/>
      <c r="C30" s="3">
        <v>2000</v>
      </c>
      <c r="D30" s="3"/>
      <c r="E30" s="19">
        <v>0.56964208048772902</v>
      </c>
      <c r="F30" s="93">
        <f t="shared" si="0"/>
        <v>0.56964208048772902</v>
      </c>
      <c r="H30" s="85"/>
      <c r="J30" s="83"/>
      <c r="K30" s="3">
        <v>400</v>
      </c>
      <c r="L30" s="3"/>
      <c r="M30" s="98">
        <f t="shared" si="1"/>
        <v>5.4503784850727862E-26</v>
      </c>
      <c r="N30" s="57">
        <v>12147491.288230315</v>
      </c>
      <c r="O30" s="3"/>
      <c r="P30" s="61">
        <f t="shared" si="2"/>
        <v>2.9808063861893652</v>
      </c>
      <c r="Q30" s="3"/>
      <c r="R30" s="98">
        <v>2.2287427050248406E+32</v>
      </c>
      <c r="S30" s="98">
        <v>3.2822946431778931E-2</v>
      </c>
      <c r="T30" s="122">
        <v>37.384544844861828</v>
      </c>
      <c r="U30" s="17"/>
      <c r="AO30" s="3"/>
    </row>
    <row r="31" spans="2:41" x14ac:dyDescent="0.2">
      <c r="B31" s="83"/>
      <c r="C31" s="3"/>
      <c r="D31" s="3"/>
      <c r="E31" s="14"/>
      <c r="F31" s="14"/>
      <c r="G31" s="3"/>
      <c r="H31" s="17"/>
      <c r="I31" s="3"/>
      <c r="J31" s="83"/>
      <c r="K31" s="3">
        <v>500</v>
      </c>
      <c r="L31" s="3"/>
      <c r="M31" s="98">
        <f t="shared" si="1"/>
        <v>6.8129731063409828E-26</v>
      </c>
      <c r="N31" s="57">
        <v>21220793.966070022</v>
      </c>
      <c r="O31" s="3"/>
      <c r="P31" s="61">
        <f t="shared" si="2"/>
        <v>2.9808063861893652</v>
      </c>
      <c r="Q31" s="3"/>
      <c r="R31" s="98">
        <v>3.1147626204952087E+32</v>
      </c>
      <c r="S31" s="98">
        <v>4.1028683039723658E-2</v>
      </c>
      <c r="T31" s="122">
        <v>38.493124382852457</v>
      </c>
      <c r="U31" s="17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2:41" x14ac:dyDescent="0.2">
      <c r="B32" s="83"/>
      <c r="C32" s="3"/>
      <c r="D32" s="3"/>
      <c r="E32" s="14"/>
      <c r="F32" s="14"/>
      <c r="G32" s="3"/>
      <c r="H32" s="17"/>
      <c r="I32" s="3"/>
      <c r="J32" s="83"/>
      <c r="K32" s="3">
        <v>600</v>
      </c>
      <c r="L32" s="3"/>
      <c r="M32" s="98">
        <f t="shared" si="1"/>
        <v>8.1755677276091782E-26</v>
      </c>
      <c r="N32" s="57">
        <v>33474549.724951949</v>
      </c>
      <c r="O32" s="3"/>
      <c r="P32" s="61">
        <f t="shared" si="2"/>
        <v>2.9808063861893652</v>
      </c>
      <c r="Q32" s="3"/>
      <c r="R32" s="98">
        <v>4.0944617964459181E+32</v>
      </c>
      <c r="S32" s="98">
        <v>4.92344196476684E-2</v>
      </c>
      <c r="T32" s="122">
        <v>39.398899817571468</v>
      </c>
      <c r="U32" s="17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2:41" ht="17" thickBot="1" x14ac:dyDescent="0.25">
      <c r="B33" s="83"/>
      <c r="C33" s="3"/>
      <c r="D33" s="3"/>
      <c r="F33" s="14"/>
      <c r="G33" s="3"/>
      <c r="H33" s="17"/>
      <c r="I33" s="3"/>
      <c r="J33" s="83"/>
      <c r="K33" s="3">
        <v>700</v>
      </c>
      <c r="L33" s="3"/>
      <c r="M33" s="98">
        <f t="shared" si="1"/>
        <v>9.5381623488773759E-26</v>
      </c>
      <c r="N33" s="57">
        <v>49213212.784283869</v>
      </c>
      <c r="O33" s="3"/>
      <c r="P33" s="61">
        <f t="shared" si="2"/>
        <v>2.9808063861893652</v>
      </c>
      <c r="Q33" s="3"/>
      <c r="R33" s="98">
        <v>5.1596115671145158E+32</v>
      </c>
      <c r="S33" s="98">
        <v>5.7440156255613127E-2</v>
      </c>
      <c r="T33" s="122">
        <v>40.16472203567902</v>
      </c>
      <c r="U33" s="17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2:41" ht="17" thickBot="1" x14ac:dyDescent="0.25">
      <c r="B34" s="83"/>
      <c r="C34" s="102" t="s">
        <v>0</v>
      </c>
      <c r="D34" s="3"/>
      <c r="E34" s="63" t="s">
        <v>9</v>
      </c>
      <c r="F34" s="4" t="s">
        <v>6</v>
      </c>
      <c r="G34" s="60" t="s">
        <v>7</v>
      </c>
      <c r="H34" s="17"/>
      <c r="I34" s="3"/>
      <c r="J34" s="83"/>
      <c r="K34" s="3">
        <v>800</v>
      </c>
      <c r="L34" s="3"/>
      <c r="M34" s="98">
        <f t="shared" si="1"/>
        <v>1.0900756970145572E-25</v>
      </c>
      <c r="N34" s="57">
        <v>68716587.714497507</v>
      </c>
      <c r="O34" s="3"/>
      <c r="P34" s="61">
        <f t="shared" si="2"/>
        <v>2.9808063861893652</v>
      </c>
      <c r="Q34" s="3"/>
      <c r="R34" s="98">
        <v>6.3038363209724733E+32</v>
      </c>
      <c r="S34" s="98">
        <v>6.5645892863557861E-2</v>
      </c>
      <c r="T34" s="122">
        <v>40.828107415498899</v>
      </c>
      <c r="U34" s="17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2:41" x14ac:dyDescent="0.2">
      <c r="B35" s="83"/>
      <c r="C35" s="3">
        <v>298.14999999999998</v>
      </c>
      <c r="D35" s="3"/>
      <c r="E35" s="9" cm="1">
        <f t="array" ref="E35:E52">(M15^2 * EXP(M15/C13:C30)) / (C13:C30^2 * (EXP(M15/C13:C30) - 1)^2)</f>
        <v>2.7353667280186418E-3</v>
      </c>
      <c r="F35" s="9">
        <f t="array" ref="F35">SUM(E35:E35)</f>
        <v>2.7353667280186418E-3</v>
      </c>
      <c r="G35" s="61">
        <f>PRODUCT(F35,$P$8,$Q$8)</f>
        <v>5.4357324076319173E-3</v>
      </c>
      <c r="H35" s="85"/>
      <c r="J35" s="83"/>
      <c r="K35" s="3">
        <v>900</v>
      </c>
      <c r="L35" s="3"/>
      <c r="M35" s="98">
        <f t="shared" si="1"/>
        <v>1.2263351591413768E-25</v>
      </c>
      <c r="N35" s="57">
        <v>92245011.969999075</v>
      </c>
      <c r="O35" s="3"/>
      <c r="P35" s="61">
        <f t="shared" si="2"/>
        <v>2.9808063861893652</v>
      </c>
      <c r="Q35" s="3"/>
      <c r="R35" s="98">
        <v>7.5220066294588482E+32</v>
      </c>
      <c r="S35" s="98">
        <v>7.3851629471502603E-2</v>
      </c>
      <c r="T35" s="122">
        <v>41.413254790281101</v>
      </c>
      <c r="U35" s="17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2:41" x14ac:dyDescent="0.2">
      <c r="B36" s="83"/>
      <c r="C36" s="3">
        <v>400</v>
      </c>
      <c r="D36" s="3"/>
      <c r="E36" s="16">
        <v>2.2771846582650808E-2</v>
      </c>
      <c r="F36" s="16">
        <f t="array" ref="F36">SUM(E36:E36)</f>
        <v>2.2771846582650808E-2</v>
      </c>
      <c r="G36" s="61">
        <f t="array" ref="G36">PRODUCT(F36,$P$8,$Q$8)</f>
        <v>4.5252310479259997E-2</v>
      </c>
      <c r="H36" s="85"/>
      <c r="J36" s="83"/>
      <c r="K36" s="3">
        <v>1000</v>
      </c>
      <c r="L36" s="3"/>
      <c r="M36" s="98">
        <f t="shared" si="1"/>
        <v>1.3625946212681966E-25</v>
      </c>
      <c r="N36" s="57">
        <v>120042938.52456579</v>
      </c>
      <c r="O36" s="3"/>
      <c r="P36" s="61">
        <f t="shared" si="2"/>
        <v>2.9808063861893652</v>
      </c>
      <c r="Q36" s="3"/>
      <c r="R36" s="98">
        <v>8.8098790829541954E+32</v>
      </c>
      <c r="S36" s="98">
        <v>8.2057366079447316E-2</v>
      </c>
      <c r="T36" s="122">
        <v>41.936686953489527</v>
      </c>
      <c r="U36" s="17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2:41" x14ac:dyDescent="0.2">
      <c r="B37" s="83"/>
      <c r="C37" s="3">
        <v>500</v>
      </c>
      <c r="D37" s="3"/>
      <c r="E37" s="16">
        <v>7.1272953142172107E-2</v>
      </c>
      <c r="F37" s="16">
        <f t="array" ref="F37">SUM(E37:E37)</f>
        <v>7.1272953142172107E-2</v>
      </c>
      <c r="G37" s="61">
        <f t="array" ref="G37">PRODUCT(F37,$P$8,$Q$8)</f>
        <v>0.14163391592584135</v>
      </c>
      <c r="H37" s="85"/>
      <c r="J37" s="83"/>
      <c r="K37" s="3">
        <v>1100</v>
      </c>
      <c r="L37" s="3"/>
      <c r="M37" s="98">
        <f t="shared" si="1"/>
        <v>1.4988540833950161E-25</v>
      </c>
      <c r="N37" s="57">
        <v>152341536.26274011</v>
      </c>
      <c r="O37" s="3"/>
      <c r="P37" s="61">
        <f t="shared" si="2"/>
        <v>2.9808063861893652</v>
      </c>
      <c r="Q37" s="3"/>
      <c r="R37" s="98">
        <v>1.0163867046862573E+33</v>
      </c>
      <c r="S37" s="98">
        <v>9.0263102687392072E-2</v>
      </c>
      <c r="T37" s="122">
        <v>42.41018894120549</v>
      </c>
      <c r="U37" s="17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2:41" x14ac:dyDescent="0.2">
      <c r="B38" s="83"/>
      <c r="C38" s="3">
        <v>600</v>
      </c>
      <c r="D38" s="3"/>
      <c r="E38" s="16">
        <v>0.14328555644127716</v>
      </c>
      <c r="F38" s="16">
        <f t="array" ref="F38">SUM(E38:E38)</f>
        <v>0.14328555644127716</v>
      </c>
      <c r="G38" s="61">
        <f t="array" ref="G38">PRODUCT(F38,$P$8,$Q$8)</f>
        <v>0.28473766779257048</v>
      </c>
      <c r="H38" s="85"/>
      <c r="J38" s="83"/>
      <c r="K38" s="3">
        <v>1200</v>
      </c>
      <c r="L38" s="3"/>
      <c r="M38" s="98">
        <f t="shared" si="1"/>
        <v>1.6351135455218356E-25</v>
      </c>
      <c r="N38" s="57">
        <v>189360648.86143625</v>
      </c>
      <c r="O38" s="3"/>
      <c r="P38" s="61">
        <f t="shared" si="2"/>
        <v>2.9808063861893652</v>
      </c>
      <c r="Q38" s="3"/>
      <c r="R38" s="98">
        <v>1.1580886806304516E+33</v>
      </c>
      <c r="S38" s="98">
        <v>9.8468839295336799E-2</v>
      </c>
      <c r="T38" s="122">
        <v>42.84246238820851</v>
      </c>
      <c r="U38" s="17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2:41" x14ac:dyDescent="0.2">
      <c r="B39" s="83"/>
      <c r="C39" s="3">
        <v>700</v>
      </c>
      <c r="D39" s="3"/>
      <c r="E39" s="16">
        <v>0.22646564624620769</v>
      </c>
      <c r="F39" s="16">
        <f t="array" ref="F39">SUM(E39:E39)</f>
        <v>0.22646564624620769</v>
      </c>
      <c r="G39" s="61">
        <f t="array" ref="G39">PRODUCT(F39,$P$8,$Q$8)</f>
        <v>0.45003349638879836</v>
      </c>
      <c r="H39" s="85"/>
      <c r="J39" s="83"/>
      <c r="K39" s="3">
        <v>1300</v>
      </c>
      <c r="L39" s="3"/>
      <c r="M39" s="98">
        <f t="shared" si="1"/>
        <v>1.7713730076486554E-25</v>
      </c>
      <c r="N39" s="57">
        <v>231310314.30145076</v>
      </c>
      <c r="O39" s="3"/>
      <c r="P39" s="61">
        <f t="shared" si="2"/>
        <v>2.9808063861893652</v>
      </c>
      <c r="Q39" s="3"/>
      <c r="R39" s="98">
        <v>1.3058249917023135E+33</v>
      </c>
      <c r="S39" s="98">
        <v>0.10667457590328153</v>
      </c>
      <c r="T39" s="122">
        <v>43.240115411877156</v>
      </c>
      <c r="U39" s="17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2:41" x14ac:dyDescent="0.2">
      <c r="B40" s="83"/>
      <c r="C40" s="3">
        <v>800</v>
      </c>
      <c r="D40" s="3"/>
      <c r="E40" s="16">
        <v>0.31047923545860834</v>
      </c>
      <c r="F40" s="16">
        <f t="array" ref="F40">SUM(E40:E40)</f>
        <v>0.31047923545860834</v>
      </c>
      <c r="G40" s="61">
        <f t="array" ref="G40">PRODUCT(F40,$P$8,$Q$8)</f>
        <v>0.61698565855614096</v>
      </c>
      <c r="H40" s="85"/>
      <c r="J40" s="83"/>
      <c r="K40" s="3">
        <v>1400</v>
      </c>
      <c r="L40" s="3"/>
      <c r="M40" s="98">
        <f t="shared" si="1"/>
        <v>1.9076324697754752E-25</v>
      </c>
      <c r="N40" s="57">
        <v>278391971.8699497</v>
      </c>
      <c r="O40" s="3"/>
      <c r="P40" s="61">
        <f t="shared" si="2"/>
        <v>2.9808063861893652</v>
      </c>
      <c r="Q40" s="3"/>
      <c r="R40" s="98">
        <v>1.4593585309580933E+33</v>
      </c>
      <c r="S40" s="98">
        <v>0.11488031251122625</v>
      </c>
      <c r="T40" s="122">
        <v>43.608284606316083</v>
      </c>
      <c r="U40" s="17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2:41" x14ac:dyDescent="0.2">
      <c r="B41" s="83"/>
      <c r="C41" s="3">
        <v>900</v>
      </c>
      <c r="D41" s="3"/>
      <c r="E41" s="16">
        <v>0.38926511225607163</v>
      </c>
      <c r="F41" s="16">
        <f t="array" ref="F41">SUM(E41:E41)</f>
        <v>0.38926511225607163</v>
      </c>
      <c r="G41" s="61">
        <f t="array" ref="G41">PRODUCT(F41,$P$8,$Q$8)</f>
        <v>0.77354928835574566</v>
      </c>
      <c r="H41" s="85"/>
      <c r="J41" s="83"/>
      <c r="K41" s="3">
        <v>1500</v>
      </c>
      <c r="L41" s="3"/>
      <c r="M41" s="98">
        <f t="shared" si="1"/>
        <v>2.0438919319022949E-25</v>
      </c>
      <c r="N41" s="57">
        <v>330799439.93565792</v>
      </c>
      <c r="O41" s="3"/>
      <c r="P41" s="61">
        <f t="shared" si="2"/>
        <v>2.9808063861893652</v>
      </c>
      <c r="Q41" s="3"/>
      <c r="R41" s="98">
        <v>1.6184781336642179E+33</v>
      </c>
      <c r="S41" s="98">
        <v>0.12308604911917098</v>
      </c>
      <c r="T41" s="122">
        <v>43.951041926199146</v>
      </c>
      <c r="U41" s="17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2:41" x14ac:dyDescent="0.2">
      <c r="B42" s="83"/>
      <c r="C42" s="3">
        <v>1000</v>
      </c>
      <c r="D42" s="3"/>
      <c r="E42" s="16">
        <v>0.46013947798004479</v>
      </c>
      <c r="F42" s="16">
        <f t="array" ref="F42">SUM(E42:E42)</f>
        <v>0.46013947798004479</v>
      </c>
      <c r="G42" s="61">
        <f t="array" ref="G42">PRODUCT(F42,$P$8,$Q$8)</f>
        <v>0.91439112966717218</v>
      </c>
      <c r="H42" s="85"/>
      <c r="J42" s="83"/>
      <c r="K42" s="3">
        <v>1600</v>
      </c>
      <c r="L42" s="3"/>
      <c r="M42" s="98">
        <f t="shared" si="1"/>
        <v>2.1801513940291145E-25</v>
      </c>
      <c r="N42" s="57">
        <v>388719721.22337222</v>
      </c>
      <c r="O42" s="3"/>
      <c r="P42" s="61">
        <f t="shared" si="2"/>
        <v>2.9808063861893652</v>
      </c>
      <c r="Q42" s="3"/>
      <c r="R42" s="98">
        <v>1.7829941640198823E+33</v>
      </c>
      <c r="S42" s="98">
        <v>0.13129178572711572</v>
      </c>
      <c r="T42" s="122">
        <v>44.271669986135969</v>
      </c>
      <c r="U42" s="17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2:41" x14ac:dyDescent="0.2">
      <c r="B43" s="83"/>
      <c r="C43" s="3">
        <v>1100</v>
      </c>
      <c r="D43" s="3"/>
      <c r="E43" s="16">
        <v>0.52244550901318787</v>
      </c>
      <c r="F43" s="16">
        <f t="array" ref="F43">SUM(E43:E43)</f>
        <v>0.52244550901318787</v>
      </c>
      <c r="G43" s="61">
        <f t="array" ref="G43">PRODUCT(F43,$P$8,$Q$8)</f>
        <v>1.0382059398016428</v>
      </c>
      <c r="H43" s="85"/>
      <c r="J43" s="83"/>
      <c r="K43" s="3">
        <v>1700</v>
      </c>
      <c r="L43" s="3"/>
      <c r="M43" s="98">
        <f t="shared" si="1"/>
        <v>2.316410856155934E-25</v>
      </c>
      <c r="N43" s="57">
        <v>452333675.4359085</v>
      </c>
      <c r="O43" s="3"/>
      <c r="P43" s="61">
        <f t="shared" si="2"/>
        <v>2.9808063861893652</v>
      </c>
      <c r="Q43" s="3"/>
      <c r="R43" s="98">
        <v>1.9527350868427235E+33</v>
      </c>
      <c r="S43" s="98">
        <v>0.13949752233506044</v>
      </c>
      <c r="T43" s="122">
        <v>44.572853752587186</v>
      </c>
      <c r="U43" s="17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2:41" x14ac:dyDescent="0.2">
      <c r="B44" s="83"/>
      <c r="C44" s="3">
        <v>1200</v>
      </c>
      <c r="D44" s="3"/>
      <c r="E44" s="16">
        <v>0.57655865621806712</v>
      </c>
      <c r="F44" s="16">
        <f t="array" ref="F44">SUM(E44:E44)</f>
        <v>0.57655865621806712</v>
      </c>
      <c r="G44" s="61">
        <f t="array" ref="G44">PRODUCT(F44,$P$8,$Q$8)</f>
        <v>1.1457398163117154</v>
      </c>
      <c r="H44" s="85"/>
      <c r="J44" s="83"/>
      <c r="K44" s="3">
        <v>1800</v>
      </c>
      <c r="L44" s="3"/>
      <c r="M44" s="98">
        <f t="shared" si="1"/>
        <v>2.4526703182827536E-25</v>
      </c>
      <c r="N44" s="57">
        <v>521816587.95696622</v>
      </c>
      <c r="O44" s="3"/>
      <c r="P44" s="61">
        <f t="shared" si="2"/>
        <v>2.9808063861893652</v>
      </c>
      <c r="Q44" s="3"/>
      <c r="R44" s="98">
        <v>2.1275447583282129E+33</v>
      </c>
      <c r="S44" s="98">
        <v>0.14770325894300521</v>
      </c>
      <c r="T44" s="122">
        <v>44.856817360918164</v>
      </c>
      <c r="U44" s="17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2:41" x14ac:dyDescent="0.2">
      <c r="B45" s="83"/>
      <c r="C45" s="3">
        <v>1300</v>
      </c>
      <c r="D45" s="3"/>
      <c r="E45" s="16">
        <v>0.62329443531546214</v>
      </c>
      <c r="F45" s="16">
        <f t="array" ref="F45">SUM(E45:E45)</f>
        <v>0.62329443531546214</v>
      </c>
      <c r="G45" s="61">
        <f t="array" ref="G45">PRODUCT(F45,$P$8,$Q$8)</f>
        <v>1.2386133555097492</v>
      </c>
      <c r="H45" s="85"/>
      <c r="J45" s="83"/>
      <c r="K45" s="3">
        <v>1900</v>
      </c>
      <c r="L45" s="3"/>
      <c r="M45" s="98">
        <f t="shared" si="1"/>
        <v>2.5889297804095731E-25</v>
      </c>
      <c r="N45" s="57">
        <v>597338655.82500839</v>
      </c>
      <c r="O45" s="3"/>
      <c r="P45" s="61">
        <f t="shared" si="2"/>
        <v>2.9808063861893652</v>
      </c>
      <c r="Q45" s="3"/>
      <c r="R45" s="98">
        <v>2.3072802528097475E+33</v>
      </c>
      <c r="S45" s="98">
        <v>0.15590899555094992</v>
      </c>
      <c r="T45" s="122">
        <v>45.12542389166142</v>
      </c>
      <c r="U45" s="17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2:41" ht="17" thickBot="1" x14ac:dyDescent="0.25">
      <c r="B46" s="83"/>
      <c r="C46" s="3">
        <v>1400</v>
      </c>
      <c r="D46" s="3"/>
      <c r="E46" s="16">
        <v>0.66359408023381106</v>
      </c>
      <c r="F46" s="16">
        <f t="array" ref="F46">SUM(E46:E46)</f>
        <v>0.66359408023381106</v>
      </c>
      <c r="G46" s="61">
        <f t="array" ref="G46">PRODUCT(F46,$P$8,$Q$8)</f>
        <v>1.3186969814656013</v>
      </c>
      <c r="H46" s="85"/>
      <c r="J46" s="83"/>
      <c r="K46" s="3">
        <v>2000</v>
      </c>
      <c r="L46" s="3"/>
      <c r="M46" s="101">
        <f t="shared" si="1"/>
        <v>2.7251892425363931E-25</v>
      </c>
      <c r="N46" s="58">
        <v>679065406.91424441</v>
      </c>
      <c r="O46" s="3"/>
      <c r="P46" s="62">
        <f t="shared" si="2"/>
        <v>2.9808063861893652</v>
      </c>
      <c r="Q46" s="3"/>
      <c r="R46" s="101">
        <v>2.4918100963961808E+33</v>
      </c>
      <c r="S46" s="101">
        <v>0.16411473215889463</v>
      </c>
      <c r="T46" s="123">
        <v>45.380249524126597</v>
      </c>
      <c r="U46" s="17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2:41" x14ac:dyDescent="0.2">
      <c r="B47" s="83"/>
      <c r="C47" s="3">
        <v>1500</v>
      </c>
      <c r="D47" s="3"/>
      <c r="E47" s="16">
        <v>0.69837308955372401</v>
      </c>
      <c r="F47" s="16">
        <f t="array" ref="F47">SUM(E47:E47)</f>
        <v>0.69837308955372401</v>
      </c>
      <c r="G47" s="61">
        <f t="array" ref="G47">PRODUCT(F47,$P$8,$Q$8)</f>
        <v>1.3878099768563588</v>
      </c>
      <c r="H47" s="85"/>
      <c r="J47" s="83"/>
      <c r="K47" s="3"/>
      <c r="L47" s="3"/>
      <c r="M47" s="3"/>
      <c r="N47" s="3"/>
      <c r="O47" s="3"/>
      <c r="P47" s="3"/>
      <c r="Q47" s="3"/>
      <c r="R47" s="3"/>
      <c r="S47" s="3"/>
      <c r="T47" s="3"/>
      <c r="U47" s="17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2:41" ht="17" thickBot="1" x14ac:dyDescent="0.25">
      <c r="B48" s="83"/>
      <c r="C48" s="3">
        <v>1600</v>
      </c>
      <c r="D48" s="3"/>
      <c r="E48" s="16">
        <v>0.7284574866105441</v>
      </c>
      <c r="F48" s="16">
        <f t="array" ref="F48">SUM(E48:E48)</f>
        <v>0.7284574866105441</v>
      </c>
      <c r="G48" s="61">
        <f t="array" ref="G48">PRODUCT(F48,$P$8,$Q$8)</f>
        <v>1.447593818770776</v>
      </c>
      <c r="H48" s="85"/>
      <c r="J48" s="41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2:41" x14ac:dyDescent="0.2">
      <c r="B49" s="83"/>
      <c r="C49" s="3">
        <v>1700</v>
      </c>
      <c r="D49" s="3"/>
      <c r="E49" s="16">
        <v>0.75456443590820699</v>
      </c>
      <c r="F49" s="16">
        <f t="array" ref="F49">SUM(E49:E49)</f>
        <v>0.75456443590820699</v>
      </c>
      <c r="G49" s="61">
        <f t="array" ref="G49">PRODUCT(F49,$P$8,$Q$8)</f>
        <v>1.499473659564373</v>
      </c>
      <c r="H49" s="85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2:41" ht="17" thickBot="1" x14ac:dyDescent="0.25">
      <c r="B50" s="83"/>
      <c r="C50" s="3">
        <v>1800</v>
      </c>
      <c r="D50" s="3"/>
      <c r="E50" s="16">
        <v>0.77730377275462859</v>
      </c>
      <c r="F50" s="16">
        <f t="array" ref="F50">SUM(E50:E50)</f>
        <v>0.77730377275462859</v>
      </c>
      <c r="G50" s="61">
        <f t="array" ref="G50">PRODUCT(F50,$P$8,$Q$8)</f>
        <v>1.5446613665573894</v>
      </c>
      <c r="H50" s="85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2:41" x14ac:dyDescent="0.2">
      <c r="B51" s="83"/>
      <c r="C51" s="3">
        <v>1900</v>
      </c>
      <c r="D51" s="3"/>
      <c r="E51" s="16">
        <v>0.79718831450184524</v>
      </c>
      <c r="F51" s="16">
        <f t="array" ref="F51">SUM(E51:E51)</f>
        <v>0.79718831450184524</v>
      </c>
      <c r="G51" s="61">
        <f t="array" ref="G51">PRODUCT(F51,$P$8,$Q$8)</f>
        <v>1.584176012575091</v>
      </c>
      <c r="H51" s="85"/>
      <c r="J51" s="6"/>
      <c r="K51" s="7"/>
      <c r="L51" s="7"/>
      <c r="M51" s="7"/>
      <c r="N51" s="7"/>
      <c r="O51" s="7"/>
      <c r="P51" s="7"/>
      <c r="Q51" s="7"/>
      <c r="R51" s="10"/>
      <c r="S51" s="10"/>
      <c r="T51" s="10"/>
      <c r="U51" s="110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2:41" ht="17" thickBot="1" x14ac:dyDescent="0.25">
      <c r="B52" s="83"/>
      <c r="C52" s="3">
        <v>2000</v>
      </c>
      <c r="D52" s="3"/>
      <c r="E52" s="22">
        <v>0.81464693607777827</v>
      </c>
      <c r="F52" s="22">
        <f t="array" ref="F52">SUM(E52:E52)</f>
        <v>0.81464693607777827</v>
      </c>
      <c r="G52" s="62">
        <f t="array" ref="G52">PRODUCT(F52,$P$8,$Q$8)</f>
        <v>1.6188698597001607</v>
      </c>
      <c r="H52" s="85"/>
      <c r="J52" s="13"/>
      <c r="K52" s="14"/>
      <c r="L52" s="14"/>
      <c r="M52" s="14"/>
      <c r="N52" s="14"/>
      <c r="O52" s="14"/>
      <c r="P52" s="14"/>
      <c r="Q52" s="14"/>
      <c r="R52" s="3"/>
      <c r="S52" s="3"/>
      <c r="T52" s="3"/>
      <c r="U52" s="85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2:41" ht="17" thickBot="1" x14ac:dyDescent="0.25">
      <c r="B53" s="83"/>
      <c r="C53" s="3"/>
      <c r="D53" s="3"/>
      <c r="E53" s="3"/>
      <c r="F53" s="3"/>
      <c r="G53" s="3"/>
      <c r="H53" s="85"/>
      <c r="J53" s="83"/>
      <c r="K53" s="3"/>
      <c r="L53" s="3"/>
      <c r="M53" s="51" t="s">
        <v>52</v>
      </c>
      <c r="N53" s="52"/>
      <c r="O53" s="52"/>
      <c r="P53" s="52"/>
      <c r="Q53" s="52"/>
      <c r="R53" s="52"/>
      <c r="S53" s="52"/>
      <c r="T53" s="53"/>
      <c r="U53" s="85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2:41" x14ac:dyDescent="0.2">
      <c r="B54" s="83"/>
      <c r="C54" s="3"/>
      <c r="D54" s="3"/>
      <c r="E54" s="3"/>
      <c r="F54" s="3"/>
      <c r="G54" s="3"/>
      <c r="H54" s="85"/>
      <c r="J54" s="83"/>
      <c r="K54" s="3"/>
      <c r="L54" s="3"/>
      <c r="M54" s="3"/>
      <c r="N54" s="3"/>
      <c r="O54" s="3"/>
      <c r="P54" s="3"/>
      <c r="Q54" s="3"/>
      <c r="R54" s="3"/>
      <c r="S54" s="3"/>
      <c r="U54" s="85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2:41" ht="17" thickBot="1" x14ac:dyDescent="0.25">
      <c r="B55" s="83"/>
      <c r="C55" s="3"/>
      <c r="D55" s="3"/>
      <c r="E55" s="3"/>
      <c r="F55" s="3"/>
      <c r="G55" s="3"/>
      <c r="H55" s="85"/>
      <c r="J55" s="83"/>
      <c r="K55" s="3"/>
      <c r="L55" s="3"/>
      <c r="M55" s="3"/>
      <c r="U55" s="85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2:41" ht="17" thickBot="1" x14ac:dyDescent="0.25">
      <c r="B56" s="83"/>
      <c r="C56" s="102" t="s">
        <v>0</v>
      </c>
      <c r="D56" s="3"/>
      <c r="E56" s="65" t="s">
        <v>10</v>
      </c>
      <c r="F56" s="5" t="s">
        <v>6</v>
      </c>
      <c r="G56" s="68" t="s">
        <v>11</v>
      </c>
      <c r="H56" s="85"/>
      <c r="J56" s="83"/>
      <c r="K56" s="102" t="s">
        <v>0</v>
      </c>
      <c r="L56" s="103"/>
      <c r="N56" s="115" t="s">
        <v>20</v>
      </c>
      <c r="O56" s="3"/>
      <c r="P56" s="116" t="s">
        <v>7</v>
      </c>
      <c r="Q56" s="3"/>
      <c r="R56" s="3"/>
      <c r="S56" s="3"/>
      <c r="T56" s="158" t="s">
        <v>50</v>
      </c>
      <c r="U56" s="85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2:41" x14ac:dyDescent="0.2">
      <c r="B57" s="83"/>
      <c r="C57" s="3">
        <v>298.14999999999998</v>
      </c>
      <c r="D57" s="3"/>
      <c r="E57" s="9" cm="1">
        <f t="array" ref="E57:E74">(M15/C13:C30) / (EXP(M15/C13:C30) - 1)-LN(1 - EXP(-M15/C13:C30))</f>
        <v>2.8156455148176183E-4</v>
      </c>
      <c r="F57" s="12">
        <f t="array" ref="F57">SUM(E57:E57)</f>
        <v>2.8156455148176183E-4</v>
      </c>
      <c r="G57" s="95">
        <f t="array" ref="G57">PRODUCT(F57,$P$8,$Q$8)</f>
        <v>5.5952627545425334E-4</v>
      </c>
      <c r="H57" s="85"/>
      <c r="J57" s="83"/>
      <c r="K57" s="3">
        <v>298.14999999999998</v>
      </c>
      <c r="L57" s="3"/>
      <c r="M57" s="1"/>
      <c r="N57" s="91">
        <f>(8*(PI())^2*$K$8*K57*$T$17)/($N$8*($L$8^2))</f>
        <v>109.00105312157832</v>
      </c>
      <c r="O57" s="3"/>
      <c r="P57" s="117">
        <f t="shared" ref="P57:P74" si="3">$P$8*$Q$8/$N$8</f>
        <v>1.987204257459577</v>
      </c>
      <c r="Q57" s="3"/>
      <c r="R57" s="14">
        <f>K57/($N$8*$T$19)</f>
        <v>109.0012393567044</v>
      </c>
      <c r="S57" s="14">
        <f>$K$8*(LN(R57)+1)</f>
        <v>7.85776946047992E-23</v>
      </c>
      <c r="T57" s="124">
        <f>S57*$Q$8*$M$8</f>
        <v>11.309893337328553</v>
      </c>
      <c r="U57" s="85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2:41" x14ac:dyDescent="0.2">
      <c r="B58" s="83"/>
      <c r="C58" s="3">
        <v>400</v>
      </c>
      <c r="D58" s="3"/>
      <c r="E58" s="16">
        <v>3.2359713506204565E-3</v>
      </c>
      <c r="F58" s="18">
        <f t="array" ref="F58">SUM(E58:E58)</f>
        <v>3.2359713506204565E-3</v>
      </c>
      <c r="G58" s="95">
        <f t="array" ref="G58">PRODUCT(F58,$P$8,$Q$8)</f>
        <v>6.4305360449701887E-3</v>
      </c>
      <c r="H58" s="85"/>
      <c r="J58" s="83"/>
      <c r="K58" s="3">
        <v>400</v>
      </c>
      <c r="L58" s="3"/>
      <c r="N58" s="57">
        <f>(8*(PI())^2*$K$8*K58*$T$17)/($N$8*($L$8^2))</f>
        <v>146.23652942690367</v>
      </c>
      <c r="O58" s="3"/>
      <c r="P58" s="118">
        <f t="shared" si="3"/>
        <v>1.987204257459577</v>
      </c>
      <c r="Q58" s="3"/>
      <c r="R58" s="14">
        <f>K58/($N$8*$T$19)</f>
        <v>146.23677928117311</v>
      </c>
      <c r="S58" s="14">
        <f t="shared" ref="S58:S74" si="4">$K$8*(LN(R58)+1)</f>
        <v>8.2634977882262269E-23</v>
      </c>
      <c r="T58" s="122">
        <f t="shared" ref="T58:T74" si="5">S58*$Q$8*$M$8</f>
        <v>11.893868743303772</v>
      </c>
      <c r="U58" s="85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2:41" x14ac:dyDescent="0.2">
      <c r="B59" s="83"/>
      <c r="C59" s="3">
        <v>500</v>
      </c>
      <c r="D59" s="3"/>
      <c r="E59" s="16">
        <v>1.299535021549229E-2</v>
      </c>
      <c r="F59" s="18">
        <f t="array" ref="F59">SUM(E59:E59)</f>
        <v>1.299535021549229E-2</v>
      </c>
      <c r="G59" s="95">
        <f t="array" ref="G59">PRODUCT(F59,$P$8,$Q$8)</f>
        <v>2.5824415275404508E-2</v>
      </c>
      <c r="H59" s="85"/>
      <c r="J59" s="83"/>
      <c r="K59" s="3">
        <v>500</v>
      </c>
      <c r="L59" s="3"/>
      <c r="N59" s="57">
        <f>(8*(PI())^2*$K$8*K59*$T$17)/($N$8*($L$8^2))</f>
        <v>182.79566178362964</v>
      </c>
      <c r="O59" s="3"/>
      <c r="P59" s="118">
        <f t="shared" si="3"/>
        <v>1.987204257459577</v>
      </c>
      <c r="Q59" s="3"/>
      <c r="R59" s="14">
        <f>K59/($N$8*$T$19)</f>
        <v>182.79597410146638</v>
      </c>
      <c r="S59" s="14">
        <f t="shared" si="4"/>
        <v>8.5715807092046387E-23</v>
      </c>
      <c r="T59" s="122">
        <f t="shared" si="5"/>
        <v>12.33730055850819</v>
      </c>
      <c r="U59" s="85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2:41" x14ac:dyDescent="0.2">
      <c r="B60" s="83"/>
      <c r="C60" s="3">
        <v>600</v>
      </c>
      <c r="D60" s="3"/>
      <c r="E60" s="16">
        <v>3.2089024887550915E-2</v>
      </c>
      <c r="F60" s="18">
        <f t="array" ref="F60">SUM(E60:E60)</f>
        <v>3.2089024887550915E-2</v>
      </c>
      <c r="G60" s="95">
        <f t="array" ref="G60">PRODUCT(F60,$P$8,$Q$8)</f>
        <v>6.3767446874267497E-2</v>
      </c>
      <c r="H60" s="85"/>
      <c r="J60" s="83"/>
      <c r="K60" s="3">
        <v>600</v>
      </c>
      <c r="L60" s="3"/>
      <c r="N60" s="57">
        <f>(8*(PI())^2*$K$8*K60*$T$17)/($N$8*($L$8^2))</f>
        <v>219.35479414035552</v>
      </c>
      <c r="O60" s="3"/>
      <c r="P60" s="118">
        <f t="shared" si="3"/>
        <v>1.987204257459577</v>
      </c>
      <c r="Q60" s="3"/>
      <c r="R60" s="14">
        <f>K60/($N$8*$T$19)</f>
        <v>219.35516892175966</v>
      </c>
      <c r="S60" s="14">
        <f t="shared" si="4"/>
        <v>8.8233027842706545E-23</v>
      </c>
      <c r="T60" s="122">
        <f t="shared" si="5"/>
        <v>12.699610732402469</v>
      </c>
      <c r="U60" s="85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2:41" x14ac:dyDescent="0.2">
      <c r="B61" s="83"/>
      <c r="C61" s="3">
        <v>700</v>
      </c>
      <c r="D61" s="3"/>
      <c r="E61" s="16">
        <v>6.0355655315751204E-2</v>
      </c>
      <c r="F61" s="18">
        <f t="array" ref="F61">SUM(E61:E61)</f>
        <v>6.0355655315751204E-2</v>
      </c>
      <c r="G61" s="95">
        <f t="array" ref="G61">PRODUCT(F61,$P$8,$Q$8)</f>
        <v>0.11993901520522354</v>
      </c>
      <c r="H61" s="85"/>
      <c r="J61" s="83"/>
      <c r="K61" s="3">
        <v>700</v>
      </c>
      <c r="L61" s="3"/>
      <c r="N61" s="57">
        <f>(8*(PI())^2*$K$8*K61*$T$17)/($N$8*($L$8^2))</f>
        <v>255.91392649708143</v>
      </c>
      <c r="O61" s="3"/>
      <c r="P61" s="118">
        <f t="shared" si="3"/>
        <v>1.987204257459577</v>
      </c>
      <c r="Q61" s="3"/>
      <c r="R61" s="14">
        <f>K61/($N$8*$T$19)</f>
        <v>255.91436374205296</v>
      </c>
      <c r="S61" s="14">
        <f t="shared" si="4"/>
        <v>9.0361307662234793E-23</v>
      </c>
      <c r="T61" s="122">
        <f t="shared" si="5"/>
        <v>13.005939619651132</v>
      </c>
      <c r="U61" s="85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2:41" x14ac:dyDescent="0.2">
      <c r="B62" s="83"/>
      <c r="C62" s="3">
        <v>800</v>
      </c>
      <c r="D62" s="3"/>
      <c r="E62" s="16">
        <v>9.611297094156622E-2</v>
      </c>
      <c r="F62" s="18">
        <f t="array" ref="F62">SUM(E62:E62)</f>
        <v>9.611297094156622E-2</v>
      </c>
      <c r="G62" s="95">
        <f t="array" ref="G62">PRODUCT(F62,$P$8,$Q$8)</f>
        <v>0.19099610505216899</v>
      </c>
      <c r="H62" s="85"/>
      <c r="J62" s="83"/>
      <c r="K62" s="3">
        <v>800</v>
      </c>
      <c r="L62" s="3"/>
      <c r="N62" s="57">
        <f>(8*(PI())^2*$K$8*K62*$T$17)/($N$8*($L$8^2))</f>
        <v>292.47305885380734</v>
      </c>
      <c r="O62" s="3"/>
      <c r="P62" s="118">
        <f t="shared" si="3"/>
        <v>1.987204257459577</v>
      </c>
      <c r="Q62" s="3"/>
      <c r="R62" s="14">
        <f>K62/($N$8*$T$19)</f>
        <v>292.47355856234623</v>
      </c>
      <c r="S62" s="14">
        <f t="shared" si="4"/>
        <v>9.2204907499191346E-23</v>
      </c>
      <c r="T62" s="122">
        <f t="shared" si="5"/>
        <v>13.271293771583981</v>
      </c>
      <c r="U62" s="85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2:41" x14ac:dyDescent="0.2">
      <c r="B63" s="83"/>
      <c r="C63" s="3">
        <v>900</v>
      </c>
      <c r="D63" s="3"/>
      <c r="E63" s="16">
        <v>0.13730009934249909</v>
      </c>
      <c r="F63" s="18">
        <f t="array" ref="F63">SUM(E63:E63)</f>
        <v>0.13730009934249909</v>
      </c>
      <c r="G63" s="95">
        <f t="array" ref="G63">PRODUCT(F63,$P$8,$Q$8)</f>
        <v>0.27284334196303706</v>
      </c>
      <c r="H63" s="85"/>
      <c r="J63" s="83"/>
      <c r="K63" s="3">
        <v>900</v>
      </c>
      <c r="L63" s="3"/>
      <c r="N63" s="57">
        <f>(8*(PI())^2*$K$8*K63*$T$17)/($N$8*($L$8^2))</f>
        <v>329.03219121053331</v>
      </c>
      <c r="O63" s="3"/>
      <c r="P63" s="118">
        <f t="shared" si="3"/>
        <v>1.987204257459577</v>
      </c>
      <c r="Q63" s="3"/>
      <c r="R63" s="14">
        <f>K63/($N$8*$T$19)</f>
        <v>329.0327533826395</v>
      </c>
      <c r="S63" s="14">
        <f t="shared" si="4"/>
        <v>9.3831077803150844E-23</v>
      </c>
      <c r="T63" s="122">
        <f t="shared" si="5"/>
        <v>13.505352721501174</v>
      </c>
      <c r="U63" s="85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2:41" x14ac:dyDescent="0.2">
      <c r="B64" s="83"/>
      <c r="C64" s="3">
        <v>1000</v>
      </c>
      <c r="D64" s="3"/>
      <c r="E64" s="16">
        <v>0.18205602301323748</v>
      </c>
      <c r="F64" s="18">
        <f t="array" ref="F64">SUM(E64:E64)</f>
        <v>0.18205602301323748</v>
      </c>
      <c r="G64" s="95">
        <f t="array" ref="G64">PRODUCT(F64,$P$8,$Q$8)</f>
        <v>0.36178250402806422</v>
      </c>
      <c r="H64" s="85"/>
      <c r="J64" s="83"/>
      <c r="K64" s="3">
        <v>1000</v>
      </c>
      <c r="L64" s="3"/>
      <c r="N64" s="57">
        <f>(8*(PI())^2*$K$8*K64*$T$17)/($N$8*($L$8^2))</f>
        <v>365.59132356725928</v>
      </c>
      <c r="O64" s="3"/>
      <c r="P64" s="118">
        <f t="shared" si="3"/>
        <v>1.987204257459577</v>
      </c>
      <c r="Q64" s="3"/>
      <c r="R64" s="14">
        <f>K64/($N$8*$T$19)</f>
        <v>365.59194820293277</v>
      </c>
      <c r="S64" s="14">
        <f t="shared" si="4"/>
        <v>9.5285736708975463E-23</v>
      </c>
      <c r="T64" s="122">
        <f t="shared" si="5"/>
        <v>13.714725586788401</v>
      </c>
      <c r="U64" s="85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2:41" x14ac:dyDescent="0.2">
      <c r="B65" s="83"/>
      <c r="C65" s="3">
        <v>1100</v>
      </c>
      <c r="D65" s="3"/>
      <c r="E65" s="16">
        <v>0.22890155619964839</v>
      </c>
      <c r="F65" s="18">
        <f t="array" ref="F65">SUM(E65:E65)</f>
        <v>0.22890155619964839</v>
      </c>
      <c r="G65" s="95">
        <f t="array" ref="G65">PRODUCT(F65,$P$8,$Q$8)</f>
        <v>0.45487414701906387</v>
      </c>
      <c r="H65" s="85"/>
      <c r="J65" s="83"/>
      <c r="K65" s="3">
        <v>1100</v>
      </c>
      <c r="L65" s="3"/>
      <c r="N65" s="57">
        <f>(8*(PI())^2*$K$8*K65*$T$17)/($N$8*($L$8^2))</f>
        <v>402.15045592398513</v>
      </c>
      <c r="O65" s="3"/>
      <c r="P65" s="118">
        <f t="shared" si="3"/>
        <v>1.987204257459577</v>
      </c>
      <c r="Q65" s="3"/>
      <c r="R65" s="14">
        <f>K65/($N$8*$T$19)</f>
        <v>402.15114302322604</v>
      </c>
      <c r="S65" s="14">
        <f t="shared" si="4"/>
        <v>9.6601635753342076E-23</v>
      </c>
      <c r="T65" s="122">
        <f t="shared" si="5"/>
        <v>13.904126381878283</v>
      </c>
      <c r="U65" s="85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2:41" x14ac:dyDescent="0.2">
      <c r="B66" s="83"/>
      <c r="C66" s="3">
        <v>1200</v>
      </c>
      <c r="D66" s="3"/>
      <c r="E66" s="16">
        <v>0.27673711459831557</v>
      </c>
      <c r="F66" s="18">
        <f t="array" ref="F66">SUM(E66:E66)</f>
        <v>0.27673711459831557</v>
      </c>
      <c r="G66" s="95">
        <f t="array" ref="G66">PRODUCT(F66,$P$8,$Q$8)</f>
        <v>0.54993317232685146</v>
      </c>
      <c r="H66" s="85"/>
      <c r="J66" s="83"/>
      <c r="K66" s="3">
        <v>1200</v>
      </c>
      <c r="L66" s="3"/>
      <c r="N66" s="57">
        <f>(8*(PI())^2*$K$8*K66*$T$17)/($N$8*($L$8^2))</f>
        <v>438.70958828071105</v>
      </c>
      <c r="O66" s="3"/>
      <c r="P66" s="118">
        <f t="shared" si="3"/>
        <v>1.987204257459577</v>
      </c>
      <c r="Q66" s="3"/>
      <c r="R66" s="14">
        <f>K66/($N$8*$T$19)</f>
        <v>438.71033784351931</v>
      </c>
      <c r="S66" s="14">
        <f t="shared" si="4"/>
        <v>9.7802957459635633E-23</v>
      </c>
      <c r="T66" s="122">
        <f t="shared" si="5"/>
        <v>14.077035760682683</v>
      </c>
      <c r="U66" s="85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2:41" x14ac:dyDescent="0.2">
      <c r="B67" s="83"/>
      <c r="C67" s="3">
        <v>1300</v>
      </c>
      <c r="D67" s="3"/>
      <c r="E67" s="16">
        <v>0.32477800984338778</v>
      </c>
      <c r="F67" s="18">
        <f t="array" ref="F67">SUM(E67:E67)</f>
        <v>0.32477800984338778</v>
      </c>
      <c r="G67" s="95">
        <f t="array" ref="G67">PRODUCT(F67,$P$8,$Q$8)</f>
        <v>0.64540024389002859</v>
      </c>
      <c r="H67" s="85"/>
      <c r="J67" s="83"/>
      <c r="K67" s="3">
        <v>1300</v>
      </c>
      <c r="L67" s="3"/>
      <c r="N67" s="57">
        <f>(8*(PI())^2*$K$8*K67*$T$17)/($N$8*($L$8^2))</f>
        <v>475.26872063743701</v>
      </c>
      <c r="O67" s="3"/>
      <c r="P67" s="118">
        <f t="shared" si="3"/>
        <v>1.987204257459577</v>
      </c>
      <c r="Q67" s="3"/>
      <c r="R67" s="14">
        <f>K67/($N$8*$T$19)</f>
        <v>475.26953266381264</v>
      </c>
      <c r="S67" s="14">
        <f t="shared" si="4"/>
        <v>9.8908066302703248E-23</v>
      </c>
      <c r="T67" s="122">
        <f t="shared" si="5"/>
        <v>14.23609697015306</v>
      </c>
      <c r="U67" s="85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2:41" x14ac:dyDescent="0.2">
      <c r="B68" s="83"/>
      <c r="C68" s="3">
        <v>1400</v>
      </c>
      <c r="D68" s="3"/>
      <c r="E68" s="16">
        <v>0.37248075829245814</v>
      </c>
      <c r="F68" s="18">
        <f t="array" ref="F68">SUM(E68:E68)</f>
        <v>0.37248075829245814</v>
      </c>
      <c r="G68" s="95">
        <f t="array" ref="G68">PRODUCT(F68,$P$8,$Q$8)</f>
        <v>0.74019534870054438</v>
      </c>
      <c r="H68" s="85"/>
      <c r="J68" s="83"/>
      <c r="K68" s="3">
        <v>1400</v>
      </c>
      <c r="L68" s="3"/>
      <c r="N68" s="57">
        <f>(8*(PI())^2*$K$8*K68*$T$17)/($N$8*($L$8^2))</f>
        <v>511.82785299416287</v>
      </c>
      <c r="O68" s="3"/>
      <c r="P68" s="118">
        <f t="shared" si="3"/>
        <v>1.987204257459577</v>
      </c>
      <c r="Q68" s="3"/>
      <c r="R68" s="14">
        <f>K68/($N$8*$T$19)</f>
        <v>511.82872748410591</v>
      </c>
      <c r="S68" s="14">
        <f t="shared" si="4"/>
        <v>9.9931237279163881E-23</v>
      </c>
      <c r="T68" s="122">
        <f t="shared" si="5"/>
        <v>14.383364647931344</v>
      </c>
      <c r="U68" s="85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2:41" x14ac:dyDescent="0.2">
      <c r="B69" s="83"/>
      <c r="C69" s="3">
        <v>1500</v>
      </c>
      <c r="D69" s="3"/>
      <c r="E69" s="16">
        <v>0.4194792323180388</v>
      </c>
      <c r="F69" s="18">
        <f t="array" ref="F69">SUM(E69:E69)</f>
        <v>0.4194792323180388</v>
      </c>
      <c r="G69" s="95">
        <f t="array" ref="G69">PRODUCT(F69,$P$8,$Q$8)</f>
        <v>0.83359091637828164</v>
      </c>
      <c r="H69" s="85"/>
      <c r="J69" s="83"/>
      <c r="K69" s="3">
        <v>1500</v>
      </c>
      <c r="L69" s="3"/>
      <c r="N69" s="57">
        <f>(8*(PI())^2*$K$8*K69*$T$17)/($N$8*($L$8^2))</f>
        <v>548.38698535088884</v>
      </c>
      <c r="P69" s="118">
        <f t="shared" si="3"/>
        <v>1.987204257459577</v>
      </c>
      <c r="R69" s="14">
        <f>K69/($N$8*$T$19)</f>
        <v>548.38792230439913</v>
      </c>
      <c r="S69" s="14">
        <f t="shared" si="4"/>
        <v>1.0088378666941975E-22</v>
      </c>
      <c r="T69" s="122">
        <f t="shared" si="5"/>
        <v>14.520467575887102</v>
      </c>
      <c r="U69" s="85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2:41" x14ac:dyDescent="0.2">
      <c r="B70" s="83"/>
      <c r="C70" s="3">
        <v>1600</v>
      </c>
      <c r="D70" s="3"/>
      <c r="E70" s="16">
        <v>0.46553477010220601</v>
      </c>
      <c r="F70" s="18">
        <f t="array" ref="F70">SUM(E70:E70)</f>
        <v>0.46553477010220601</v>
      </c>
      <c r="G70" s="95">
        <f t="array" ref="G70">PRODUCT(F70,$P$8,$Q$8)</f>
        <v>0.92511267714256906</v>
      </c>
      <c r="H70" s="85"/>
      <c r="J70" s="83"/>
      <c r="K70" s="3">
        <v>1600</v>
      </c>
      <c r="L70" s="3"/>
      <c r="N70" s="57">
        <f>(8*(PI())^2*$K$8*K70*$T$17)/($N$8*($L$8^2))</f>
        <v>584.94611770761469</v>
      </c>
      <c r="P70" s="118">
        <f t="shared" si="3"/>
        <v>1.987204257459577</v>
      </c>
      <c r="R70" s="14">
        <f>K70/($N$8*$T$19)</f>
        <v>584.94711712469245</v>
      </c>
      <c r="S70" s="14">
        <f t="shared" si="4"/>
        <v>1.0177483711612042E-22</v>
      </c>
      <c r="T70" s="122">
        <f t="shared" si="5"/>
        <v>14.648718799864193</v>
      </c>
      <c r="U70" s="85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2:41" x14ac:dyDescent="0.2">
      <c r="B71" s="83"/>
      <c r="C71" s="3">
        <v>1700</v>
      </c>
      <c r="D71" s="3"/>
      <c r="E71" s="16">
        <v>0.51049905528451456</v>
      </c>
      <c r="F71" s="18">
        <f t="array" ref="F71">SUM(E71:E71)</f>
        <v>0.51049905528451456</v>
      </c>
      <c r="G71" s="95">
        <f t="array" ref="G71">PRODUCT(F71,$P$8,$Q$8)</f>
        <v>1.0144658960904793</v>
      </c>
      <c r="H71" s="85"/>
      <c r="J71" s="83"/>
      <c r="K71" s="3">
        <v>1700</v>
      </c>
      <c r="L71" s="3"/>
      <c r="N71" s="57">
        <f>(8*(PI())^2*$K$8*K71*$T$17)/($N$8*($L$8^2))</f>
        <v>621.50525006434066</v>
      </c>
      <c r="P71" s="118">
        <f t="shared" si="3"/>
        <v>1.987204257459577</v>
      </c>
      <c r="R71" s="14">
        <f>K71/($N$8*$T$19)</f>
        <v>621.50631194498567</v>
      </c>
      <c r="S71" s="14">
        <f t="shared" si="4"/>
        <v>1.0261185035098281E-22</v>
      </c>
      <c r="T71" s="122">
        <f t="shared" si="5"/>
        <v>14.769192306446909</v>
      </c>
      <c r="U71" s="85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2:41" x14ac:dyDescent="0.2">
      <c r="B72" s="83"/>
      <c r="C72" s="3">
        <v>1800</v>
      </c>
      <c r="D72" s="3"/>
      <c r="E72" s="16">
        <v>0.55428718402107435</v>
      </c>
      <c r="F72" s="18">
        <f t="array" ref="F72">SUM(E72:E72)</f>
        <v>0.55428718402107435</v>
      </c>
      <c r="G72" s="95">
        <f t="array" ref="G72">PRODUCT(F72,$P$8,$Q$8)</f>
        <v>1.1014818519419589</v>
      </c>
      <c r="H72" s="85"/>
      <c r="J72" s="83"/>
      <c r="K72" s="3">
        <v>1800</v>
      </c>
      <c r="L72" s="3"/>
      <c r="N72" s="57">
        <f>(8*(PI())^2*$K$8*K72*$T$17)/($N$8*($L$8^2))</f>
        <v>658.06438242106663</v>
      </c>
      <c r="P72" s="118">
        <f t="shared" si="3"/>
        <v>1.987204257459577</v>
      </c>
      <c r="R72" s="14">
        <f>K72/($N$8*$T$19)</f>
        <v>658.065506765279</v>
      </c>
      <c r="S72" s="14">
        <f t="shared" si="4"/>
        <v>1.0340100742007992E-22</v>
      </c>
      <c r="T72" s="122">
        <f t="shared" si="5"/>
        <v>14.882777749781384</v>
      </c>
      <c r="U72" s="85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2:41" x14ac:dyDescent="0.2">
      <c r="B73" s="83"/>
      <c r="C73" s="3">
        <v>1900</v>
      </c>
      <c r="D73" s="3"/>
      <c r="E73" s="16">
        <v>0.59685837948486886</v>
      </c>
      <c r="F73" s="18">
        <f t="array" ref="F73">SUM(E73:E73)</f>
        <v>0.59685837948486886</v>
      </c>
      <c r="G73" s="95">
        <f t="array" ref="G73">PRODUCT(F73,$P$8,$Q$8)</f>
        <v>1.1860795128127553</v>
      </c>
      <c r="H73" s="85"/>
      <c r="J73" s="83"/>
      <c r="K73" s="3">
        <v>1900</v>
      </c>
      <c r="L73" s="3"/>
      <c r="N73" s="57">
        <f>(8*(PI())^2*$K$8*K73*$T$17)/($N$8*($L$8^2))</f>
        <v>694.62351477779259</v>
      </c>
      <c r="P73" s="118">
        <f t="shared" si="3"/>
        <v>1.987204257459577</v>
      </c>
      <c r="R73" s="14">
        <f>K73/($N$8*$T$19)</f>
        <v>694.62470158557232</v>
      </c>
      <c r="S73" s="14">
        <f t="shared" si="4"/>
        <v>1.0414748596987577E-22</v>
      </c>
      <c r="T73" s="122">
        <f t="shared" si="5"/>
        <v>14.990220362080667</v>
      </c>
      <c r="U73" s="85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2:41" ht="17" thickBot="1" x14ac:dyDescent="0.25">
      <c r="B74" s="83"/>
      <c r="C74" s="3">
        <v>2000</v>
      </c>
      <c r="D74" s="3"/>
      <c r="E74" s="22">
        <v>0.63820227603294644</v>
      </c>
      <c r="F74" s="25">
        <f t="array" ref="F74">SUM(E74:E74)</f>
        <v>0.63820227603294644</v>
      </c>
      <c r="G74" s="96">
        <f t="array" ref="G74">PRODUCT(F74,$P$8,$Q$8)</f>
        <v>1.2682382800530632</v>
      </c>
      <c r="H74" s="85"/>
      <c r="J74" s="83"/>
      <c r="K74" s="3">
        <v>2000</v>
      </c>
      <c r="L74" s="3"/>
      <c r="N74" s="58">
        <f>(8*(PI())^2*$K$8*K74*$T$17)/($N$8*($L$8^2))</f>
        <v>731.18264713451856</v>
      </c>
      <c r="P74" s="119">
        <f t="shared" si="3"/>
        <v>1.987204257459577</v>
      </c>
      <c r="R74" s="14">
        <f>K74/($N$8*$T$19)</f>
        <v>731.18389640586554</v>
      </c>
      <c r="S74" s="14">
        <f t="shared" si="4"/>
        <v>1.0485566632590455E-22</v>
      </c>
      <c r="T74" s="123">
        <f t="shared" si="5"/>
        <v>15.092150615068613</v>
      </c>
      <c r="U74" s="85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2:41" x14ac:dyDescent="0.2">
      <c r="B75" s="83"/>
      <c r="C75" s="3"/>
      <c r="D75" s="3"/>
      <c r="E75" s="3"/>
      <c r="H75" s="85"/>
      <c r="J75" s="16"/>
      <c r="K75" s="3"/>
      <c r="L75" s="3"/>
      <c r="M75" s="3"/>
      <c r="N75" s="3"/>
      <c r="O75" s="3"/>
      <c r="P75" s="3"/>
      <c r="Q75" s="3"/>
      <c r="R75" s="3"/>
      <c r="S75" s="3"/>
      <c r="T75" s="3"/>
      <c r="U75" s="85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2:41" ht="17" thickBot="1" x14ac:dyDescent="0.25">
      <c r="B76" s="41"/>
      <c r="C76" s="23"/>
      <c r="D76" s="23"/>
      <c r="E76" s="23"/>
      <c r="F76" s="23"/>
      <c r="G76" s="23"/>
      <c r="H76" s="43"/>
      <c r="J76" s="22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4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2:41" x14ac:dyDescent="0.2">
      <c r="C77" s="3"/>
      <c r="D77" s="3"/>
      <c r="E77" s="14"/>
      <c r="F77" s="14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2:41" x14ac:dyDescent="0.2">
      <c r="C78" s="3"/>
      <c r="D78" s="3"/>
      <c r="E78" s="14"/>
      <c r="F78" s="14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2:41" x14ac:dyDescent="0.2">
      <c r="I79" s="3"/>
      <c r="J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2:41" x14ac:dyDescent="0.2">
      <c r="I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9:41" x14ac:dyDescent="0.2">
      <c r="I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9:41" x14ac:dyDescent="0.2">
      <c r="I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9:41" x14ac:dyDescent="0.2">
      <c r="I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9:41" x14ac:dyDescent="0.2">
      <c r="I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9:41" x14ac:dyDescent="0.2">
      <c r="I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9:41" x14ac:dyDescent="0.2"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9:41" x14ac:dyDescent="0.2"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9:41" x14ac:dyDescent="0.2"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9:41" x14ac:dyDescent="0.2"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O89" s="3"/>
    </row>
    <row r="90" spans="9:41" x14ac:dyDescent="0.2"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9:41" x14ac:dyDescent="0.2"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9:41" x14ac:dyDescent="0.2"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9:41" x14ac:dyDescent="0.2"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9:41" x14ac:dyDescent="0.2"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9:41" x14ac:dyDescent="0.2"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9:41" x14ac:dyDescent="0.2"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24:41" x14ac:dyDescent="0.2"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24:41" x14ac:dyDescent="0.2"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24:41" x14ac:dyDescent="0.2"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24:41" x14ac:dyDescent="0.2"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24:41" x14ac:dyDescent="0.2"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24:41" x14ac:dyDescent="0.2"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24:41" x14ac:dyDescent="0.2"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24:41" x14ac:dyDescent="0.2"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24:41" x14ac:dyDescent="0.2"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24:41" x14ac:dyDescent="0.2"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24:41" x14ac:dyDescent="0.2"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24:41" x14ac:dyDescent="0.2"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24:41" x14ac:dyDescent="0.2"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24:41" x14ac:dyDescent="0.2"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24:41" x14ac:dyDescent="0.2"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24:41" x14ac:dyDescent="0.2"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24:41" x14ac:dyDescent="0.2"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24:41" x14ac:dyDescent="0.2"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24:41" x14ac:dyDescent="0.2"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24:41" x14ac:dyDescent="0.2"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24:41" x14ac:dyDescent="0.2"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24:41" x14ac:dyDescent="0.2"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24:41" x14ac:dyDescent="0.2"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24:41" x14ac:dyDescent="0.2"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24:41" x14ac:dyDescent="0.2"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</sheetData>
  <mergeCells count="8">
    <mergeCell ref="Q19:R19"/>
    <mergeCell ref="Q12:T12"/>
    <mergeCell ref="E9:G9"/>
    <mergeCell ref="K4:T4"/>
    <mergeCell ref="Q14:R14"/>
    <mergeCell ref="Q16:R16"/>
    <mergeCell ref="Q17:R17"/>
    <mergeCell ref="L13:N13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9B35-A0E1-9245-9E29-4FCA5C2F6346}">
  <dimension ref="B3:AY148"/>
  <sheetViews>
    <sheetView zoomScaleNormal="32" workbookViewId="0">
      <selection activeCell="J129" sqref="J129"/>
    </sheetView>
  </sheetViews>
  <sheetFormatPr baseColWidth="10" defaultRowHeight="16" x14ac:dyDescent="0.2"/>
  <cols>
    <col min="3" max="3" width="11.33203125" bestFit="1" customWidth="1"/>
    <col min="4" max="4" width="13.5" customWidth="1"/>
    <col min="5" max="5" width="11.5" bestFit="1" customWidth="1"/>
    <col min="6" max="6" width="12.33203125" customWidth="1"/>
    <col min="7" max="7" width="14.83203125" bestFit="1" customWidth="1"/>
    <col min="8" max="8" width="12.33203125" bestFit="1" customWidth="1"/>
    <col min="9" max="9" width="12" customWidth="1"/>
    <col min="10" max="10" width="13.5" customWidth="1"/>
    <col min="11" max="11" width="12.6640625" bestFit="1" customWidth="1"/>
    <col min="12" max="12" width="12.5" bestFit="1" customWidth="1"/>
    <col min="13" max="13" width="14.1640625" bestFit="1" customWidth="1"/>
    <col min="14" max="17" width="12.5" bestFit="1" customWidth="1"/>
    <col min="18" max="18" width="11.5" bestFit="1" customWidth="1"/>
    <col min="19" max="27" width="11.5" customWidth="1"/>
    <col min="28" max="28" width="12.33203125" bestFit="1" customWidth="1"/>
    <col min="29" max="38" width="11.5" bestFit="1" customWidth="1"/>
    <col min="39" max="47" width="11.5" customWidth="1"/>
    <col min="48" max="49" width="11.5" bestFit="1" customWidth="1"/>
    <col min="50" max="50" width="11.33203125" bestFit="1" customWidth="1"/>
  </cols>
  <sheetData>
    <row r="3" spans="3:13" ht="17" thickBot="1" x14ac:dyDescent="0.25"/>
    <row r="4" spans="3:13" ht="17" customHeight="1" thickBot="1" x14ac:dyDescent="0.25">
      <c r="C4" s="149" t="s">
        <v>21</v>
      </c>
      <c r="D4" s="150"/>
      <c r="E4" s="150"/>
      <c r="F4" s="150"/>
      <c r="G4" s="150"/>
      <c r="H4" s="150"/>
      <c r="I4" s="150"/>
      <c r="J4" s="150"/>
      <c r="K4" s="150"/>
      <c r="L4" s="151"/>
    </row>
    <row r="5" spans="3:13" ht="17" customHeight="1" thickBot="1" x14ac:dyDescent="0.25">
      <c r="C5" s="33" t="s">
        <v>23</v>
      </c>
      <c r="D5" s="33" t="s">
        <v>22</v>
      </c>
      <c r="E5" s="33" t="s">
        <v>24</v>
      </c>
      <c r="F5" s="33" t="s">
        <v>25</v>
      </c>
      <c r="G5" s="33" t="s">
        <v>26</v>
      </c>
      <c r="H5" s="33" t="s">
        <v>28</v>
      </c>
      <c r="I5" s="34" t="s">
        <v>29</v>
      </c>
      <c r="J5" s="86" t="s">
        <v>31</v>
      </c>
      <c r="K5" s="33" t="s">
        <v>33</v>
      </c>
      <c r="L5" s="33" t="s">
        <v>33</v>
      </c>
    </row>
    <row r="6" spans="3:13" ht="17" thickBot="1" x14ac:dyDescent="0.25">
      <c r="C6" s="32" t="s">
        <v>1</v>
      </c>
      <c r="D6" s="32" t="s">
        <v>3</v>
      </c>
      <c r="E6" s="32" t="s">
        <v>37</v>
      </c>
      <c r="F6" s="32" t="s">
        <v>16</v>
      </c>
      <c r="G6" s="32" t="s">
        <v>17</v>
      </c>
      <c r="H6" s="32" t="s">
        <v>8</v>
      </c>
      <c r="I6" s="32" t="s">
        <v>30</v>
      </c>
      <c r="J6" s="32"/>
      <c r="K6" s="32"/>
      <c r="L6" s="32"/>
    </row>
    <row r="7" spans="3:13" ht="17" thickBot="1" x14ac:dyDescent="0.25">
      <c r="C7" s="31" t="s">
        <v>2</v>
      </c>
      <c r="D7" s="30" t="s">
        <v>4</v>
      </c>
      <c r="E7" s="30" t="s">
        <v>38</v>
      </c>
      <c r="F7" s="30"/>
      <c r="G7" s="30" t="s">
        <v>18</v>
      </c>
      <c r="H7" s="30" t="s">
        <v>27</v>
      </c>
      <c r="I7" s="30" t="s">
        <v>32</v>
      </c>
      <c r="J7" s="30" t="s">
        <v>34</v>
      </c>
      <c r="K7" s="30" t="s">
        <v>35</v>
      </c>
      <c r="L7" s="30" t="s">
        <v>36</v>
      </c>
    </row>
    <row r="8" spans="3:13" ht="17" thickBot="1" x14ac:dyDescent="0.25">
      <c r="C8" s="28">
        <v>1.3806490000000001E-23</v>
      </c>
      <c r="D8" s="28">
        <v>6.6260701499999998E-34</v>
      </c>
      <c r="E8" s="28">
        <v>6.0221407599999999E+23</v>
      </c>
      <c r="F8" s="28">
        <v>2</v>
      </c>
      <c r="G8" s="28">
        <v>29979245800</v>
      </c>
      <c r="H8" s="29">
        <v>8.3144626180000003</v>
      </c>
      <c r="I8" s="29">
        <v>0.239005736</v>
      </c>
      <c r="J8" s="29">
        <v>1.6605390666E-27</v>
      </c>
      <c r="K8" s="29">
        <v>43.989829999999998</v>
      </c>
      <c r="L8" s="29">
        <f>K8*J8</f>
        <v>7.3046831248092671E-26</v>
      </c>
    </row>
    <row r="10" spans="3:13" x14ac:dyDescent="0.2">
      <c r="H10" t="s">
        <v>56</v>
      </c>
    </row>
    <row r="11" spans="3:13" ht="17" thickBot="1" x14ac:dyDescent="0.25"/>
    <row r="12" spans="3:13" ht="17" thickBot="1" x14ac:dyDescent="0.25">
      <c r="C12" s="140" t="s">
        <v>39</v>
      </c>
      <c r="D12" s="141"/>
      <c r="E12" s="141"/>
      <c r="F12" s="142"/>
      <c r="G12" s="109"/>
      <c r="H12" s="133" t="s">
        <v>46</v>
      </c>
      <c r="I12" s="134"/>
      <c r="J12" s="134"/>
      <c r="K12" s="134"/>
      <c r="L12" s="135"/>
      <c r="M12" s="109"/>
    </row>
    <row r="13" spans="3:13" ht="17" thickBot="1" x14ac:dyDescent="0.25">
      <c r="C13">
        <v>1</v>
      </c>
      <c r="D13">
        <v>2</v>
      </c>
      <c r="E13">
        <v>3</v>
      </c>
      <c r="F13">
        <v>4</v>
      </c>
      <c r="K13" s="27">
        <v>1</v>
      </c>
      <c r="L13" s="27">
        <v>2</v>
      </c>
      <c r="M13" s="27"/>
    </row>
    <row r="14" spans="3:13" ht="17" thickBot="1" x14ac:dyDescent="0.25">
      <c r="C14" s="36">
        <v>936.91</v>
      </c>
      <c r="D14" s="45">
        <v>936.91</v>
      </c>
      <c r="E14" s="37">
        <v>1961.65</v>
      </c>
      <c r="F14" s="38">
        <v>3468.24</v>
      </c>
      <c r="H14" s="136" t="s">
        <v>40</v>
      </c>
      <c r="I14" s="137"/>
      <c r="J14" s="30" t="s">
        <v>41</v>
      </c>
      <c r="K14" s="39">
        <v>11.5531153</v>
      </c>
      <c r="L14" s="38">
        <v>11.5531153</v>
      </c>
    </row>
    <row r="15" spans="3:13" ht="17" thickBot="1" x14ac:dyDescent="0.25">
      <c r="H15" s="121"/>
      <c r="I15" s="27"/>
      <c r="J15" s="30" t="s">
        <v>42</v>
      </c>
      <c r="K15" s="88" cm="1">
        <f t="array" ref="K15:L15">K14:L14*1000000000</f>
        <v>11553115300</v>
      </c>
      <c r="L15" s="90">
        <v>11553115300</v>
      </c>
      <c r="M15" s="120"/>
    </row>
    <row r="16" spans="3:13" ht="17" thickBot="1" x14ac:dyDescent="0.25">
      <c r="H16" s="136" t="s">
        <v>43</v>
      </c>
      <c r="I16" s="137"/>
      <c r="J16" s="30" t="s">
        <v>19</v>
      </c>
      <c r="K16" s="44" cm="1">
        <f t="array" ref="K16:L16">K15:L15/$G$8</f>
        <v>0.3853704451764427</v>
      </c>
      <c r="L16" s="46">
        <v>0.3853704451764427</v>
      </c>
      <c r="M16" s="27"/>
    </row>
    <row r="17" spans="2:51" ht="17" thickBot="1" x14ac:dyDescent="0.25">
      <c r="H17" s="138" t="s">
        <v>44</v>
      </c>
      <c r="I17" s="139"/>
      <c r="J17" s="30" t="s">
        <v>45</v>
      </c>
      <c r="K17" s="48" cm="1">
        <f t="array" ref="K17:L17">$D$8/(8*(PI())^2*$G$8*K16:L16)</f>
        <v>7.2638553872906749E-46</v>
      </c>
      <c r="L17" s="47">
        <v>7.2638553872906749E-46</v>
      </c>
      <c r="M17" s="3"/>
    </row>
    <row r="18" spans="2:51" ht="17" thickBot="1" x14ac:dyDescent="0.25">
      <c r="H18" s="16"/>
      <c r="I18" s="26"/>
      <c r="J18" s="3"/>
      <c r="K18" s="3"/>
      <c r="L18" s="85"/>
      <c r="M18" s="3"/>
    </row>
    <row r="19" spans="2:51" ht="17" thickBot="1" x14ac:dyDescent="0.25">
      <c r="H19" s="138" t="s">
        <v>53</v>
      </c>
      <c r="I19" s="139"/>
      <c r="J19" s="30" t="s">
        <v>54</v>
      </c>
      <c r="K19" s="50">
        <v>0.55445999999999995</v>
      </c>
      <c r="L19" s="46"/>
      <c r="M19" s="27"/>
    </row>
    <row r="21" spans="2:51" x14ac:dyDescent="0.2">
      <c r="J21" t="s">
        <v>56</v>
      </c>
    </row>
    <row r="22" spans="2:51" ht="17" thickBot="1" x14ac:dyDescent="0.25"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2:51" ht="17" thickBot="1" x14ac:dyDescent="0.25">
      <c r="B23" s="40"/>
      <c r="C23" s="111"/>
      <c r="D23" s="10"/>
      <c r="E23" s="10"/>
      <c r="F23" s="10"/>
      <c r="G23" s="10"/>
      <c r="H23" s="10"/>
      <c r="I23" s="10"/>
      <c r="J23" s="10"/>
      <c r="K23" s="10"/>
      <c r="L23" s="10"/>
      <c r="M23" s="112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2:51" ht="17" thickBot="1" x14ac:dyDescent="0.25">
      <c r="B24" s="83"/>
      <c r="D24" s="3"/>
      <c r="E24" s="3"/>
      <c r="F24" s="3"/>
      <c r="G24" s="3"/>
      <c r="H24" s="3"/>
      <c r="I24" s="3"/>
      <c r="J24" s="3"/>
      <c r="K24" s="3"/>
      <c r="L24" s="3"/>
      <c r="M24" s="113"/>
      <c r="N24" s="3"/>
      <c r="O24" s="3"/>
      <c r="Q24" s="3"/>
      <c r="R24" s="3"/>
      <c r="S24" s="3"/>
      <c r="T24" s="3"/>
      <c r="U24" s="3"/>
      <c r="V24" s="39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2:51" ht="17" thickBot="1" x14ac:dyDescent="0.25">
      <c r="B25" s="83"/>
      <c r="D25" s="3"/>
      <c r="E25" s="3"/>
      <c r="F25" s="140" t="s">
        <v>47</v>
      </c>
      <c r="G25" s="141"/>
      <c r="H25" s="141"/>
      <c r="I25" s="141"/>
      <c r="J25" s="141"/>
      <c r="K25" s="142"/>
      <c r="L25" s="78"/>
      <c r="M25" s="84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3"/>
    </row>
    <row r="26" spans="2:51" x14ac:dyDescent="0.2">
      <c r="B26" s="83"/>
      <c r="D26" s="3"/>
      <c r="E26" s="3"/>
      <c r="F26" s="3"/>
      <c r="G26" s="3"/>
      <c r="H26" s="3"/>
      <c r="I26" s="3"/>
      <c r="J26" s="3"/>
      <c r="K26" s="3"/>
      <c r="L26" s="3"/>
      <c r="M26" s="113"/>
      <c r="N26" s="3"/>
      <c r="O26" s="3"/>
      <c r="Q26" s="3"/>
      <c r="R26" s="3"/>
      <c r="S26" s="3"/>
      <c r="T26" s="3"/>
      <c r="U26" s="3" t="s">
        <v>56</v>
      </c>
      <c r="V26" s="3"/>
      <c r="W26" s="3"/>
      <c r="X26" s="3" t="s">
        <v>56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spans="2:51" ht="17" thickBot="1" x14ac:dyDescent="0.25">
      <c r="B27" s="83"/>
      <c r="D27" s="3"/>
      <c r="E27" s="3"/>
      <c r="F27" s="3"/>
      <c r="G27" s="3"/>
      <c r="H27" s="3"/>
      <c r="I27" s="3"/>
      <c r="J27" s="3"/>
      <c r="K27" s="3"/>
      <c r="L27" s="3"/>
      <c r="M27" s="17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2:51" ht="17" thickBot="1" x14ac:dyDescent="0.25">
      <c r="B28" s="83"/>
      <c r="D28" s="102" t="s">
        <v>0</v>
      </c>
      <c r="E28" s="3"/>
      <c r="F28" s="143" t="s">
        <v>5</v>
      </c>
      <c r="G28" s="144"/>
      <c r="H28" s="144"/>
      <c r="I28" s="56"/>
      <c r="J28" s="115" t="s">
        <v>55</v>
      </c>
      <c r="M28" s="85"/>
      <c r="AY28" s="3"/>
    </row>
    <row r="29" spans="2:51" x14ac:dyDescent="0.2">
      <c r="B29" s="83"/>
      <c r="D29" s="3">
        <v>298.14999999999998</v>
      </c>
      <c r="E29" s="3"/>
      <c r="F29" s="13" cm="1">
        <f t="array" ref="F29:I46">EXP(-C14:F14/(2*D29:D46))/(1-EXP(-C14:F14/D29:D46))</f>
        <v>0.2171716344300903</v>
      </c>
      <c r="G29" s="14">
        <v>0.2171716344300903</v>
      </c>
      <c r="H29" s="14">
        <v>3.7316729866668147E-2</v>
      </c>
      <c r="I29" s="14">
        <v>2.9787304075146589E-3</v>
      </c>
      <c r="J29" s="114">
        <f>PRODUCT(F29:I29)</f>
        <v>5.2425306382581347E-6</v>
      </c>
      <c r="M29" s="85"/>
      <c r="AY29" s="3"/>
    </row>
    <row r="30" spans="2:51" x14ac:dyDescent="0.2">
      <c r="B30" s="83"/>
      <c r="D30" s="3">
        <v>400</v>
      </c>
      <c r="E30" s="3"/>
      <c r="F30" s="13">
        <v>0.34297720751582894</v>
      </c>
      <c r="G30" s="14">
        <v>0.34297720751582894</v>
      </c>
      <c r="H30" s="14">
        <v>8.6759189398047526E-2</v>
      </c>
      <c r="I30" s="14">
        <v>1.3100191518580778E-2</v>
      </c>
      <c r="J30" s="92">
        <f>PRODUCT(F30:I30)</f>
        <v>1.3369761210965043E-4</v>
      </c>
      <c r="M30" s="85"/>
      <c r="AY30" s="3"/>
    </row>
    <row r="31" spans="2:51" x14ac:dyDescent="0.2">
      <c r="B31" s="83"/>
      <c r="D31" s="3">
        <v>500</v>
      </c>
      <c r="E31" s="3"/>
      <c r="F31" s="13">
        <v>0.46291012638428952</v>
      </c>
      <c r="G31" s="14">
        <v>0.46291012638428952</v>
      </c>
      <c r="H31" s="14">
        <v>0.14346328696910715</v>
      </c>
      <c r="I31" s="14">
        <v>3.1202163497652109E-2</v>
      </c>
      <c r="J31" s="92">
        <f t="shared" ref="J31:J45" si="0">PRODUCT(F31:I31)</f>
        <v>9.5922137472869025E-4</v>
      </c>
      <c r="M31" s="85"/>
      <c r="AY31" s="3"/>
    </row>
    <row r="32" spans="2:51" x14ac:dyDescent="0.2">
      <c r="B32" s="83"/>
      <c r="D32" s="3">
        <v>600</v>
      </c>
      <c r="E32" s="3"/>
      <c r="F32" s="13">
        <v>0.57968707253537233</v>
      </c>
      <c r="G32" s="14">
        <v>0.57968707253537233</v>
      </c>
      <c r="H32" s="14">
        <v>0.20271833601602862</v>
      </c>
      <c r="I32" s="14">
        <v>5.5737185936673969E-2</v>
      </c>
      <c r="J32" s="92">
        <f t="shared" si="0"/>
        <v>3.7968662756901485E-3</v>
      </c>
      <c r="M32" s="85"/>
      <c r="AY32" s="3"/>
    </row>
    <row r="33" spans="2:51" x14ac:dyDescent="0.2">
      <c r="B33" s="83"/>
      <c r="D33" s="3">
        <v>700</v>
      </c>
      <c r="E33" s="3"/>
      <c r="F33" s="13">
        <v>0.69415074885485617</v>
      </c>
      <c r="G33" s="14">
        <v>0.69415074885485617</v>
      </c>
      <c r="H33" s="14">
        <v>0.26221422547417805</v>
      </c>
      <c r="I33" s="14">
        <v>8.4564678323688511E-2</v>
      </c>
      <c r="J33" s="92">
        <f t="shared" si="0"/>
        <v>1.0684466538297289E-2</v>
      </c>
      <c r="M33" s="85"/>
      <c r="AY33" s="3"/>
    </row>
    <row r="34" spans="2:51" x14ac:dyDescent="0.2">
      <c r="B34" s="83"/>
      <c r="D34" s="3">
        <v>800</v>
      </c>
      <c r="E34" s="3"/>
      <c r="F34" s="13">
        <v>0.8069572111660438</v>
      </c>
      <c r="G34" s="14">
        <v>0.8069572111660438</v>
      </c>
      <c r="H34" s="14">
        <v>0.32110733005099112</v>
      </c>
      <c r="I34" s="14">
        <v>0.11596515494771788</v>
      </c>
      <c r="J34" s="92">
        <f t="shared" si="0"/>
        <v>2.4248157593128379E-2</v>
      </c>
      <c r="M34" s="85"/>
      <c r="AY34" s="3"/>
    </row>
    <row r="35" spans="2:51" x14ac:dyDescent="0.2">
      <c r="B35" s="83"/>
      <c r="D35" s="3">
        <v>900</v>
      </c>
      <c r="E35" s="3"/>
      <c r="F35" s="13">
        <v>0.91856198262290834</v>
      </c>
      <c r="G35" s="14">
        <v>0.91856198262290834</v>
      </c>
      <c r="H35" s="14">
        <v>0.3791592937208591</v>
      </c>
      <c r="I35" s="14">
        <v>0.14876777964064677</v>
      </c>
      <c r="J35" s="92">
        <f t="shared" si="0"/>
        <v>4.7593486508104611E-2</v>
      </c>
      <c r="M35" s="85"/>
      <c r="AY35" s="3"/>
    </row>
    <row r="36" spans="2:51" x14ac:dyDescent="0.2">
      <c r="B36" s="83"/>
      <c r="D36" s="3">
        <v>1000</v>
      </c>
      <c r="E36" s="3"/>
      <c r="F36" s="13">
        <v>1.0292773117401615</v>
      </c>
      <c r="G36" s="14">
        <v>1.0292773117401615</v>
      </c>
      <c r="H36" s="14">
        <v>0.43636609960551009</v>
      </c>
      <c r="I36" s="14">
        <v>0.18223613738681707</v>
      </c>
      <c r="J36" s="92">
        <f t="shared" si="0"/>
        <v>8.4246196944102875E-2</v>
      </c>
      <c r="M36" s="85"/>
      <c r="AY36" s="3"/>
    </row>
    <row r="37" spans="2:51" x14ac:dyDescent="0.2">
      <c r="B37" s="83"/>
      <c r="D37" s="3">
        <v>1100</v>
      </c>
      <c r="E37" s="3"/>
      <c r="F37" s="13">
        <v>1.1393200184247962</v>
      </c>
      <c r="G37" s="14">
        <v>1.1393200184247962</v>
      </c>
      <c r="H37" s="14">
        <v>0.49280550686243896</v>
      </c>
      <c r="I37" s="14">
        <v>0.21592870129228295</v>
      </c>
      <c r="J37" s="92">
        <f t="shared" si="0"/>
        <v>0.13812661895645545</v>
      </c>
      <c r="M37" s="85"/>
      <c r="AY37" s="3"/>
    </row>
    <row r="38" spans="2:51" x14ac:dyDescent="0.2">
      <c r="B38" s="83"/>
      <c r="D38" s="3">
        <v>1200</v>
      </c>
      <c r="E38" s="3"/>
      <c r="F38" s="13">
        <v>1.248843701567274</v>
      </c>
      <c r="G38" s="14">
        <v>1.248843701567274</v>
      </c>
      <c r="H38" s="14">
        <v>0.54857587012516928</v>
      </c>
      <c r="I38" s="14">
        <v>0.24959105465884757</v>
      </c>
      <c r="J38" s="92">
        <f t="shared" si="0"/>
        <v>0.21354130503267413</v>
      </c>
      <c r="M38" s="85"/>
      <c r="AY38" s="3"/>
    </row>
    <row r="39" spans="2:51" x14ac:dyDescent="0.2">
      <c r="B39" s="83"/>
      <c r="D39" s="3">
        <v>1300</v>
      </c>
      <c r="E39" s="3"/>
      <c r="F39" s="13">
        <v>1.3579595023783941</v>
      </c>
      <c r="G39" s="14">
        <v>1.3579595023783941</v>
      </c>
      <c r="H39" s="14">
        <v>0.60377272215560662</v>
      </c>
      <c r="I39" s="14">
        <v>0.28308350428396545</v>
      </c>
      <c r="J39" s="92">
        <f t="shared" si="0"/>
        <v>0.31518220397657665</v>
      </c>
      <c r="M39" s="85"/>
      <c r="AY39" s="3"/>
    </row>
    <row r="40" spans="2:51" x14ac:dyDescent="0.2">
      <c r="B40" s="83"/>
      <c r="D40" s="3">
        <v>1400</v>
      </c>
      <c r="E40" s="3"/>
      <c r="F40" s="13">
        <v>1.4667494899094489</v>
      </c>
      <c r="G40" s="14">
        <v>1.4667494899094489</v>
      </c>
      <c r="H40" s="14">
        <v>0.65848088294298301</v>
      </c>
      <c r="I40" s="14">
        <v>0.31633525824003444</v>
      </c>
      <c r="J40" s="92">
        <f t="shared" si="0"/>
        <v>0.44812860128067394</v>
      </c>
      <c r="M40" s="85"/>
      <c r="AY40" s="3"/>
    </row>
    <row r="41" spans="2:51" x14ac:dyDescent="0.2">
      <c r="B41" s="83"/>
      <c r="D41" s="3">
        <v>1500</v>
      </c>
      <c r="E41" s="3"/>
      <c r="F41" s="13">
        <v>1.5752754131062305</v>
      </c>
      <c r="G41" s="14">
        <v>1.5752754131062305</v>
      </c>
      <c r="H41" s="14">
        <v>0.71277283128361946</v>
      </c>
      <c r="I41" s="14">
        <v>0.34931620840533212</v>
      </c>
      <c r="J41" s="92">
        <f t="shared" si="0"/>
        <v>0.61784973407426402</v>
      </c>
      <c r="M41" s="85"/>
      <c r="AY41" s="3"/>
    </row>
    <row r="42" spans="2:51" x14ac:dyDescent="0.2">
      <c r="B42" s="83"/>
      <c r="D42" s="3">
        <v>1600</v>
      </c>
      <c r="E42" s="3"/>
      <c r="F42" s="13">
        <v>1.6835845318781228</v>
      </c>
      <c r="G42" s="14">
        <v>1.6835845318781228</v>
      </c>
      <c r="H42" s="14">
        <v>0.76670945590128359</v>
      </c>
      <c r="I42" s="14">
        <v>0.38201978567382222</v>
      </c>
      <c r="J42" s="92">
        <f t="shared" si="0"/>
        <v>0.83020726598133632</v>
      </c>
      <c r="M42" s="85"/>
      <c r="AY42" s="3"/>
    </row>
    <row r="43" spans="2:51" x14ac:dyDescent="0.2">
      <c r="B43" s="83"/>
      <c r="D43" s="3">
        <v>1700</v>
      </c>
      <c r="E43" s="3"/>
      <c r="F43" s="13">
        <v>1.7917135799127857</v>
      </c>
      <c r="G43" s="14">
        <v>1.7917135799127857</v>
      </c>
      <c r="H43" s="14">
        <v>0.82034156572962424</v>
      </c>
      <c r="I43" s="14">
        <v>0.41445261958883378</v>
      </c>
      <c r="J43" s="92">
        <f t="shared" si="0"/>
        <v>1.09145736800571</v>
      </c>
      <c r="M43" s="85"/>
      <c r="AY43" s="3"/>
    </row>
    <row r="44" spans="2:51" x14ac:dyDescent="0.2">
      <c r="B44" s="83"/>
      <c r="D44" s="3">
        <v>1800</v>
      </c>
      <c r="E44" s="3"/>
      <c r="F44" s="13">
        <v>1.899691510591289</v>
      </c>
      <c r="G44" s="14">
        <v>1.899691510591289</v>
      </c>
      <c r="H44" s="14">
        <v>0.87371150217912463</v>
      </c>
      <c r="I44" s="14">
        <v>0.44662833923576761</v>
      </c>
      <c r="J44" s="92">
        <f t="shared" si="0"/>
        <v>1.4082523779281688</v>
      </c>
      <c r="M44" s="85"/>
      <c r="AY44" s="3"/>
    </row>
    <row r="45" spans="2:51" x14ac:dyDescent="0.2">
      <c r="B45" s="83"/>
      <c r="D45" s="3">
        <v>1900</v>
      </c>
      <c r="E45" s="3"/>
      <c r="F45" s="13">
        <v>2.0075414349647418</v>
      </c>
      <c r="G45" s="14">
        <v>2.0075414349647418</v>
      </c>
      <c r="H45" s="14">
        <v>0.92685460795538699</v>
      </c>
      <c r="I45" s="14">
        <v>0.47856388651073567</v>
      </c>
      <c r="J45" s="92">
        <f t="shared" si="0"/>
        <v>1.7876420900325414</v>
      </c>
      <c r="L45" t="s">
        <v>56</v>
      </c>
      <c r="M45" s="85"/>
      <c r="AY45" s="3"/>
    </row>
    <row r="46" spans="2:51" ht="17" thickBot="1" x14ac:dyDescent="0.25">
      <c r="B46" s="83"/>
      <c r="D46" s="3">
        <v>2000</v>
      </c>
      <c r="E46" s="3"/>
      <c r="F46" s="19">
        <v>2.1152820131407113</v>
      </c>
      <c r="G46" s="20">
        <v>2.1152820131407113</v>
      </c>
      <c r="H46" s="20">
        <v>0.97980048092428407</v>
      </c>
      <c r="I46" s="20">
        <v>0.51027735275833408</v>
      </c>
      <c r="J46" s="93">
        <f>PRODUCT(F46:I46)</f>
        <v>2.2370747454982989</v>
      </c>
      <c r="M46" s="85"/>
      <c r="AY46" s="3"/>
    </row>
    <row r="47" spans="2:51" x14ac:dyDescent="0.2">
      <c r="B47" s="83"/>
      <c r="D47" s="3"/>
      <c r="E47" s="3"/>
      <c r="F47" s="14"/>
      <c r="G47" s="14"/>
      <c r="H47" s="14"/>
      <c r="I47" s="14"/>
      <c r="J47" s="14"/>
      <c r="K47" s="3"/>
      <c r="L47" s="3"/>
      <c r="M47" s="17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2:51" x14ac:dyDescent="0.2">
      <c r="B48" s="83"/>
      <c r="D48" s="3"/>
      <c r="E48" s="3"/>
      <c r="F48" s="14"/>
      <c r="G48" s="14"/>
      <c r="H48" s="14"/>
      <c r="I48" s="14"/>
      <c r="J48" s="14"/>
      <c r="K48" s="3"/>
      <c r="L48" s="3"/>
      <c r="M48" s="17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2:51" ht="17" thickBot="1" x14ac:dyDescent="0.25">
      <c r="B49" s="83"/>
      <c r="D49" s="3"/>
      <c r="E49" s="3"/>
      <c r="J49" s="14"/>
      <c r="K49" s="3"/>
      <c r="L49" s="3"/>
      <c r="M49" s="17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2:51" ht="17" thickBot="1" x14ac:dyDescent="0.25">
      <c r="B50" s="83"/>
      <c r="D50" s="102" t="s">
        <v>0</v>
      </c>
      <c r="E50" s="3"/>
      <c r="F50" s="145" t="s">
        <v>9</v>
      </c>
      <c r="G50" s="146"/>
      <c r="H50" s="146"/>
      <c r="I50" s="64"/>
      <c r="J50" s="4" t="s">
        <v>6</v>
      </c>
      <c r="K50" s="60" t="s">
        <v>7</v>
      </c>
      <c r="L50" s="3"/>
      <c r="M50" s="17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2:51" x14ac:dyDescent="0.2">
      <c r="B51" s="83"/>
      <c r="D51" s="3">
        <v>298.14999999999998</v>
      </c>
      <c r="E51" s="3"/>
      <c r="F51" s="9" cm="1">
        <f t="array" ref="F51:I68">(C14:F14^2 * EXP(C14:F14/D29:D46)) / (D29:D46^2 * (EXP(C14:F14/D29:D46) - 1)^2)</f>
        <v>0.46572797015629569</v>
      </c>
      <c r="G51" s="10">
        <v>0.46572797015629569</v>
      </c>
      <c r="H51" s="10">
        <v>6.028101763898519E-2</v>
      </c>
      <c r="I51" s="10">
        <v>1.2006351556936349E-3</v>
      </c>
      <c r="J51" s="9">
        <f t="array" ref="J51">SUM(F51:H51)</f>
        <v>0.99173695795157657</v>
      </c>
      <c r="K51" s="61">
        <f t="array" ref="K51">PRODUCT(J51,$H$8,$I$8)</f>
        <v>1.9707839051213822</v>
      </c>
      <c r="M51" s="8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2:51" x14ac:dyDescent="0.2">
      <c r="B52" s="83"/>
      <c r="D52" s="3">
        <v>400</v>
      </c>
      <c r="E52" s="3"/>
      <c r="F52" s="16">
        <v>0.64536630397351147</v>
      </c>
      <c r="G52" s="3">
        <v>0.64536630397351147</v>
      </c>
      <c r="H52" s="3">
        <v>0.18103145164838255</v>
      </c>
      <c r="I52" s="3">
        <v>1.2901897657699408E-2</v>
      </c>
      <c r="J52" s="16">
        <f t="array" ref="J52">SUM(F52:H52)</f>
        <v>1.4717640595954056</v>
      </c>
      <c r="K52" s="61">
        <f t="array" ref="K52">PRODUCT(J52,$H$8,$I$8)</f>
        <v>2.9246958052039806</v>
      </c>
      <c r="M52" s="8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2:51" x14ac:dyDescent="0.2">
      <c r="B53" s="83"/>
      <c r="D53" s="3">
        <v>500</v>
      </c>
      <c r="E53" s="3"/>
      <c r="F53" s="16">
        <v>0.75240054704666537</v>
      </c>
      <c r="G53" s="3">
        <v>0.75240054704666537</v>
      </c>
      <c r="H53" s="3">
        <v>0.31679957514650792</v>
      </c>
      <c r="I53" s="3">
        <v>4.6843322728701668E-2</v>
      </c>
      <c r="J53" s="16">
        <f t="array" ref="J53">SUM(F53:H53)</f>
        <v>1.8216006692398388</v>
      </c>
      <c r="K53" s="61">
        <f t="array" ref="K53">PRODUCT(J53,$H$8,$I$8)</f>
        <v>3.6198926053046221</v>
      </c>
      <c r="M53" s="8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2:51" x14ac:dyDescent="0.2">
      <c r="B54" s="83"/>
      <c r="D54" s="3">
        <v>600</v>
      </c>
      <c r="E54" s="3"/>
      <c r="F54" s="16">
        <v>0.81937079213013198</v>
      </c>
      <c r="G54" s="3">
        <v>0.81937079213013198</v>
      </c>
      <c r="H54" s="3">
        <v>0.43926500927486256</v>
      </c>
      <c r="I54" s="3">
        <v>0.10380203342797957</v>
      </c>
      <c r="J54" s="16">
        <f t="array" ref="J54">SUM(F54:H54)</f>
        <v>2.0780065935351266</v>
      </c>
      <c r="K54" s="61">
        <f t="array" ref="K54">PRODUCT(J54,$H$8,$I$8)</f>
        <v>4.1294235497020768</v>
      </c>
      <c r="M54" s="8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2:51" x14ac:dyDescent="0.2">
      <c r="B55" s="83"/>
      <c r="D55" s="3">
        <v>700</v>
      </c>
      <c r="E55" s="3"/>
      <c r="F55" s="16">
        <v>0.86319171190429311</v>
      </c>
      <c r="G55" s="3">
        <v>0.86319171190429311</v>
      </c>
      <c r="H55" s="3">
        <v>0.53995735750058482</v>
      </c>
      <c r="I55" s="3">
        <v>0.17554974697683537</v>
      </c>
      <c r="J55" s="16">
        <f t="array" ref="J55">SUM(F55:H55)</f>
        <v>2.2663407813091712</v>
      </c>
      <c r="K55" s="61">
        <f t="array" ref="K55">PRODUCT(J55,$H$8,$I$8)</f>
        <v>4.5036820494718484</v>
      </c>
      <c r="M55" s="8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2:51" x14ac:dyDescent="0.2">
      <c r="B56" s="83"/>
      <c r="D56" s="3">
        <v>800</v>
      </c>
      <c r="E56" s="3"/>
      <c r="F56" s="16">
        <v>0.89313434153255411</v>
      </c>
      <c r="G56" s="3">
        <v>0.89313434153255411</v>
      </c>
      <c r="H56" s="3">
        <v>0.61995977249116008</v>
      </c>
      <c r="I56" s="3">
        <v>0.25275126433342249</v>
      </c>
      <c r="J56" s="16">
        <f t="array" ref="J56">SUM(F56:H56)</f>
        <v>2.4062284555562683</v>
      </c>
      <c r="K56" s="61">
        <f t="array" ref="K56">PRODUCT(J56,$H$8,$I$8)</f>
        <v>4.7816674313017984</v>
      </c>
      <c r="M56" s="8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2:51" x14ac:dyDescent="0.2">
      <c r="B57" s="83"/>
      <c r="D57" s="3">
        <v>900</v>
      </c>
      <c r="E57" s="3"/>
      <c r="F57" s="16">
        <v>0.91438199045208957</v>
      </c>
      <c r="G57" s="3">
        <v>0.91438199045208957</v>
      </c>
      <c r="H57" s="3">
        <v>0.68296970149273806</v>
      </c>
      <c r="I57" s="3">
        <v>0.32866316188554162</v>
      </c>
      <c r="J57" s="16">
        <f t="array" ref="J57">SUM(F57:H57)</f>
        <v>2.5117336823969172</v>
      </c>
      <c r="K57" s="61">
        <f t="array" ref="K57">PRODUCT(J57,$H$8,$I$8)</f>
        <v>4.9913278672637746</v>
      </c>
      <c r="M57" s="8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2:51" x14ac:dyDescent="0.2">
      <c r="B58" s="83"/>
      <c r="D58" s="3">
        <v>1000</v>
      </c>
      <c r="E58" s="3"/>
      <c r="F58" s="16">
        <v>0.9299520331829102</v>
      </c>
      <c r="G58" s="3">
        <v>0.9299520331829102</v>
      </c>
      <c r="H58" s="3">
        <v>0.7327318215124039</v>
      </c>
      <c r="I58" s="3">
        <v>0.39947286916357733</v>
      </c>
      <c r="J58" s="16">
        <f t="array" ref="J58">SUM(F58:H58)</f>
        <v>2.5926358878782243</v>
      </c>
      <c r="K58" s="61">
        <f t="array" ref="K58">PRODUCT(J58,$H$8,$I$8)</f>
        <v>5.1520970744340984</v>
      </c>
      <c r="M58" s="8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2:51" x14ac:dyDescent="0.2">
      <c r="B59" s="83"/>
      <c r="D59" s="3">
        <v>1100</v>
      </c>
      <c r="E59" s="3"/>
      <c r="F59" s="16">
        <v>0.94167672188351914</v>
      </c>
      <c r="G59" s="3">
        <v>0.94167672188351914</v>
      </c>
      <c r="H59" s="3">
        <v>0.77234044725174322</v>
      </c>
      <c r="I59" s="3">
        <v>0.46350418585169917</v>
      </c>
      <c r="J59" s="16">
        <f t="array" ref="J59">SUM(F59:H59)</f>
        <v>2.6556938910187817</v>
      </c>
      <c r="K59" s="61">
        <f t="array" ref="K59">PRODUCT(J59,$H$8,$I$8)</f>
        <v>5.2774062067419125</v>
      </c>
      <c r="M59" s="8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2:51" x14ac:dyDescent="0.2">
      <c r="B60" s="83"/>
      <c r="D60" s="3">
        <v>1200</v>
      </c>
      <c r="E60" s="3"/>
      <c r="F60" s="16">
        <v>0.95071299974396528</v>
      </c>
      <c r="G60" s="3">
        <v>0.95071299974396528</v>
      </c>
      <c r="H60" s="3">
        <v>0.80418127102854109</v>
      </c>
      <c r="I60" s="3">
        <v>0.52037188689706093</v>
      </c>
      <c r="J60" s="16">
        <f t="array" ref="J60">SUM(F60:H60)</f>
        <v>2.7056072705164715</v>
      </c>
      <c r="K60" s="61">
        <f t="array" ref="K60">PRODUCT(J60,$H$8,$I$8)</f>
        <v>5.3765942869839174</v>
      </c>
      <c r="M60" s="8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2:51" x14ac:dyDescent="0.2">
      <c r="B61" s="83"/>
      <c r="D61" s="3">
        <v>1300</v>
      </c>
      <c r="E61" s="3"/>
      <c r="F61" s="16">
        <v>0.95781730886436889</v>
      </c>
      <c r="G61" s="3">
        <v>0.95781730886436889</v>
      </c>
      <c r="H61" s="3">
        <v>0.83004820908880661</v>
      </c>
      <c r="I61" s="3">
        <v>0.57037529585828961</v>
      </c>
      <c r="J61" s="16">
        <f t="array" ref="J61">SUM(F61:H61)</f>
        <v>2.7456828268175446</v>
      </c>
      <c r="K61" s="61">
        <f t="array" ref="K61">PRODUCT(J61,$H$8,$I$8)</f>
        <v>5.4562326030854704</v>
      </c>
      <c r="M61" s="8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2:51" x14ac:dyDescent="0.2">
      <c r="B62" s="83"/>
      <c r="D62" s="3">
        <v>1400</v>
      </c>
      <c r="E62" s="3"/>
      <c r="F62" s="16">
        <v>0.96349966742474158</v>
      </c>
      <c r="G62" s="3">
        <v>0.96349966742474158</v>
      </c>
      <c r="H62" s="3">
        <v>0.851281736095859</v>
      </c>
      <c r="I62" s="3">
        <v>0.61412590190553262</v>
      </c>
      <c r="J62" s="16">
        <f t="array" ref="J62">SUM(F62:H62)</f>
        <v>2.7782810709453423</v>
      </c>
      <c r="K62" s="61">
        <f t="array" ref="K62">PRODUCT(J62,$H$8,$I$8)</f>
        <v>5.5210119726019373</v>
      </c>
      <c r="M62" s="8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2:51" x14ac:dyDescent="0.2">
      <c r="B63" s="83"/>
      <c r="D63" s="3">
        <v>1500</v>
      </c>
      <c r="E63" s="3"/>
      <c r="F63" s="16">
        <v>0.96811337418153154</v>
      </c>
      <c r="G63" s="3">
        <v>0.96811337418153154</v>
      </c>
      <c r="H63" s="3">
        <v>0.86888600431735485</v>
      </c>
      <c r="I63" s="3">
        <v>0.65233884816130383</v>
      </c>
      <c r="J63" s="16">
        <f t="array" ref="J63">SUM(F63:H63)</f>
        <v>2.8051127526804178</v>
      </c>
      <c r="K63" s="61">
        <f t="array" ref="K63">PRODUCT(J63,$H$8,$I$8)</f>
        <v>5.574332004780679</v>
      </c>
      <c r="M63" s="8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2:51" x14ac:dyDescent="0.2">
      <c r="B64" s="83"/>
      <c r="D64" s="3">
        <v>1600</v>
      </c>
      <c r="E64" s="3"/>
      <c r="F64" s="16">
        <v>0.97190907515978442</v>
      </c>
      <c r="G64" s="3">
        <v>0.97190907515978442</v>
      </c>
      <c r="H64" s="3">
        <v>0.88361833499339781</v>
      </c>
      <c r="I64" s="3">
        <v>0.68572507927373161</v>
      </c>
      <c r="J64" s="16">
        <f t="array" ref="J64">SUM(F64:H64)</f>
        <v>2.8274364853129668</v>
      </c>
      <c r="K64" s="61">
        <f t="array" ref="K64">PRODUCT(J64,$H$8,$I$8)</f>
        <v>5.6186938213104698</v>
      </c>
      <c r="M64" s="8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2:51" x14ac:dyDescent="0.2">
      <c r="B65" s="83"/>
      <c r="D65" s="3">
        <v>1700</v>
      </c>
      <c r="E65" s="3"/>
      <c r="F65" s="16">
        <v>0.97506838789582628</v>
      </c>
      <c r="G65" s="3">
        <v>0.97506838789582628</v>
      </c>
      <c r="H65" s="3">
        <v>0.89605493704157679</v>
      </c>
      <c r="I65" s="3">
        <v>0.71494102842033735</v>
      </c>
      <c r="J65" s="16">
        <f t="array" ref="J65">SUM(F65:H65)</f>
        <v>2.8461917128332295</v>
      </c>
      <c r="K65" s="61">
        <f t="array" ref="K65">PRODUCT(J65,$H$8,$I$8)</f>
        <v>5.6559642892883595</v>
      </c>
      <c r="M65" s="8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2:51" x14ac:dyDescent="0.2">
      <c r="B66" s="83"/>
      <c r="D66" s="3">
        <v>1800</v>
      </c>
      <c r="E66" s="3"/>
      <c r="F66" s="16">
        <v>0.9777254105426425</v>
      </c>
      <c r="G66" s="3">
        <v>0.9777254105426425</v>
      </c>
      <c r="H66" s="3">
        <v>0.90663846660113123</v>
      </c>
      <c r="I66" s="3">
        <v>0.74056951006216287</v>
      </c>
      <c r="J66" s="16">
        <f t="array" ref="J66">SUM(F66:H66)</f>
        <v>2.8620892876864161</v>
      </c>
      <c r="K66" s="61">
        <f t="array" ref="K66">PRODUCT(J66,$H$8,$I$8)</f>
        <v>5.6875560177198938</v>
      </c>
      <c r="L66" s="83"/>
      <c r="M66" s="8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2:51" x14ac:dyDescent="0.2">
      <c r="B67" s="83"/>
      <c r="D67" s="3">
        <v>1900</v>
      </c>
      <c r="E67" s="3"/>
      <c r="F67" s="16">
        <v>0.97998083454291696</v>
      </c>
      <c r="G67" s="3">
        <v>0.97998083454291696</v>
      </c>
      <c r="H67" s="3">
        <v>0.91571234720601236</v>
      </c>
      <c r="I67" s="3">
        <v>0.76311664945866331</v>
      </c>
      <c r="J67" s="16">
        <f t="array" ref="J67">SUM(F67:H67)</f>
        <v>2.8756740162918462</v>
      </c>
      <c r="K67" s="61">
        <f t="array" ref="K67">PRODUCT(J67,$H$8,$I$8)</f>
        <v>5.714551648241037</v>
      </c>
      <c r="M67" s="8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2:51" ht="17" thickBot="1" x14ac:dyDescent="0.25">
      <c r="B68" s="83"/>
      <c r="D68" s="3">
        <v>2000</v>
      </c>
      <c r="E68" s="3"/>
      <c r="F68" s="22">
        <v>0.98191141841456819</v>
      </c>
      <c r="G68" s="23">
        <v>0.98191141841456819</v>
      </c>
      <c r="H68" s="23">
        <v>0.92354561464633367</v>
      </c>
      <c r="I68" s="23">
        <v>0.78301644233411638</v>
      </c>
      <c r="J68" s="22">
        <f t="array" ref="J68">SUM(F68:H68)</f>
        <v>2.8873684514754698</v>
      </c>
      <c r="K68" s="62">
        <f t="array" ref="K68">PRODUCT(J68,$H$8,$I$8)</f>
        <v>5.7377908796265187</v>
      </c>
      <c r="M68" s="8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2:51" x14ac:dyDescent="0.2">
      <c r="B69" s="83"/>
      <c r="D69" s="3"/>
      <c r="E69" s="3"/>
      <c r="F69" s="3"/>
      <c r="G69" s="3"/>
      <c r="H69" s="3"/>
      <c r="I69" s="3"/>
      <c r="J69" s="3"/>
      <c r="K69" s="3"/>
      <c r="M69" s="8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2:51" x14ac:dyDescent="0.2">
      <c r="B70" s="83"/>
      <c r="D70" s="3"/>
      <c r="E70" s="3"/>
      <c r="F70" s="3"/>
      <c r="G70" s="3"/>
      <c r="H70" s="3"/>
      <c r="I70" s="3"/>
      <c r="J70" s="3"/>
      <c r="K70" s="3"/>
      <c r="M70" s="8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2:51" ht="17" thickBot="1" x14ac:dyDescent="0.25">
      <c r="B71" s="83"/>
      <c r="D71" s="3"/>
      <c r="E71" s="3"/>
      <c r="F71" s="3"/>
      <c r="G71" s="3"/>
      <c r="H71" s="3"/>
      <c r="I71" s="3"/>
      <c r="J71" s="3"/>
      <c r="K71" s="3"/>
      <c r="M71" s="8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2:51" ht="17" thickBot="1" x14ac:dyDescent="0.25">
      <c r="B72" s="83"/>
      <c r="D72" s="102" t="s">
        <v>0</v>
      </c>
      <c r="E72" s="3"/>
      <c r="F72" s="147" t="s">
        <v>10</v>
      </c>
      <c r="G72" s="148"/>
      <c r="H72" s="148"/>
      <c r="I72" s="82"/>
      <c r="J72" s="5" t="s">
        <v>6</v>
      </c>
      <c r="K72" s="68" t="s">
        <v>11</v>
      </c>
      <c r="M72" s="8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2:51" x14ac:dyDescent="0.2">
      <c r="B73" s="83"/>
      <c r="D73" s="3">
        <v>298.14999999999998</v>
      </c>
      <c r="E73" s="3"/>
      <c r="F73" s="9" cm="1">
        <f t="array" ref="F73:I90">(C14:F14/D29:D46) / (EXP(C14:F14/D29:D46) - 1)-LN(1 - EXP(-C14:F14/D29:D46))</f>
        <v>0.18594628783870212</v>
      </c>
      <c r="G73" s="10">
        <v>0.18594628783870212</v>
      </c>
      <c r="H73" s="10">
        <v>1.0538990923153075E-2</v>
      </c>
      <c r="I73" s="10">
        <v>1.1208535357186698E-4</v>
      </c>
      <c r="J73" s="12">
        <f t="array" ref="J73">SUM(F73:H73)</f>
        <v>0.38243156660055733</v>
      </c>
      <c r="K73" s="66">
        <f t="array" ref="K73">PRODUCT(J73,$H$8,$I$8)</f>
        <v>0.75996963733556322</v>
      </c>
      <c r="M73" s="8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2:51" x14ac:dyDescent="0.2">
      <c r="B74" s="83"/>
      <c r="D74" s="3">
        <v>400</v>
      </c>
      <c r="E74" s="3"/>
      <c r="F74" s="16">
        <v>0.35009509345198048</v>
      </c>
      <c r="G74" s="3">
        <v>0.35009509345198048</v>
      </c>
      <c r="H74" s="3">
        <v>4.4083929959064024E-2</v>
      </c>
      <c r="I74" s="3">
        <v>1.6593207542093106E-3</v>
      </c>
      <c r="J74" s="18">
        <f t="array" ref="J74">SUM(F74:H74)</f>
        <v>0.74427411686302503</v>
      </c>
      <c r="K74" s="66">
        <f t="array" ref="K74">PRODUCT(J74,$H$8,$I$8)</f>
        <v>1.4790246937471698</v>
      </c>
      <c r="M74" s="85"/>
      <c r="O74" t="s">
        <v>56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2:51" x14ac:dyDescent="0.2">
      <c r="B75" s="83"/>
      <c r="D75" s="3">
        <v>500</v>
      </c>
      <c r="E75" s="3"/>
      <c r="F75" s="16">
        <v>0.50657085244882294</v>
      </c>
      <c r="G75" s="3">
        <v>0.50657085244882294</v>
      </c>
      <c r="H75" s="3">
        <v>9.9125269682396502E-2</v>
      </c>
      <c r="I75" s="3">
        <v>7.7187779069348341E-3</v>
      </c>
      <c r="J75" s="18">
        <f t="array" ref="J75">SUM(F75:H75)</f>
        <v>1.1122669745800424</v>
      </c>
      <c r="K75" s="66">
        <f t="array" ref="K75">PRODUCT(J75,$H$8,$I$8)</f>
        <v>2.2103016673171436</v>
      </c>
      <c r="M75" s="8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2:51" x14ac:dyDescent="0.2">
      <c r="B76" s="83"/>
      <c r="D76" s="3">
        <v>600</v>
      </c>
      <c r="E76" s="3"/>
      <c r="F76" s="16">
        <v>0.65012194217005326</v>
      </c>
      <c r="G76" s="3">
        <v>0.65012194217005326</v>
      </c>
      <c r="H76" s="3">
        <v>0.16801697481870181</v>
      </c>
      <c r="I76" s="3">
        <v>2.0994399150125242E-2</v>
      </c>
      <c r="J76" s="18">
        <f t="array" ref="J76">SUM(F76:H76)</f>
        <v>1.4682608591588084</v>
      </c>
      <c r="K76" s="66">
        <f t="array" ref="K76">PRODUCT(J76,$H$8,$I$8)</f>
        <v>2.9177342303816403</v>
      </c>
      <c r="M76" s="8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2:51" x14ac:dyDescent="0.2">
      <c r="B77" s="83"/>
      <c r="D77" s="3">
        <v>700</v>
      </c>
      <c r="E77" s="3"/>
      <c r="F77" s="16">
        <v>0.77994436974027437</v>
      </c>
      <c r="G77" s="3">
        <v>0.77994436974027437</v>
      </c>
      <c r="H77" s="3">
        <v>0.24357554578586021</v>
      </c>
      <c r="I77" s="3">
        <v>4.2257320306507591E-2</v>
      </c>
      <c r="J77" s="18">
        <f t="array" ref="J77">SUM(F77:H77)</f>
        <v>1.8034642852664089</v>
      </c>
      <c r="K77" s="66">
        <f t="array" ref="K77">PRODUCT(J77,$H$8,$I$8)</f>
        <v>3.583851905857701</v>
      </c>
      <c r="M77" s="8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2:51" x14ac:dyDescent="0.2">
      <c r="B78" s="83"/>
      <c r="D78" s="3">
        <v>800</v>
      </c>
      <c r="E78" s="3"/>
      <c r="F78" s="16">
        <v>0.89728202408371738</v>
      </c>
      <c r="G78" s="3">
        <v>0.89728202408371738</v>
      </c>
      <c r="H78" s="3">
        <v>0.32111053767638342</v>
      </c>
      <c r="I78" s="3">
        <v>7.0721613855919963E-2</v>
      </c>
      <c r="J78" s="18">
        <f t="array" ref="J78">SUM(F78:H78)</f>
        <v>2.1156745858438182</v>
      </c>
      <c r="K78" s="66">
        <f t="array" ref="K78">PRODUCT(J78,$H$8,$I$8)</f>
        <v>4.2042775443878622</v>
      </c>
      <c r="M78" s="8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2:51" x14ac:dyDescent="0.2">
      <c r="B79" s="83"/>
      <c r="D79" s="3">
        <v>900</v>
      </c>
      <c r="E79" s="3"/>
      <c r="F79" s="16">
        <v>1.003772629523793</v>
      </c>
      <c r="G79" s="3">
        <v>1.003772629523793</v>
      </c>
      <c r="H79" s="3">
        <v>0.39791669688390674</v>
      </c>
      <c r="I79" s="3">
        <v>0.10491022163508809</v>
      </c>
      <c r="J79" s="18">
        <f t="array" ref="J79">SUM(F79:H79)</f>
        <v>2.4054619559314929</v>
      </c>
      <c r="K79" s="66">
        <f t="array" ref="K79">PRODUCT(J79,$H$8,$I$8)</f>
        <v>4.7801442399841036</v>
      </c>
      <c r="M79" s="8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2:51" x14ac:dyDescent="0.2">
      <c r="B80" s="83"/>
      <c r="D80" s="3">
        <v>1000</v>
      </c>
      <c r="E80" s="3"/>
      <c r="F80" s="16">
        <v>1.1009586472350308</v>
      </c>
      <c r="G80" s="3">
        <v>1.1009586472350308</v>
      </c>
      <c r="H80" s="3">
        <v>0.47255173997879163</v>
      </c>
      <c r="I80" s="3">
        <v>0.14325792762370554</v>
      </c>
      <c r="J80" s="18">
        <f t="array" ref="J80">SUM(F80:H80)</f>
        <v>2.6744690344488533</v>
      </c>
      <c r="K80" s="66">
        <f t="array" ref="K80">PRODUCT(J80,$H$8,$I$8)</f>
        <v>5.3147162517005651</v>
      </c>
      <c r="M80" s="8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2:51" x14ac:dyDescent="0.2">
      <c r="B81" s="83"/>
      <c r="D81" s="3">
        <v>1100</v>
      </c>
      <c r="E81" s="3"/>
      <c r="F81" s="16">
        <v>1.1901676284740388</v>
      </c>
      <c r="G81" s="3">
        <v>1.1901676284740388</v>
      </c>
      <c r="H81" s="3">
        <v>0.54431632850346356</v>
      </c>
      <c r="I81" s="3">
        <v>0.18439141692960945</v>
      </c>
      <c r="J81" s="18">
        <f t="array" ref="J81">SUM(F81:H81)</f>
        <v>2.9246515854515414</v>
      </c>
      <c r="K81" s="66">
        <f t="array" ref="K81">PRODUCT(J81,$H$8,$I$8)</f>
        <v>5.8118800821952048</v>
      </c>
      <c r="M81" s="8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2:51" x14ac:dyDescent="0.2">
      <c r="B82" s="83"/>
      <c r="D82" s="3">
        <v>1200</v>
      </c>
      <c r="E82" s="3"/>
      <c r="F82" s="16">
        <v>1.2725079937241979</v>
      </c>
      <c r="G82" s="3">
        <v>1.2725079937241979</v>
      </c>
      <c r="H82" s="3">
        <v>0.61293304007317861</v>
      </c>
      <c r="I82" s="3">
        <v>0.22721120439895523</v>
      </c>
      <c r="J82" s="18">
        <f t="array" ref="J82">SUM(F82:H82)</f>
        <v>3.1579490275215742</v>
      </c>
      <c r="K82" s="66">
        <f t="array" ref="K82">PRODUCT(J82,$H$8,$I$8)</f>
        <v>6.275489752331203</v>
      </c>
      <c r="M82" s="8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2:51" x14ac:dyDescent="0.2">
      <c r="B83" s="83"/>
      <c r="D83" s="3">
        <v>1300</v>
      </c>
      <c r="E83" s="3"/>
      <c r="F83" s="16">
        <v>1.3488971208618816</v>
      </c>
      <c r="G83" s="3">
        <v>1.3488971208618816</v>
      </c>
      <c r="H83" s="3">
        <v>0.67835821252023454</v>
      </c>
      <c r="I83" s="3">
        <v>0.27088165436999961</v>
      </c>
      <c r="J83" s="18">
        <f t="array" ref="J83">SUM(F83:H83)</f>
        <v>3.3761524542439978</v>
      </c>
      <c r="K83" s="66">
        <f t="array" ref="K83">PRODUCT(J83,$H$8,$I$8)</f>
        <v>6.7091045309062718</v>
      </c>
      <c r="M83" s="8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2:51" x14ac:dyDescent="0.2">
      <c r="B84" s="83"/>
      <c r="D84" s="3">
        <v>1400</v>
      </c>
      <c r="E84" s="3"/>
      <c r="F84" s="16">
        <v>1.42009452406398</v>
      </c>
      <c r="G84" s="3">
        <v>1.42009452406398</v>
      </c>
      <c r="H84" s="3">
        <v>0.74067366473131013</v>
      </c>
      <c r="I84" s="3">
        <v>0.31478856855936654</v>
      </c>
      <c r="J84" s="18">
        <f t="array" ref="J84">SUM(F84:H84)</f>
        <v>3.58086271285927</v>
      </c>
      <c r="K84" s="66">
        <f t="array" ref="K84">PRODUCT(J84,$H$8,$I$8)</f>
        <v>7.1159056283721922</v>
      </c>
      <c r="M84" s="8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2:51" x14ac:dyDescent="0.2">
      <c r="B85" s="83"/>
      <c r="D85" s="3">
        <v>1500</v>
      </c>
      <c r="E85" s="3"/>
      <c r="F85" s="16">
        <v>1.4867317964786333</v>
      </c>
      <c r="G85" s="3">
        <v>1.4867317964786333</v>
      </c>
      <c r="H85" s="3">
        <v>0.80002480822129296</v>
      </c>
      <c r="I85" s="3">
        <v>0.35849168633777079</v>
      </c>
      <c r="J85" s="18">
        <f t="array" ref="J85">SUM(F85:H85)</f>
        <v>3.7734884011785597</v>
      </c>
      <c r="K85" s="66">
        <f t="array" ref="K85">PRODUCT(J85,$H$8,$I$8)</f>
        <v>7.4986922162963658</v>
      </c>
      <c r="M85" s="8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2:51" x14ac:dyDescent="0.2">
      <c r="B86" s="83"/>
      <c r="D86" s="3">
        <v>1600</v>
      </c>
      <c r="E86" s="3"/>
      <c r="F86" s="16">
        <v>1.5493374249405685</v>
      </c>
      <c r="G86" s="3">
        <v>1.5493374249405685</v>
      </c>
      <c r="H86" s="3">
        <v>0.85658545994393998</v>
      </c>
      <c r="I86" s="3">
        <v>0.40168255898272703</v>
      </c>
      <c r="J86" s="18">
        <f t="array" ref="J86">SUM(F86:H86)</f>
        <v>3.9552603098250767</v>
      </c>
      <c r="K86" s="66">
        <f t="array" ref="K86">PRODUCT(J86,$H$8,$I$8)</f>
        <v>7.8599101270452776</v>
      </c>
      <c r="M86" s="8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2:51" x14ac:dyDescent="0.2">
      <c r="B87" s="83"/>
      <c r="D87" s="3">
        <v>1700</v>
      </c>
      <c r="E87" s="3"/>
      <c r="F87" s="16">
        <v>1.6083566838370611</v>
      </c>
      <c r="G87" s="3">
        <v>1.6083566838370611</v>
      </c>
      <c r="H87" s="3">
        <v>0.91053803591949878</v>
      </c>
      <c r="I87" s="3">
        <v>0.44415056303790573</v>
      </c>
      <c r="J87" s="18">
        <f t="array" ref="J87">SUM(F87:H87)</f>
        <v>4.127251403593621</v>
      </c>
      <c r="K87" s="66">
        <f t="array" ref="K87">PRODUCT(J87,$H$8,$I$8)</f>
        <v>8.2016915608272569</v>
      </c>
      <c r="M87" s="8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spans="2:51" x14ac:dyDescent="0.2">
      <c r="B88" s="83"/>
      <c r="D88" s="3">
        <v>1800</v>
      </c>
      <c r="E88" s="3"/>
      <c r="F88" s="16">
        <v>1.6641673870636113</v>
      </c>
      <c r="G88" s="3">
        <v>1.6641673870636113</v>
      </c>
      <c r="H88" s="3">
        <v>0.96206263739458309</v>
      </c>
      <c r="I88" s="3">
        <v>0.48575673991266327</v>
      </c>
      <c r="J88" s="18">
        <f t="array" ref="J88">SUM(F88:H88)</f>
        <v>4.2903974115218055</v>
      </c>
      <c r="K88" s="66">
        <f t="array" ref="K88">PRODUCT(J88,$H$8,$I$8)</f>
        <v>8.5258960023696808</v>
      </c>
      <c r="M88" s="8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spans="2:51" x14ac:dyDescent="0.2">
      <c r="B89" s="83"/>
      <c r="D89" s="3">
        <v>1900</v>
      </c>
      <c r="E89" s="3"/>
      <c r="F89" s="16">
        <v>1.7170923260139754</v>
      </c>
      <c r="G89" s="3">
        <v>1.7170923260139754</v>
      </c>
      <c r="H89" s="3">
        <v>1.0113312926668356</v>
      </c>
      <c r="I89" s="3">
        <v>0.52641416314750389</v>
      </c>
      <c r="J89" s="18">
        <f t="array" ref="J89">SUM(F89:H89)</f>
        <v>4.4455159446947867</v>
      </c>
      <c r="K89" s="66">
        <f t="array" ref="K89">PRODUCT(J89,$H$8,$I$8)</f>
        <v>8.8341482119019137</v>
      </c>
      <c r="M89" s="8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pans="2:51" ht="17" thickBot="1" x14ac:dyDescent="0.25">
      <c r="B90" s="83"/>
      <c r="D90" s="3">
        <v>2000</v>
      </c>
      <c r="E90" s="3"/>
      <c r="F90" s="22">
        <v>1.7674091113992929</v>
      </c>
      <c r="G90" s="23">
        <v>1.7674091113992929</v>
      </c>
      <c r="H90" s="23">
        <v>1.0585051856820058</v>
      </c>
      <c r="I90" s="23">
        <v>0.56607340958362284</v>
      </c>
      <c r="J90" s="25">
        <f t="array" ref="J90">SUM(F90:H90)</f>
        <v>4.5933234084805914</v>
      </c>
      <c r="K90" s="67">
        <f t="array" ref="K90">PRODUCT(J90,$H$8,$I$8)</f>
        <v>9.1278718332213664</v>
      </c>
      <c r="M90" s="8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pans="2:51" x14ac:dyDescent="0.2">
      <c r="B91" s="83"/>
      <c r="D91" s="3"/>
      <c r="E91" s="3"/>
      <c r="F91" s="3"/>
      <c r="G91" s="3"/>
      <c r="H91" s="3"/>
      <c r="I91" s="3"/>
      <c r="M91" s="8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pans="2:51" ht="17" thickBot="1" x14ac:dyDescent="0.25">
      <c r="B92" s="41"/>
      <c r="C92" s="42"/>
      <c r="D92" s="23"/>
      <c r="E92" s="23"/>
      <c r="F92" s="23"/>
      <c r="G92" s="23"/>
      <c r="H92" s="23"/>
      <c r="I92" s="23"/>
      <c r="J92" s="23"/>
      <c r="K92" s="23"/>
      <c r="L92" s="42"/>
      <c r="M92" s="4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pans="2:51" x14ac:dyDescent="0.2">
      <c r="D93" s="3"/>
      <c r="E93" s="3"/>
      <c r="F93" s="14"/>
      <c r="G93" s="14"/>
      <c r="H93" s="14"/>
      <c r="I93" s="14"/>
      <c r="J93" s="14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pans="2:51" ht="17" thickBot="1" x14ac:dyDescent="0.25">
      <c r="D94" s="3"/>
      <c r="E94" s="3"/>
      <c r="F94" s="14"/>
      <c r="G94" s="14"/>
      <c r="H94" s="14"/>
      <c r="I94" s="14"/>
      <c r="J94" s="14"/>
      <c r="AE94" s="14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pans="2:51" x14ac:dyDescent="0.2">
      <c r="B95" s="40"/>
      <c r="C95" s="10"/>
      <c r="D95" s="10"/>
      <c r="E95" s="7"/>
      <c r="F95" s="7"/>
      <c r="G95" s="7"/>
      <c r="H95" s="7"/>
      <c r="I95" s="7"/>
      <c r="J95" s="7"/>
      <c r="K95" s="7"/>
      <c r="L95" s="7"/>
      <c r="M95" s="8"/>
      <c r="N95" s="3"/>
      <c r="O95" s="3"/>
      <c r="P95" s="3"/>
      <c r="Q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pans="2:51" ht="17" thickBot="1" x14ac:dyDescent="0.25">
      <c r="B96" s="83"/>
      <c r="C96" s="3"/>
      <c r="D96" s="3"/>
      <c r="E96" s="14"/>
      <c r="F96" s="14"/>
      <c r="G96" s="14"/>
      <c r="H96" s="14"/>
      <c r="I96" s="14"/>
      <c r="J96" s="14"/>
      <c r="K96" s="14"/>
      <c r="L96" s="14"/>
      <c r="M96" s="15"/>
      <c r="N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pans="2:51" ht="17" thickBot="1" x14ac:dyDescent="0.25">
      <c r="B97" s="83"/>
      <c r="C97" s="3"/>
      <c r="D97" s="3"/>
      <c r="E97" s="130" t="s">
        <v>49</v>
      </c>
      <c r="F97" s="131"/>
      <c r="G97" s="131"/>
      <c r="H97" s="131"/>
      <c r="I97" s="131"/>
      <c r="J97" s="131"/>
      <c r="K97" s="131"/>
      <c r="L97" s="132"/>
      <c r="M97" s="17"/>
      <c r="N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pans="2:51" x14ac:dyDescent="0.2">
      <c r="B98" s="83"/>
      <c r="C98" s="3"/>
      <c r="D98" s="3"/>
      <c r="E98" s="54" t="s">
        <v>48</v>
      </c>
      <c r="F98" s="3"/>
      <c r="G98" s="3"/>
      <c r="H98" s="3"/>
      <c r="I98" s="3"/>
      <c r="J98" s="3"/>
      <c r="K98" s="3"/>
      <c r="L98" s="3"/>
      <c r="M98" s="17"/>
      <c r="N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pans="2:51" ht="17" thickBot="1" x14ac:dyDescent="0.25">
      <c r="B99" s="83"/>
      <c r="C99" s="3"/>
      <c r="D99" s="3"/>
      <c r="E99" s="3"/>
      <c r="F99" s="3"/>
      <c r="G99" s="3"/>
      <c r="H99" s="3"/>
      <c r="I99" s="3"/>
      <c r="J99" s="3"/>
      <c r="K99" s="3"/>
      <c r="L99" s="3"/>
      <c r="M99" s="17"/>
      <c r="N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pans="2:51" ht="17" thickBot="1" x14ac:dyDescent="0.25">
      <c r="B100" s="83"/>
      <c r="C100" s="102" t="s">
        <v>0</v>
      </c>
      <c r="D100" s="3"/>
      <c r="E100" s="34" t="s">
        <v>13</v>
      </c>
      <c r="F100" s="59" t="s">
        <v>12</v>
      </c>
      <c r="G100" s="3"/>
      <c r="H100" s="60" t="s">
        <v>7</v>
      </c>
      <c r="I100" s="3"/>
      <c r="J100" s="34" t="s">
        <v>14</v>
      </c>
      <c r="K100" s="34" t="s">
        <v>15</v>
      </c>
      <c r="L100" s="68" t="s">
        <v>51</v>
      </c>
      <c r="M100" s="17"/>
      <c r="N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pans="2:51" x14ac:dyDescent="0.2">
      <c r="B101" s="83"/>
      <c r="C101" s="3">
        <v>298.14999999999998</v>
      </c>
      <c r="D101" s="3"/>
      <c r="E101" s="98">
        <f t="shared" ref="E101:E118" si="1">$C$8*C101/101325</f>
        <v>4.0625758633111278E-26</v>
      </c>
      <c r="F101" s="57" cm="1">
        <f t="array" ref="F101:F118">E101:E118*(2*PI()*$L$8*$C$8*C101:C118/($D$8)^2)^(3/2)</f>
        <v>11467860.843699411</v>
      </c>
      <c r="G101" s="3"/>
      <c r="H101" s="74">
        <f t="shared" ref="H101:H118" si="2">$H$8*$I$8*3/2</f>
        <v>2.9808063861893652</v>
      </c>
      <c r="I101" s="3"/>
      <c r="J101" s="98" cm="1">
        <f t="array" ref="J101:J118" xml:space="preserve"> (2 * PI() * $L$8 * $C$8 * C101:C118/ (($D$8)^2))^(3/2)</f>
        <v>2.82280534063744E+32</v>
      </c>
      <c r="K101" s="98" cm="1">
        <f t="array" ref="K101:K118">$H$8*C101:C118/101325</f>
        <v>2.4465403696587219E-2</v>
      </c>
      <c r="L101" s="95" cm="1">
        <f t="array" ref="L101:L118">LN(J101:J118 * K101:K118*EXP(5/2) / $E$8)*$H$8*$I$8</f>
        <v>37.270133037230053</v>
      </c>
      <c r="M101" s="17"/>
      <c r="N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pans="2:51" x14ac:dyDescent="0.2">
      <c r="B102" s="83"/>
      <c r="C102" s="3">
        <v>400</v>
      </c>
      <c r="D102" s="3"/>
      <c r="E102" s="98">
        <f t="shared" si="1"/>
        <v>5.4503784850727862E-26</v>
      </c>
      <c r="F102" s="57">
        <v>23908116.229496438</v>
      </c>
      <c r="G102" s="3"/>
      <c r="H102" s="61">
        <f t="shared" si="2"/>
        <v>2.9808063861893652</v>
      </c>
      <c r="I102" s="3"/>
      <c r="J102" s="98">
        <v>4.3865056885452537E+32</v>
      </c>
      <c r="K102" s="98">
        <v>3.2822946431778931E-2</v>
      </c>
      <c r="L102" s="95">
        <v>38.730071552141176</v>
      </c>
      <c r="M102" s="17"/>
      <c r="AD102" s="54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2:51" x14ac:dyDescent="0.2">
      <c r="B103" s="83"/>
      <c r="C103" s="3">
        <v>500</v>
      </c>
      <c r="D103" s="3"/>
      <c r="E103" s="98">
        <f t="shared" si="1"/>
        <v>6.8129731063409828E-26</v>
      </c>
      <c r="F103" s="57">
        <v>41765760.236812145</v>
      </c>
      <c r="G103" s="3"/>
      <c r="H103" s="61">
        <f t="shared" si="2"/>
        <v>2.9808063861893652</v>
      </c>
      <c r="I103" s="3"/>
      <c r="J103" s="98">
        <v>6.1303280645478897E+32</v>
      </c>
      <c r="K103" s="98">
        <v>4.1028683039723658E-2</v>
      </c>
      <c r="L103" s="95">
        <v>39.838651090131769</v>
      </c>
      <c r="M103" s="17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2:51" x14ac:dyDescent="0.2">
      <c r="B104" s="83"/>
      <c r="C104" s="3">
        <v>600</v>
      </c>
      <c r="D104" s="3"/>
      <c r="E104" s="98">
        <f t="shared" si="1"/>
        <v>8.1755677276091782E-26</v>
      </c>
      <c r="F104" s="57">
        <v>65883021.157597505</v>
      </c>
      <c r="G104" s="3"/>
      <c r="H104" s="61">
        <f t="shared" si="2"/>
        <v>2.9808063861893652</v>
      </c>
      <c r="I104" s="3"/>
      <c r="J104" s="98">
        <v>8.0585255180638085E+32</v>
      </c>
      <c r="K104" s="98">
        <v>4.92344196476684E-2</v>
      </c>
      <c r="L104" s="95">
        <v>40.744426524850823</v>
      </c>
      <c r="M104" s="17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2:51" x14ac:dyDescent="0.2">
      <c r="B105" s="83"/>
      <c r="C105" s="3">
        <v>700</v>
      </c>
      <c r="D105" s="3"/>
      <c r="E105" s="98">
        <f t="shared" si="1"/>
        <v>9.5381623488773759E-26</v>
      </c>
      <c r="F105" s="57">
        <v>96859111.34701395</v>
      </c>
      <c r="G105" s="3"/>
      <c r="H105" s="61">
        <f t="shared" si="2"/>
        <v>2.9808063861893652</v>
      </c>
      <c r="I105" s="3"/>
      <c r="J105" s="98">
        <v>1.0154902779403214E+33</v>
      </c>
      <c r="K105" s="98">
        <v>5.7440156255613127E-2</v>
      </c>
      <c r="L105" s="95">
        <v>41.510248742958332</v>
      </c>
      <c r="M105" s="17"/>
      <c r="AE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Y105" s="3"/>
    </row>
    <row r="106" spans="2:51" x14ac:dyDescent="0.2">
      <c r="B106" s="83"/>
      <c r="C106" s="3">
        <v>800</v>
      </c>
      <c r="D106" s="3"/>
      <c r="E106" s="98">
        <f t="shared" si="1"/>
        <v>1.0900756970145572E-25</v>
      </c>
      <c r="F106" s="57">
        <v>135244728.89018503</v>
      </c>
      <c r="G106" s="3"/>
      <c r="H106" s="61">
        <f t="shared" si="2"/>
        <v>2.9808063861893652</v>
      </c>
      <c r="I106" s="3"/>
      <c r="J106" s="98">
        <v>1.2406911672334892E+33</v>
      </c>
      <c r="K106" s="98">
        <v>6.5645892863557861E-2</v>
      </c>
      <c r="L106" s="95">
        <v>42.173634122778246</v>
      </c>
      <c r="M106" s="17"/>
      <c r="AE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2:51" x14ac:dyDescent="0.2">
      <c r="B107" s="83"/>
      <c r="C107" s="3">
        <v>900</v>
      </c>
      <c r="D107" s="3"/>
      <c r="E107" s="98">
        <f t="shared" si="1"/>
        <v>1.2263351591413768E-25</v>
      </c>
      <c r="F107" s="57">
        <v>181552257.61773884</v>
      </c>
      <c r="G107" s="3"/>
      <c r="H107" s="61">
        <f t="shared" si="2"/>
        <v>2.9808063861893652</v>
      </c>
      <c r="I107" s="3"/>
      <c r="J107" s="98">
        <v>1.4804456698840253E+33</v>
      </c>
      <c r="K107" s="98">
        <v>7.3851629471502603E-2</v>
      </c>
      <c r="L107" s="95">
        <v>42.758781497560442</v>
      </c>
      <c r="M107" s="17"/>
      <c r="AE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2:51" x14ac:dyDescent="0.2">
      <c r="B108" s="83"/>
      <c r="C108" s="3">
        <v>1000</v>
      </c>
      <c r="D108" s="3"/>
      <c r="E108" s="98">
        <f t="shared" si="1"/>
        <v>1.3625946212681966E-25</v>
      </c>
      <c r="F108" s="57">
        <v>236262818.2788913</v>
      </c>
      <c r="G108" s="3"/>
      <c r="H108" s="61">
        <f t="shared" si="2"/>
        <v>2.9808063861893652</v>
      </c>
      <c r="I108" s="3"/>
      <c r="J108" s="98">
        <v>1.7339186181360113E+33</v>
      </c>
      <c r="K108" s="98">
        <v>8.2057366079447316E-2</v>
      </c>
      <c r="L108" s="95">
        <v>43.282213660768846</v>
      </c>
      <c r="M108" s="17"/>
      <c r="AE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2:51" x14ac:dyDescent="0.2">
      <c r="B109" s="83"/>
      <c r="C109" s="3">
        <v>1100</v>
      </c>
      <c r="D109" s="3"/>
      <c r="E109" s="98">
        <f t="shared" si="1"/>
        <v>1.4988540833950161E-25</v>
      </c>
      <c r="F109" s="57">
        <v>299831386.50846851</v>
      </c>
      <c r="G109" s="3"/>
      <c r="H109" s="61">
        <f t="shared" si="2"/>
        <v>2.9808063861893652</v>
      </c>
      <c r="I109" s="3"/>
      <c r="J109" s="98">
        <v>2.000404107578825E+33</v>
      </c>
      <c r="K109" s="98">
        <v>9.0263102687392072E-2</v>
      </c>
      <c r="L109" s="95">
        <v>43.755715648484838</v>
      </c>
      <c r="M109" s="17"/>
      <c r="AE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2:51" x14ac:dyDescent="0.2">
      <c r="B110" s="83"/>
      <c r="C110" s="3">
        <v>1200</v>
      </c>
      <c r="D110" s="3"/>
      <c r="E110" s="98">
        <f t="shared" si="1"/>
        <v>1.6351135455218356E-25</v>
      </c>
      <c r="F110" s="57">
        <v>372690648.20474762</v>
      </c>
      <c r="G110" s="3"/>
      <c r="H110" s="61">
        <f t="shared" si="2"/>
        <v>2.9808063861893652</v>
      </c>
      <c r="I110" s="3"/>
      <c r="J110" s="98">
        <v>2.279295216075076E+33</v>
      </c>
      <c r="K110" s="98">
        <v>9.8468839295336799E-2</v>
      </c>
      <c r="L110" s="95">
        <v>44.187989095487865</v>
      </c>
      <c r="M110" s="17"/>
      <c r="AE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2:51" x14ac:dyDescent="0.2">
      <c r="B111" s="83"/>
      <c r="C111" s="3">
        <v>1300</v>
      </c>
      <c r="D111" s="3"/>
      <c r="E111" s="98">
        <f t="shared" si="1"/>
        <v>1.7713730076486554E-25</v>
      </c>
      <c r="F111" s="57">
        <v>455253990.15997922</v>
      </c>
      <c r="G111" s="3"/>
      <c r="H111" s="61">
        <f t="shared" si="2"/>
        <v>2.9808063861893652</v>
      </c>
      <c r="I111" s="3"/>
      <c r="J111" s="98">
        <v>2.5700628167767418E+33</v>
      </c>
      <c r="K111" s="98">
        <v>0.10667457590328153</v>
      </c>
      <c r="L111" s="95">
        <v>44.585642119156496</v>
      </c>
      <c r="M111" s="17"/>
      <c r="AE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spans="2:51" x14ac:dyDescent="0.2">
      <c r="B112" s="83"/>
      <c r="C112" s="3">
        <v>1400</v>
      </c>
      <c r="D112" s="3"/>
      <c r="E112" s="98">
        <f t="shared" si="1"/>
        <v>1.9076324697754752E-25</v>
      </c>
      <c r="F112" s="57">
        <v>547917875.62541306</v>
      </c>
      <c r="G112" s="3"/>
      <c r="H112" s="61">
        <f t="shared" si="2"/>
        <v>2.9808063861893652</v>
      </c>
      <c r="I112" s="3"/>
      <c r="J112" s="98">
        <v>2.872240247042461E+33</v>
      </c>
      <c r="K112" s="98">
        <v>0.11488031251122625</v>
      </c>
      <c r="L112" s="95">
        <v>44.953811313595395</v>
      </c>
      <c r="M112" s="17"/>
      <c r="AE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2:51" x14ac:dyDescent="0.2">
      <c r="B113" s="83"/>
      <c r="C113" s="3">
        <v>1500</v>
      </c>
      <c r="D113" s="3"/>
      <c r="E113" s="98">
        <f t="shared" si="1"/>
        <v>2.0438919319022949E-25</v>
      </c>
      <c r="F113" s="57">
        <v>651063768.72209418</v>
      </c>
      <c r="G113" s="3"/>
      <c r="H113" s="61">
        <f t="shared" si="2"/>
        <v>2.9808063861893652</v>
      </c>
      <c r="I113" s="3"/>
      <c r="J113" s="98">
        <v>3.1854119024587317E+33</v>
      </c>
      <c r="K113" s="98">
        <v>0.12308604911917098</v>
      </c>
      <c r="L113" s="95">
        <v>45.296568633478486</v>
      </c>
      <c r="M113" s="17"/>
      <c r="AE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spans="2:51" x14ac:dyDescent="0.2">
      <c r="B114" s="83"/>
      <c r="C114" s="3">
        <v>1600</v>
      </c>
      <c r="D114" s="3"/>
      <c r="E114" s="98">
        <f t="shared" si="1"/>
        <v>2.1801513940291145E-25</v>
      </c>
      <c r="F114" s="57">
        <v>765059719.34389031</v>
      </c>
      <c r="G114" s="3"/>
      <c r="H114" s="61">
        <f t="shared" si="2"/>
        <v>2.9808063861893652</v>
      </c>
      <c r="I114" s="3"/>
      <c r="J114" s="98">
        <v>3.5092045508362225E+33</v>
      </c>
      <c r="K114" s="98">
        <v>0.13129178572711572</v>
      </c>
      <c r="L114" s="95">
        <v>45.617196693415309</v>
      </c>
      <c r="M114" s="17"/>
      <c r="AE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spans="2:51" x14ac:dyDescent="0.2">
      <c r="B115" s="83"/>
      <c r="C115" s="3">
        <v>1700</v>
      </c>
      <c r="D115" s="3"/>
      <c r="E115" s="98">
        <f t="shared" si="1"/>
        <v>2.316410856155934E-25</v>
      </c>
      <c r="F115" s="57">
        <v>890261686.98018503</v>
      </c>
      <c r="G115" s="3"/>
      <c r="H115" s="61">
        <f t="shared" si="2"/>
        <v>2.9808063861893652</v>
      </c>
      <c r="I115" s="3"/>
      <c r="J115" s="98">
        <v>3.8432805847645154E+33</v>
      </c>
      <c r="K115" s="98">
        <v>0.13949752233506044</v>
      </c>
      <c r="L115" s="95">
        <v>45.91838045986654</v>
      </c>
      <c r="M115" s="17"/>
      <c r="AE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spans="2:51" x14ac:dyDescent="0.2">
      <c r="B116" s="83"/>
      <c r="C116" s="3">
        <v>1800</v>
      </c>
      <c r="D116" s="3"/>
      <c r="E116" s="98">
        <f t="shared" si="1"/>
        <v>2.4526703182827536E-25</v>
      </c>
      <c r="F116" s="57">
        <v>1027014660.0098442</v>
      </c>
      <c r="G116" s="3"/>
      <c r="H116" s="61">
        <f t="shared" si="2"/>
        <v>2.9808063861893652</v>
      </c>
      <c r="I116" s="3"/>
      <c r="J116" s="98">
        <v>4.1873326894130327E+33</v>
      </c>
      <c r="K116" s="98">
        <v>0.14770325894300521</v>
      </c>
      <c r="L116" s="95">
        <v>46.202344068197505</v>
      </c>
      <c r="M116" s="17"/>
      <c r="AE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spans="2:51" x14ac:dyDescent="0.2">
      <c r="B117" s="83"/>
      <c r="C117" s="3">
        <v>1900</v>
      </c>
      <c r="D117" s="3"/>
      <c r="E117" s="98">
        <f t="shared" si="1"/>
        <v>2.5889297804095731E-25</v>
      </c>
      <c r="F117" s="57">
        <v>1175653612.1719506</v>
      </c>
      <c r="G117" s="3"/>
      <c r="H117" s="61">
        <f t="shared" si="2"/>
        <v>2.9808063861893652</v>
      </c>
      <c r="I117" s="3"/>
      <c r="J117" s="98">
        <v>4.5410795652632961E+33</v>
      </c>
      <c r="K117" s="98">
        <v>0.15590899555094992</v>
      </c>
      <c r="L117" s="95">
        <v>46.470950598940739</v>
      </c>
      <c r="M117" s="17"/>
      <c r="AE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spans="2:51" ht="17" thickBot="1" x14ac:dyDescent="0.25">
      <c r="B118" s="83"/>
      <c r="C118" s="3">
        <v>2000</v>
      </c>
      <c r="D118" s="3"/>
      <c r="E118" s="101">
        <f t="shared" si="1"/>
        <v>2.7251892425363931E-25</v>
      </c>
      <c r="F118" s="58">
        <v>1336504327.577996</v>
      </c>
      <c r="G118" s="3"/>
      <c r="H118" s="62">
        <f t="shared" si="2"/>
        <v>2.9808063861893652</v>
      </c>
      <c r="I118" s="3"/>
      <c r="J118" s="101">
        <v>4.9042624516383394E+33</v>
      </c>
      <c r="K118" s="101">
        <v>0.16411473215889463</v>
      </c>
      <c r="L118" s="96">
        <v>46.725776231405909</v>
      </c>
      <c r="M118" s="17"/>
      <c r="AE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spans="2:51" x14ac:dyDescent="0.2">
      <c r="B119" s="8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17"/>
      <c r="AE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spans="2:51" ht="17" thickBot="1" x14ac:dyDescent="0.25">
      <c r="B120" s="41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3"/>
      <c r="AE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spans="2:51" x14ac:dyDescent="0.2">
      <c r="AE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spans="2:51" ht="17" thickBot="1" x14ac:dyDescent="0.25">
      <c r="AE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spans="2:51" x14ac:dyDescent="0.2">
      <c r="B123" s="6"/>
      <c r="C123" s="7"/>
      <c r="D123" s="7"/>
      <c r="E123" s="7"/>
      <c r="F123" s="7"/>
      <c r="G123" s="7"/>
      <c r="H123" s="7"/>
      <c r="I123" s="7"/>
      <c r="J123" s="10"/>
      <c r="K123" s="10"/>
      <c r="L123" s="10"/>
      <c r="M123" s="110"/>
      <c r="AE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spans="2:51" ht="17" thickBot="1" x14ac:dyDescent="0.25">
      <c r="B124" s="13"/>
      <c r="C124" s="14"/>
      <c r="D124" s="14"/>
      <c r="E124" s="14"/>
      <c r="F124" s="14"/>
      <c r="G124" s="14"/>
      <c r="H124" s="14"/>
      <c r="I124" s="14"/>
      <c r="J124" s="3"/>
      <c r="K124" s="3"/>
      <c r="L124" s="3"/>
      <c r="M124" s="85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spans="2:51" ht="17" thickBot="1" x14ac:dyDescent="0.25">
      <c r="B125" s="83"/>
      <c r="C125" s="3"/>
      <c r="D125" s="3"/>
      <c r="E125" s="133" t="s">
        <v>52</v>
      </c>
      <c r="F125" s="134"/>
      <c r="G125" s="134"/>
      <c r="H125" s="134"/>
      <c r="I125" s="134"/>
      <c r="J125" s="134"/>
      <c r="K125" s="134"/>
      <c r="L125" s="135"/>
      <c r="M125" s="85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spans="2:51" x14ac:dyDescent="0.2">
      <c r="B126" s="83"/>
      <c r="C126" s="3"/>
      <c r="D126" s="3"/>
      <c r="E126" s="3"/>
      <c r="F126" s="3"/>
      <c r="G126" s="3"/>
      <c r="H126" s="3"/>
      <c r="I126" s="3"/>
      <c r="J126" s="3"/>
      <c r="K126" s="3"/>
      <c r="M126" s="85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spans="2:51" ht="17" thickBot="1" x14ac:dyDescent="0.25">
      <c r="B127" s="83"/>
      <c r="C127" s="3"/>
      <c r="D127" s="3"/>
      <c r="E127" s="3"/>
      <c r="M127" s="85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spans="2:51" ht="17" thickBot="1" x14ac:dyDescent="0.25">
      <c r="B128" s="83"/>
      <c r="C128" s="102" t="s">
        <v>0</v>
      </c>
      <c r="D128" s="103"/>
      <c r="F128" s="59" t="s">
        <v>20</v>
      </c>
      <c r="G128" s="3"/>
      <c r="H128" s="116" t="s">
        <v>7</v>
      </c>
      <c r="I128" s="3"/>
      <c r="J128" s="3"/>
      <c r="K128" s="3"/>
      <c r="L128" s="68" t="s">
        <v>50</v>
      </c>
      <c r="M128" s="85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spans="2:51" x14ac:dyDescent="0.2">
      <c r="B129" s="83"/>
      <c r="C129" s="3">
        <v>298.14999999999998</v>
      </c>
      <c r="D129" s="3"/>
      <c r="F129" s="91" cm="1">
        <f t="array" ref="F129:F146">8 * (PI())^2*$C$8 * C129:C146*$K$17/($F$8*($D$8)^2)</f>
        <v>268.86419075295282</v>
      </c>
      <c r="G129" s="3"/>
      <c r="H129" s="117">
        <f t="shared" ref="H129:H146" si="3">2*$H$8/$F$8*$I$8</f>
        <v>1.987204257459577</v>
      </c>
      <c r="I129" s="3"/>
      <c r="J129" s="97" cm="1">
        <f t="array" ref="J129:J146">($H$8*LN((C129:C146/$F$8)*(PI()*EXP(1)/2)^(1/2)))*$I$8</f>
        <v>11.387159088214771</v>
      </c>
      <c r="K129" s="97">
        <f t="shared" ref="K129:K146" si="4">(LN(J129)+1.5)*$C$8</f>
        <v>5.4293833118064357E-23</v>
      </c>
      <c r="L129" s="94">
        <f t="shared" ref="L129:L146" si="5">K129*$E$8*$I$8</f>
        <v>7.8146535671271824</v>
      </c>
      <c r="M129" s="85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spans="2:51" x14ac:dyDescent="0.2">
      <c r="B130" s="83"/>
      <c r="C130" s="3">
        <v>400</v>
      </c>
      <c r="D130" s="3"/>
      <c r="F130" s="57">
        <v>360.7099657929939</v>
      </c>
      <c r="G130" s="3"/>
      <c r="H130" s="118">
        <f t="shared" si="3"/>
        <v>1.987204257459577</v>
      </c>
      <c r="I130" s="3"/>
      <c r="J130" s="98">
        <v>11.971134494179219</v>
      </c>
      <c r="K130" s="98">
        <f t="shared" si="4"/>
        <v>5.4984322860160712E-23</v>
      </c>
      <c r="L130" s="95">
        <f t="shared" si="5"/>
        <v>7.9140375637296021</v>
      </c>
      <c r="M130" s="85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spans="2:51" x14ac:dyDescent="0.2">
      <c r="B131" s="83"/>
      <c r="C131" s="3">
        <v>500</v>
      </c>
      <c r="D131" s="3"/>
      <c r="F131" s="57">
        <v>450.88745724124243</v>
      </c>
      <c r="G131" s="3"/>
      <c r="H131" s="118">
        <f t="shared" si="3"/>
        <v>1.987204257459577</v>
      </c>
      <c r="I131" s="3"/>
      <c r="J131" s="98">
        <v>12.414566309375466</v>
      </c>
      <c r="K131" s="98">
        <f t="shared" si="4"/>
        <v>5.5486495170138027E-23</v>
      </c>
      <c r="L131" s="95">
        <f t="shared" si="5"/>
        <v>7.9863165392247231</v>
      </c>
      <c r="M131" s="85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spans="2:51" x14ac:dyDescent="0.2">
      <c r="B132" s="83"/>
      <c r="C132" s="3">
        <v>600</v>
      </c>
      <c r="D132" s="3"/>
      <c r="F132" s="57">
        <v>541.06494868949096</v>
      </c>
      <c r="G132" s="3"/>
      <c r="H132" s="118">
        <f t="shared" si="3"/>
        <v>1.987204257459577</v>
      </c>
      <c r="I132" s="3"/>
      <c r="J132" s="98">
        <v>12.776876483263072</v>
      </c>
      <c r="K132" s="98">
        <f t="shared" si="4"/>
        <v>5.5883659935976465E-23</v>
      </c>
      <c r="L132" s="95">
        <f t="shared" si="5"/>
        <v>8.0434815039334673</v>
      </c>
      <c r="M132" s="85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spans="2:51" x14ac:dyDescent="0.2">
      <c r="B133" s="83"/>
      <c r="C133" s="3">
        <v>700</v>
      </c>
      <c r="D133" s="3"/>
      <c r="F133" s="57">
        <v>631.24244013773932</v>
      </c>
      <c r="G133" s="3"/>
      <c r="H133" s="118">
        <f t="shared" si="3"/>
        <v>1.987204257459577</v>
      </c>
      <c r="I133" s="3"/>
      <c r="J133" s="98">
        <v>13.083205370506088</v>
      </c>
      <c r="K133" s="98">
        <f t="shared" si="4"/>
        <v>5.6210768301459387E-23</v>
      </c>
      <c r="L133" s="95">
        <f t="shared" si="5"/>
        <v>8.0905630674988824</v>
      </c>
      <c r="M133" s="85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spans="2:51" x14ac:dyDescent="0.2">
      <c r="B134" s="83"/>
      <c r="C134" s="3">
        <v>800</v>
      </c>
      <c r="D134" s="3"/>
      <c r="F134" s="57">
        <v>721.4199315859878</v>
      </c>
      <c r="G134" s="3"/>
      <c r="H134" s="118">
        <f t="shared" si="3"/>
        <v>1.987204257459577</v>
      </c>
      <c r="I134" s="3"/>
      <c r="J134" s="98">
        <v>13.348559522434046</v>
      </c>
      <c r="K134" s="98">
        <f t="shared" si="4"/>
        <v>5.648799023857179E-23</v>
      </c>
      <c r="L134" s="95">
        <f t="shared" si="5"/>
        <v>8.1304643468031159</v>
      </c>
      <c r="M134" s="85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spans="2:51" x14ac:dyDescent="0.2">
      <c r="B135" s="83"/>
      <c r="C135" s="3">
        <v>900</v>
      </c>
      <c r="D135" s="3"/>
      <c r="F135" s="57">
        <v>811.59742303423627</v>
      </c>
      <c r="G135" s="3"/>
      <c r="H135" s="118">
        <f t="shared" si="3"/>
        <v>1.987204257459577</v>
      </c>
      <c r="I135" s="3"/>
      <c r="J135" s="98">
        <v>13.582618472346924</v>
      </c>
      <c r="K135" s="98">
        <f t="shared" si="4"/>
        <v>5.672798077435311E-23</v>
      </c>
      <c r="L135" s="95">
        <f t="shared" si="5"/>
        <v>8.1650068130246858</v>
      </c>
      <c r="M135" s="85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spans="2:51" x14ac:dyDescent="0.2">
      <c r="B136" s="83"/>
      <c r="C136" s="3">
        <v>1000</v>
      </c>
      <c r="D136" s="3"/>
      <c r="F136" s="57">
        <v>901.77491448248486</v>
      </c>
      <c r="G136" s="3"/>
      <c r="H136" s="118">
        <f t="shared" si="3"/>
        <v>1.987204257459577</v>
      </c>
      <c r="I136" s="3"/>
      <c r="J136" s="98">
        <v>13.791991337630293</v>
      </c>
      <c r="K136" s="98">
        <f t="shared" si="4"/>
        <v>5.693918091639461E-23</v>
      </c>
      <c r="L136" s="95">
        <f t="shared" si="5"/>
        <v>8.1954054024886744</v>
      </c>
      <c r="M136" s="85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spans="2:51" x14ac:dyDescent="0.2">
      <c r="B137" s="83"/>
      <c r="C137" s="3">
        <v>1100</v>
      </c>
      <c r="D137" s="3"/>
      <c r="F137" s="57">
        <v>991.95240593073333</v>
      </c>
      <c r="G137" s="3"/>
      <c r="H137" s="118">
        <f t="shared" si="3"/>
        <v>1.987204257459577</v>
      </c>
      <c r="I137" s="3"/>
      <c r="J137" s="98">
        <v>13.981392132716683</v>
      </c>
      <c r="K137" s="98">
        <f t="shared" si="4"/>
        <v>5.7127490758017677E-23</v>
      </c>
      <c r="L137" s="95">
        <f t="shared" si="5"/>
        <v>8.2225093310760116</v>
      </c>
      <c r="M137" s="85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spans="2:51" x14ac:dyDescent="0.2">
      <c r="B138" s="83"/>
      <c r="C138" s="3">
        <v>1200</v>
      </c>
      <c r="D138" s="3"/>
      <c r="F138" s="57">
        <v>1082.1298973789819</v>
      </c>
      <c r="G138" s="3"/>
      <c r="H138" s="118">
        <f t="shared" si="3"/>
        <v>1.987204257459577</v>
      </c>
      <c r="I138" s="3"/>
      <c r="J138" s="98">
        <v>14.154301511517899</v>
      </c>
      <c r="K138" s="98">
        <f t="shared" si="4"/>
        <v>5.7297189909153077E-23</v>
      </c>
      <c r="L138" s="95">
        <f t="shared" si="5"/>
        <v>8.2469345742500373</v>
      </c>
      <c r="M138" s="85"/>
    </row>
    <row r="139" spans="2:51" x14ac:dyDescent="0.2">
      <c r="B139" s="83"/>
      <c r="C139" s="3">
        <v>1300</v>
      </c>
      <c r="D139" s="3"/>
      <c r="F139" s="57">
        <v>1172.3073888272304</v>
      </c>
      <c r="G139" s="3"/>
      <c r="H139" s="118">
        <f t="shared" si="3"/>
        <v>1.987204257459577</v>
      </c>
      <c r="I139" s="3"/>
      <c r="J139" s="98">
        <v>14.313362720985342</v>
      </c>
      <c r="K139" s="98">
        <f t="shared" si="4"/>
        <v>5.7451477232047719E-23</v>
      </c>
      <c r="L139" s="95">
        <f t="shared" si="5"/>
        <v>8.2691415526300567</v>
      </c>
      <c r="M139" s="85"/>
    </row>
    <row r="140" spans="2:51" x14ac:dyDescent="0.2">
      <c r="B140" s="83"/>
      <c r="C140" s="3">
        <v>1400</v>
      </c>
      <c r="D140" s="3"/>
      <c r="F140" s="57">
        <v>1262.4848802754786</v>
      </c>
      <c r="G140" s="3"/>
      <c r="H140" s="118">
        <f t="shared" si="3"/>
        <v>1.987204257459577</v>
      </c>
      <c r="I140" s="3"/>
      <c r="J140" s="98">
        <v>14.460630398760912</v>
      </c>
      <c r="K140" s="98">
        <f t="shared" si="4"/>
        <v>5.7592803982620891E-23</v>
      </c>
      <c r="L140" s="95">
        <f t="shared" si="5"/>
        <v>8.2894830818990535</v>
      </c>
      <c r="M140" s="85"/>
    </row>
    <row r="141" spans="2:51" x14ac:dyDescent="0.2">
      <c r="B141" s="83"/>
      <c r="C141" s="3">
        <v>1500</v>
      </c>
      <c r="D141" s="3"/>
      <c r="F141" s="92">
        <v>1352.6623717237273</v>
      </c>
      <c r="H141" s="118">
        <f t="shared" si="3"/>
        <v>1.987204257459577</v>
      </c>
      <c r="J141" s="99">
        <v>14.597733326714144</v>
      </c>
      <c r="K141" s="98">
        <f t="shared" si="4"/>
        <v>5.7723088279979268E-23</v>
      </c>
      <c r="L141" s="95">
        <f t="shared" si="5"/>
        <v>8.3082352419625778</v>
      </c>
      <c r="M141" s="85"/>
    </row>
    <row r="142" spans="2:51" x14ac:dyDescent="0.2">
      <c r="B142" s="83"/>
      <c r="C142" s="3">
        <v>1600</v>
      </c>
      <c r="D142" s="3"/>
      <c r="F142" s="92">
        <v>1442.8398631719756</v>
      </c>
      <c r="H142" s="118">
        <f t="shared" si="3"/>
        <v>1.987204257459577</v>
      </c>
      <c r="J142" s="99">
        <v>14.725984550688871</v>
      </c>
      <c r="K142" s="98">
        <f t="shared" si="4"/>
        <v>5.7843858131824551E-23</v>
      </c>
      <c r="L142" s="95">
        <f t="shared" si="5"/>
        <v>8.3256179629701723</v>
      </c>
      <c r="M142" s="85"/>
    </row>
    <row r="143" spans="2:51" x14ac:dyDescent="0.2">
      <c r="B143" s="83"/>
      <c r="C143" s="3">
        <v>1700</v>
      </c>
      <c r="D143" s="3"/>
      <c r="F143" s="92">
        <v>1533.0173546202241</v>
      </c>
      <c r="H143" s="118">
        <f t="shared" si="3"/>
        <v>1.987204257459577</v>
      </c>
      <c r="J143" s="99">
        <v>14.846458057269365</v>
      </c>
      <c r="K143" s="98">
        <f t="shared" si="4"/>
        <v>5.7956349716479109E-23</v>
      </c>
      <c r="L143" s="95">
        <f t="shared" si="5"/>
        <v>8.3418091713046607</v>
      </c>
      <c r="M143" s="85"/>
    </row>
    <row r="144" spans="2:51" x14ac:dyDescent="0.2">
      <c r="B144" s="83"/>
      <c r="C144" s="3">
        <v>1800</v>
      </c>
      <c r="D144" s="3"/>
      <c r="F144" s="92">
        <v>1623.1948460684725</v>
      </c>
      <c r="H144" s="118">
        <f t="shared" si="3"/>
        <v>1.987204257459577</v>
      </c>
      <c r="J144" s="99">
        <v>14.960043500601749</v>
      </c>
      <c r="K144" s="98">
        <f t="shared" si="4"/>
        <v>5.8061576683534852E-23</v>
      </c>
      <c r="L144" s="95">
        <f t="shared" si="5"/>
        <v>8.3569547642060122</v>
      </c>
      <c r="M144" s="85"/>
    </row>
    <row r="145" spans="2:13" x14ac:dyDescent="0.2">
      <c r="B145" s="83"/>
      <c r="C145" s="3">
        <v>1900</v>
      </c>
      <c r="D145" s="3"/>
      <c r="F145" s="92">
        <v>1713.3723375167212</v>
      </c>
      <c r="H145" s="118">
        <f t="shared" si="3"/>
        <v>1.987204257459577</v>
      </c>
      <c r="J145" s="99">
        <v>15.067486112899049</v>
      </c>
      <c r="K145" s="98">
        <f t="shared" si="4"/>
        <v>5.8160380128380972E-23</v>
      </c>
      <c r="L145" s="95">
        <f t="shared" si="5"/>
        <v>8.3711758027359711</v>
      </c>
      <c r="M145" s="85"/>
    </row>
    <row r="146" spans="2:13" ht="17" thickBot="1" x14ac:dyDescent="0.25">
      <c r="B146" s="83"/>
      <c r="C146" s="3">
        <v>2000</v>
      </c>
      <c r="D146" s="3"/>
      <c r="F146" s="93">
        <v>1803.5498289649697</v>
      </c>
      <c r="H146" s="119">
        <f t="shared" si="3"/>
        <v>1.987204257459577</v>
      </c>
      <c r="J146" s="100">
        <v>15.169416365885118</v>
      </c>
      <c r="K146" s="101">
        <f t="shared" si="4"/>
        <v>5.8253465347703734E-23</v>
      </c>
      <c r="L146" s="96">
        <f t="shared" si="5"/>
        <v>8.3845738020933869</v>
      </c>
      <c r="M146" s="85"/>
    </row>
    <row r="147" spans="2:13" x14ac:dyDescent="0.2">
      <c r="B147" s="1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85"/>
    </row>
    <row r="148" spans="2:13" ht="17" thickBot="1" x14ac:dyDescent="0.25">
      <c r="B148" s="22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43"/>
    </row>
  </sheetData>
  <mergeCells count="13">
    <mergeCell ref="E125:L125"/>
    <mergeCell ref="E97:L97"/>
    <mergeCell ref="H12:L12"/>
    <mergeCell ref="C12:F12"/>
    <mergeCell ref="C4:L4"/>
    <mergeCell ref="H19:I19"/>
    <mergeCell ref="F25:K25"/>
    <mergeCell ref="F28:H28"/>
    <mergeCell ref="F50:H50"/>
    <mergeCell ref="F72:H72"/>
    <mergeCell ref="H14:I14"/>
    <mergeCell ref="H16:I16"/>
    <mergeCell ref="H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C2H6</vt:lpstr>
      <vt:lpstr>H2O</vt:lpstr>
      <vt:lpstr>NO2</vt:lpstr>
      <vt:lpstr>CO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Valgoi</dc:creator>
  <cp:lastModifiedBy>Alessia Valgoi</cp:lastModifiedBy>
  <dcterms:created xsi:type="dcterms:W3CDTF">2024-04-08T12:55:04Z</dcterms:created>
  <dcterms:modified xsi:type="dcterms:W3CDTF">2024-05-03T12:10:20Z</dcterms:modified>
</cp:coreProperties>
</file>