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64119_polimi_it/Documents/MMPE/"/>
    </mc:Choice>
  </mc:AlternateContent>
  <xr:revisionPtr revIDLastSave="573" documentId="8_{FA3E9091-77A0-A442-912F-FEFD23FDB0E4}" xr6:coauthVersionLast="47" xr6:coauthVersionMax="47" xr10:uidLastSave="{AB2682AD-2607-6F4E-BF88-BA2700CD4218}"/>
  <bookViews>
    <workbookView xWindow="-20" yWindow="520" windowWidth="28800" windowHeight="15000" activeTab="3" xr2:uid="{E660D4FD-4F83-9F4D-8FA8-D59E1700805B}"/>
  </bookViews>
  <sheets>
    <sheet name="CH4" sheetId="2" r:id="rId1"/>
    <sheet name="CH3" sheetId="3" r:id="rId2"/>
    <sheet name="H" sheetId="5" r:id="rId3"/>
    <sheet name="Costante equilibrio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7" i="6" l="1"/>
  <c r="G34" i="6"/>
  <c r="G39" i="6"/>
  <c r="G43" i="6"/>
  <c r="G95" i="2"/>
  <c r="H95" i="2" a="1"/>
  <c r="H95" i="2" s="1"/>
  <c r="T52" i="3" a="1"/>
  <c r="T52" i="3" s="1"/>
  <c r="E24" i="6"/>
  <c r="E26" i="6" s="1"/>
  <c r="E28" i="6" s="1"/>
  <c r="E22" i="6"/>
  <c r="J37" i="6" l="1"/>
  <c r="F23" i="3" a="1"/>
  <c r="F23" i="3" s="1"/>
  <c r="G19" i="5"/>
  <c r="J36" i="5"/>
  <c r="G36" i="5"/>
  <c r="J35" i="5"/>
  <c r="G35" i="5"/>
  <c r="J34" i="5"/>
  <c r="G34" i="5"/>
  <c r="J33" i="5"/>
  <c r="G33" i="5"/>
  <c r="J32" i="5"/>
  <c r="G32" i="5"/>
  <c r="J31" i="5"/>
  <c r="G31" i="5"/>
  <c r="J30" i="5"/>
  <c r="G30" i="5"/>
  <c r="J29" i="5"/>
  <c r="G29" i="5"/>
  <c r="J28" i="5"/>
  <c r="G28" i="5"/>
  <c r="J27" i="5"/>
  <c r="G27" i="5"/>
  <c r="J26" i="5"/>
  <c r="G26" i="5"/>
  <c r="J25" i="5"/>
  <c r="G25" i="5"/>
  <c r="J24" i="5"/>
  <c r="G24" i="5"/>
  <c r="J23" i="5"/>
  <c r="G23" i="5"/>
  <c r="J22" i="5"/>
  <c r="G22" i="5"/>
  <c r="J21" i="5"/>
  <c r="G21" i="5"/>
  <c r="J20" i="5"/>
  <c r="G20" i="5"/>
  <c r="M19" i="5" a="1"/>
  <c r="M19" i="5" s="1"/>
  <c r="J19" i="5"/>
  <c r="M8" i="5"/>
  <c r="L19" i="5" s="1" a="1"/>
  <c r="L19" i="5" s="1"/>
  <c r="F67" i="3" a="1"/>
  <c r="F67" i="3" s="1"/>
  <c r="F45" i="3" a="1"/>
  <c r="F45" i="3" s="1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X52" i="3" a="1"/>
  <c r="Y69" i="3" s="1"/>
  <c r="Z69" i="3" s="1"/>
  <c r="V52" i="3"/>
  <c r="V40" i="3"/>
  <c r="S40" i="3"/>
  <c r="V39" i="3"/>
  <c r="S39" i="3"/>
  <c r="V38" i="3"/>
  <c r="S38" i="3"/>
  <c r="V37" i="3"/>
  <c r="S37" i="3"/>
  <c r="V36" i="3"/>
  <c r="S36" i="3"/>
  <c r="V35" i="3"/>
  <c r="S35" i="3"/>
  <c r="V34" i="3"/>
  <c r="S34" i="3"/>
  <c r="V33" i="3"/>
  <c r="S33" i="3"/>
  <c r="V32" i="3"/>
  <c r="S32" i="3"/>
  <c r="V31" i="3"/>
  <c r="S31" i="3"/>
  <c r="V30" i="3"/>
  <c r="S30" i="3"/>
  <c r="V29" i="3"/>
  <c r="S29" i="3"/>
  <c r="V28" i="3"/>
  <c r="S28" i="3"/>
  <c r="V27" i="3"/>
  <c r="S27" i="3"/>
  <c r="V26" i="3"/>
  <c r="S26" i="3"/>
  <c r="V25" i="3"/>
  <c r="S25" i="3"/>
  <c r="V24" i="3"/>
  <c r="S24" i="3"/>
  <c r="Y23" i="3" a="1"/>
  <c r="Y23" i="3" s="1"/>
  <c r="V23" i="3"/>
  <c r="S23" i="3"/>
  <c r="X8" i="3" a="1"/>
  <c r="X8" i="3" s="1"/>
  <c r="X9" i="3" s="1" a="1"/>
  <c r="X9" i="3" s="1"/>
  <c r="X10" i="3" s="1" a="1"/>
  <c r="X10" i="3" s="1"/>
  <c r="N8" i="3"/>
  <c r="X23" i="3" s="1" a="1"/>
  <c r="X23" i="3" s="1"/>
  <c r="Z23" i="3" s="1" a="1"/>
  <c r="Z23" i="3" s="1"/>
  <c r="K8" i="2"/>
  <c r="P8" i="2" a="1"/>
  <c r="P8" i="2" s="1"/>
  <c r="P9" i="2" s="1" a="1"/>
  <c r="P9" i="2" s="1"/>
  <c r="P10" i="2" s="1" a="1"/>
  <c r="P10" i="2" s="1"/>
  <c r="H123" i="2" s="1" a="1"/>
  <c r="H123" i="2" s="1"/>
  <c r="F23" i="2" a="1"/>
  <c r="F23" i="2" s="1"/>
  <c r="O23" i="2" s="1"/>
  <c r="F45" i="2" a="1"/>
  <c r="F45" i="2" s="1"/>
  <c r="O45" i="2" s="1" a="1"/>
  <c r="O45" i="2" s="1"/>
  <c r="P45" i="2" s="1" a="1"/>
  <c r="P45" i="2" s="1"/>
  <c r="F67" i="2" a="1"/>
  <c r="F67" i="2" s="1"/>
  <c r="O67" i="2" s="1" a="1"/>
  <c r="O67" i="2" s="1"/>
  <c r="P67" i="2" s="1" a="1"/>
  <c r="P67" i="2" s="1"/>
  <c r="J95" i="2"/>
  <c r="L95" i="2" a="1"/>
  <c r="L95" i="2" s="1"/>
  <c r="M95" i="2" a="1"/>
  <c r="M95" i="2" s="1"/>
  <c r="G96" i="2"/>
  <c r="J96" i="2"/>
  <c r="G97" i="2"/>
  <c r="J97" i="2"/>
  <c r="G98" i="2"/>
  <c r="J98" i="2"/>
  <c r="G99" i="2"/>
  <c r="J99" i="2"/>
  <c r="G100" i="2"/>
  <c r="J100" i="2"/>
  <c r="G101" i="2"/>
  <c r="J101" i="2"/>
  <c r="G102" i="2"/>
  <c r="J102" i="2"/>
  <c r="G103" i="2"/>
  <c r="J103" i="2"/>
  <c r="G104" i="2"/>
  <c r="J104" i="2"/>
  <c r="G105" i="2"/>
  <c r="J105" i="2"/>
  <c r="G106" i="2"/>
  <c r="J106" i="2"/>
  <c r="G107" i="2"/>
  <c r="J107" i="2"/>
  <c r="G108" i="2"/>
  <c r="J108" i="2"/>
  <c r="G109" i="2"/>
  <c r="J109" i="2"/>
  <c r="G110" i="2"/>
  <c r="J110" i="2"/>
  <c r="G111" i="2"/>
  <c r="J111" i="2"/>
  <c r="G112" i="2"/>
  <c r="J112" i="2"/>
  <c r="J123" i="2"/>
  <c r="L123" i="2" a="1"/>
  <c r="M127" i="2" s="1"/>
  <c r="N127" i="2" s="1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M137" i="2" l="1"/>
  <c r="N137" i="2" s="1"/>
  <c r="M125" i="2"/>
  <c r="N125" i="2" s="1"/>
  <c r="O83" i="2" a="1"/>
  <c r="O83" i="2" s="1"/>
  <c r="P83" i="2" s="1" a="1"/>
  <c r="P83" i="2" s="1"/>
  <c r="O79" i="2" a="1"/>
  <c r="O79" i="2" s="1"/>
  <c r="P79" i="2" s="1" a="1"/>
  <c r="P79" i="2" s="1"/>
  <c r="O75" i="2" a="1"/>
  <c r="O75" i="2" s="1"/>
  <c r="P75" i="2" s="1" a="1"/>
  <c r="P75" i="2" s="1"/>
  <c r="O71" i="2" a="1"/>
  <c r="O71" i="2" s="1"/>
  <c r="P71" i="2" s="1" a="1"/>
  <c r="P71" i="2" s="1"/>
  <c r="O82" i="2" a="1"/>
  <c r="O82" i="2" s="1"/>
  <c r="P82" i="2" s="1" a="1"/>
  <c r="P82" i="2" s="1"/>
  <c r="O78" i="2" a="1"/>
  <c r="O78" i="2" s="1"/>
  <c r="P78" i="2" s="1" a="1"/>
  <c r="P78" i="2" s="1"/>
  <c r="O74" i="2" a="1"/>
  <c r="O74" i="2" s="1"/>
  <c r="P74" i="2" s="1" a="1"/>
  <c r="P74" i="2" s="1"/>
  <c r="O70" i="2" a="1"/>
  <c r="O70" i="2" s="1"/>
  <c r="P70" i="2" s="1" a="1"/>
  <c r="P70" i="2" s="1"/>
  <c r="O81" i="2" a="1"/>
  <c r="O81" i="2" s="1"/>
  <c r="P81" i="2" s="1" a="1"/>
  <c r="P81" i="2" s="1"/>
  <c r="O77" i="2" a="1"/>
  <c r="O77" i="2" s="1"/>
  <c r="P77" i="2" s="1" a="1"/>
  <c r="P77" i="2" s="1"/>
  <c r="O73" i="2" a="1"/>
  <c r="O73" i="2" s="1"/>
  <c r="P73" i="2" s="1" a="1"/>
  <c r="P73" i="2" s="1"/>
  <c r="O69" i="2" a="1"/>
  <c r="O69" i="2" s="1"/>
  <c r="P69" i="2" s="1" a="1"/>
  <c r="P69" i="2" s="1"/>
  <c r="O84" i="2" a="1"/>
  <c r="O84" i="2" s="1"/>
  <c r="P84" i="2" s="1" a="1"/>
  <c r="P84" i="2" s="1"/>
  <c r="O80" i="2" a="1"/>
  <c r="O80" i="2" s="1"/>
  <c r="P80" i="2" s="1" a="1"/>
  <c r="P80" i="2" s="1"/>
  <c r="O76" i="2" a="1"/>
  <c r="O76" i="2" s="1"/>
  <c r="P76" i="2" s="1" a="1"/>
  <c r="P76" i="2" s="1"/>
  <c r="O72" i="2" a="1"/>
  <c r="O72" i="2" s="1"/>
  <c r="P72" i="2" s="1" a="1"/>
  <c r="P72" i="2" s="1"/>
  <c r="O68" i="2" a="1"/>
  <c r="O68" i="2" s="1"/>
  <c r="P68" i="2" s="1" a="1"/>
  <c r="P68" i="2" s="1"/>
  <c r="M133" i="2"/>
  <c r="N133" i="2" s="1"/>
  <c r="M129" i="2"/>
  <c r="N129" i="2" s="1"/>
  <c r="L123" i="2"/>
  <c r="M123" i="2" s="1"/>
  <c r="N123" i="2" s="1"/>
  <c r="M138" i="2"/>
  <c r="N138" i="2" s="1"/>
  <c r="M126" i="2"/>
  <c r="N126" i="2" s="1"/>
  <c r="M140" i="2"/>
  <c r="N140" i="2" s="1"/>
  <c r="M136" i="2"/>
  <c r="N136" i="2" s="1"/>
  <c r="M132" i="2"/>
  <c r="N132" i="2" s="1"/>
  <c r="M128" i="2"/>
  <c r="N128" i="2" s="1"/>
  <c r="M124" i="2"/>
  <c r="N124" i="2" s="1"/>
  <c r="M134" i="2"/>
  <c r="N134" i="2" s="1"/>
  <c r="M130" i="2"/>
  <c r="N130" i="2" s="1"/>
  <c r="N19" i="5" a="1"/>
  <c r="N19" i="5" s="1"/>
  <c r="H19" i="5" a="1"/>
  <c r="H19" i="5" s="1"/>
  <c r="L34" i="3"/>
  <c r="L84" i="3" a="1"/>
  <c r="L84" i="3" s="1"/>
  <c r="M84" i="3" s="1" a="1"/>
  <c r="M84" i="3" s="1"/>
  <c r="L62" i="3" a="1"/>
  <c r="L62" i="3" s="1"/>
  <c r="M62" i="3" s="1" a="1"/>
  <c r="M62" i="3" s="1"/>
  <c r="Y68" i="3"/>
  <c r="Z68" i="3" s="1"/>
  <c r="Y64" i="3"/>
  <c r="Z64" i="3" s="1"/>
  <c r="Y56" i="3"/>
  <c r="Z56" i="3" s="1"/>
  <c r="Y60" i="3"/>
  <c r="Z60" i="3" s="1"/>
  <c r="L45" i="3" a="1"/>
  <c r="L45" i="3" s="1"/>
  <c r="M45" i="3" s="1" a="1"/>
  <c r="M45" i="3" s="1"/>
  <c r="L25" i="3"/>
  <c r="L33" i="3"/>
  <c r="T23" i="3" a="1"/>
  <c r="T23" i="3" s="1"/>
  <c r="L26" i="3"/>
  <c r="L40" i="3"/>
  <c r="L36" i="3"/>
  <c r="L32" i="3"/>
  <c r="L28" i="3"/>
  <c r="L24" i="3"/>
  <c r="L39" i="3"/>
  <c r="L35" i="3"/>
  <c r="L31" i="3"/>
  <c r="L27" i="3"/>
  <c r="L29" i="3"/>
  <c r="L37" i="3"/>
  <c r="L23" i="3"/>
  <c r="L30" i="3"/>
  <c r="L38" i="3"/>
  <c r="Y55" i="3"/>
  <c r="Z55" i="3" s="1"/>
  <c r="Y59" i="3"/>
  <c r="Z59" i="3" s="1"/>
  <c r="Y63" i="3"/>
  <c r="Z63" i="3" s="1"/>
  <c r="Y67" i="3"/>
  <c r="Z67" i="3" s="1"/>
  <c r="L46" i="3" a="1"/>
  <c r="L46" i="3" s="1"/>
  <c r="M46" i="3" s="1" a="1"/>
  <c r="M46" i="3" s="1"/>
  <c r="L47" i="3" a="1"/>
  <c r="L47" i="3" s="1"/>
  <c r="M47" i="3" s="1" a="1"/>
  <c r="M47" i="3" s="1"/>
  <c r="L48" i="3" a="1"/>
  <c r="L48" i="3" s="1"/>
  <c r="M48" i="3" s="1" a="1"/>
  <c r="M48" i="3" s="1"/>
  <c r="L49" i="3" a="1"/>
  <c r="L49" i="3" s="1"/>
  <c r="M49" i="3" s="1" a="1"/>
  <c r="M49" i="3" s="1"/>
  <c r="L50" i="3" a="1"/>
  <c r="L50" i="3" s="1"/>
  <c r="M50" i="3" s="1" a="1"/>
  <c r="M50" i="3" s="1"/>
  <c r="L51" i="3" a="1"/>
  <c r="L51" i="3" s="1"/>
  <c r="M51" i="3" s="1" a="1"/>
  <c r="M51" i="3" s="1"/>
  <c r="L52" i="3" a="1"/>
  <c r="L52" i="3" s="1"/>
  <c r="M52" i="3" s="1" a="1"/>
  <c r="M52" i="3" s="1"/>
  <c r="L53" i="3" a="1"/>
  <c r="L53" i="3" s="1"/>
  <c r="M53" i="3" s="1" a="1"/>
  <c r="M53" i="3" s="1"/>
  <c r="L54" i="3" a="1"/>
  <c r="L54" i="3" s="1"/>
  <c r="M54" i="3" s="1" a="1"/>
  <c r="M54" i="3" s="1"/>
  <c r="L55" i="3" a="1"/>
  <c r="L55" i="3" s="1"/>
  <c r="M55" i="3" s="1" a="1"/>
  <c r="M55" i="3" s="1"/>
  <c r="L56" i="3" a="1"/>
  <c r="L56" i="3" s="1"/>
  <c r="M56" i="3" s="1" a="1"/>
  <c r="M56" i="3" s="1"/>
  <c r="L57" i="3" a="1"/>
  <c r="L57" i="3" s="1"/>
  <c r="M57" i="3" s="1" a="1"/>
  <c r="M57" i="3" s="1"/>
  <c r="L58" i="3" a="1"/>
  <c r="L58" i="3" s="1"/>
  <c r="M58" i="3" s="1" a="1"/>
  <c r="M58" i="3" s="1"/>
  <c r="L59" i="3" a="1"/>
  <c r="L59" i="3" s="1"/>
  <c r="M59" i="3" s="1" a="1"/>
  <c r="M59" i="3" s="1"/>
  <c r="L60" i="3" a="1"/>
  <c r="L60" i="3" s="1"/>
  <c r="M60" i="3" s="1" a="1"/>
  <c r="M60" i="3" s="1"/>
  <c r="L61" i="3" a="1"/>
  <c r="L61" i="3" s="1"/>
  <c r="M61" i="3" s="1" a="1"/>
  <c r="M61" i="3" s="1"/>
  <c r="L67" i="3" a="1"/>
  <c r="L67" i="3" s="1"/>
  <c r="M67" i="3" s="1" a="1"/>
  <c r="M67" i="3" s="1"/>
  <c r="Y54" i="3"/>
  <c r="Z54" i="3" s="1"/>
  <c r="Y58" i="3"/>
  <c r="Z58" i="3" s="1"/>
  <c r="Y62" i="3"/>
  <c r="Z62" i="3" s="1"/>
  <c r="Y66" i="3"/>
  <c r="Z66" i="3" s="1"/>
  <c r="L68" i="3" a="1"/>
  <c r="L68" i="3" s="1"/>
  <c r="M68" i="3" s="1" a="1"/>
  <c r="M68" i="3" s="1"/>
  <c r="L69" i="3" a="1"/>
  <c r="L69" i="3" s="1"/>
  <c r="M69" i="3" s="1" a="1"/>
  <c r="M69" i="3" s="1"/>
  <c r="L70" i="3" a="1"/>
  <c r="L70" i="3" s="1"/>
  <c r="M70" i="3" s="1" a="1"/>
  <c r="M70" i="3" s="1"/>
  <c r="L71" i="3" a="1"/>
  <c r="L71" i="3" s="1"/>
  <c r="M71" i="3" s="1" a="1"/>
  <c r="M71" i="3" s="1"/>
  <c r="L72" i="3" a="1"/>
  <c r="L72" i="3" s="1"/>
  <c r="M72" i="3" s="1" a="1"/>
  <c r="M72" i="3" s="1"/>
  <c r="L73" i="3" a="1"/>
  <c r="L73" i="3" s="1"/>
  <c r="M73" i="3" s="1" a="1"/>
  <c r="M73" i="3" s="1"/>
  <c r="L74" i="3" a="1"/>
  <c r="L74" i="3" s="1"/>
  <c r="M74" i="3" s="1" a="1"/>
  <c r="M74" i="3" s="1"/>
  <c r="L75" i="3" a="1"/>
  <c r="L75" i="3" s="1"/>
  <c r="M75" i="3" s="1" a="1"/>
  <c r="M75" i="3" s="1"/>
  <c r="L76" i="3" a="1"/>
  <c r="L76" i="3" s="1"/>
  <c r="M76" i="3" s="1" a="1"/>
  <c r="M76" i="3" s="1"/>
  <c r="L77" i="3" a="1"/>
  <c r="L77" i="3" s="1"/>
  <c r="M77" i="3" s="1" a="1"/>
  <c r="M77" i="3" s="1"/>
  <c r="L78" i="3" a="1"/>
  <c r="L78" i="3" s="1"/>
  <c r="M78" i="3" s="1" a="1"/>
  <c r="M78" i="3" s="1"/>
  <c r="L79" i="3" a="1"/>
  <c r="L79" i="3" s="1"/>
  <c r="M79" i="3" s="1" a="1"/>
  <c r="M79" i="3" s="1"/>
  <c r="L80" i="3" a="1"/>
  <c r="L80" i="3" s="1"/>
  <c r="M80" i="3" s="1" a="1"/>
  <c r="M80" i="3" s="1"/>
  <c r="L81" i="3" a="1"/>
  <c r="L81" i="3" s="1"/>
  <c r="M81" i="3" s="1" a="1"/>
  <c r="M81" i="3" s="1"/>
  <c r="L82" i="3" a="1"/>
  <c r="L82" i="3" s="1"/>
  <c r="M82" i="3" s="1" a="1"/>
  <c r="M82" i="3" s="1"/>
  <c r="L83" i="3" a="1"/>
  <c r="L83" i="3" s="1"/>
  <c r="M83" i="3" s="1" a="1"/>
  <c r="M83" i="3" s="1"/>
  <c r="X52" i="3"/>
  <c r="Y52" i="3" s="1"/>
  <c r="Z52" i="3" s="1"/>
  <c r="Y53" i="3"/>
  <c r="Z53" i="3" s="1"/>
  <c r="Y57" i="3"/>
  <c r="Z57" i="3" s="1"/>
  <c r="Y61" i="3"/>
  <c r="Z61" i="3" s="1"/>
  <c r="Y65" i="3"/>
  <c r="Z65" i="3" s="1"/>
  <c r="N95" i="2" a="1"/>
  <c r="N95" i="2" s="1"/>
  <c r="O40" i="2"/>
  <c r="O36" i="2"/>
  <c r="O32" i="2"/>
  <c r="O28" i="2"/>
  <c r="O24" i="2"/>
  <c r="O37" i="2"/>
  <c r="O33" i="2"/>
  <c r="O29" i="2"/>
  <c r="O25" i="2"/>
  <c r="O60" i="2" a="1"/>
  <c r="O60" i="2" s="1"/>
  <c r="P60" i="2" s="1" a="1"/>
  <c r="P60" i="2" s="1"/>
  <c r="O59" i="2" a="1"/>
  <c r="O59" i="2" s="1"/>
  <c r="P59" i="2" s="1" a="1"/>
  <c r="P59" i="2" s="1"/>
  <c r="O58" i="2" a="1"/>
  <c r="O58" i="2" s="1"/>
  <c r="P58" i="2" s="1" a="1"/>
  <c r="P58" i="2" s="1"/>
  <c r="O57" i="2" a="1"/>
  <c r="O57" i="2" s="1"/>
  <c r="P57" i="2" s="1" a="1"/>
  <c r="P57" i="2" s="1"/>
  <c r="O56" i="2" a="1"/>
  <c r="O56" i="2" s="1"/>
  <c r="P56" i="2" s="1" a="1"/>
  <c r="P56" i="2" s="1"/>
  <c r="O55" i="2" a="1"/>
  <c r="O55" i="2" s="1"/>
  <c r="P55" i="2" s="1" a="1"/>
  <c r="P55" i="2" s="1"/>
  <c r="O54" i="2" a="1"/>
  <c r="O54" i="2" s="1"/>
  <c r="P54" i="2" s="1" a="1"/>
  <c r="P54" i="2" s="1"/>
  <c r="O53" i="2" a="1"/>
  <c r="O53" i="2" s="1"/>
  <c r="P53" i="2" s="1" a="1"/>
  <c r="P53" i="2" s="1"/>
  <c r="O52" i="2" a="1"/>
  <c r="O52" i="2" s="1"/>
  <c r="P52" i="2" s="1" a="1"/>
  <c r="P52" i="2" s="1"/>
  <c r="O51" i="2" a="1"/>
  <c r="O51" i="2" s="1"/>
  <c r="P51" i="2" s="1" a="1"/>
  <c r="P51" i="2" s="1"/>
  <c r="O50" i="2" a="1"/>
  <c r="O50" i="2" s="1"/>
  <c r="P50" i="2" s="1" a="1"/>
  <c r="P50" i="2" s="1"/>
  <c r="O49" i="2" a="1"/>
  <c r="O49" i="2" s="1"/>
  <c r="P49" i="2" s="1" a="1"/>
  <c r="P49" i="2" s="1"/>
  <c r="O48" i="2" a="1"/>
  <c r="O48" i="2" s="1"/>
  <c r="P48" i="2" s="1" a="1"/>
  <c r="P48" i="2" s="1"/>
  <c r="O47" i="2" a="1"/>
  <c r="O47" i="2" s="1"/>
  <c r="P47" i="2" s="1" a="1"/>
  <c r="P47" i="2" s="1"/>
  <c r="O46" i="2" a="1"/>
  <c r="O46" i="2" s="1"/>
  <c r="P46" i="2" s="1" a="1"/>
  <c r="P46" i="2" s="1"/>
  <c r="O39" i="2"/>
  <c r="O35" i="2"/>
  <c r="O31" i="2"/>
  <c r="O27" i="2"/>
  <c r="O62" i="2" a="1"/>
  <c r="O62" i="2" s="1"/>
  <c r="P62" i="2" s="1" a="1"/>
  <c r="P62" i="2" s="1"/>
  <c r="O61" i="2" a="1"/>
  <c r="O61" i="2" s="1"/>
  <c r="P61" i="2" s="1" a="1"/>
  <c r="P61" i="2" s="1"/>
  <c r="M139" i="2"/>
  <c r="N139" i="2" s="1"/>
  <c r="M135" i="2"/>
  <c r="N135" i="2" s="1"/>
  <c r="M131" i="2"/>
  <c r="N131" i="2" s="1"/>
  <c r="O38" i="2"/>
  <c r="O34" i="2"/>
  <c r="O30" i="2"/>
  <c r="O2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<sst xmlns="http://schemas.openxmlformats.org/spreadsheetml/2006/main" count="218" uniqueCount="92">
  <si>
    <t>S rot</t>
  </si>
  <si>
    <t>Cv</t>
  </si>
  <si>
    <t>Qrot</t>
  </si>
  <si>
    <t>T [K]</t>
  </si>
  <si>
    <t>ROTAZIONALE</t>
  </si>
  <si>
    <t>S trasl</t>
  </si>
  <si>
    <t>V tilde</t>
  </si>
  <si>
    <t>A</t>
  </si>
  <si>
    <t>Qtrasl</t>
  </si>
  <si>
    <t>Volume</t>
  </si>
  <si>
    <t>(kB*T)/p_at</t>
  </si>
  <si>
    <t>TRASLAZIONALE</t>
  </si>
  <si>
    <t xml:space="preserve"> </t>
  </si>
  <si>
    <t>S</t>
  </si>
  <si>
    <t>somma</t>
  </si>
  <si>
    <t>Vibrational entropy contributions</t>
  </si>
  <si>
    <t xml:space="preserve">Cv  vibrational contributions </t>
  </si>
  <si>
    <t>Qvib</t>
  </si>
  <si>
    <t>Q vibrational contributions</t>
  </si>
  <si>
    <t>VIBRAZIONALE</t>
  </si>
  <si>
    <t>K</t>
  </si>
  <si>
    <t>Temperature rotazionali</t>
  </si>
  <si>
    <t>Temperature vibrazionali: theta vib [K]</t>
  </si>
  <si>
    <t>Kg*m^2</t>
  </si>
  <si>
    <t>Momento d'inerzia</t>
  </si>
  <si>
    <t>cm-1</t>
  </si>
  <si>
    <t>Numero d'onda</t>
  </si>
  <si>
    <t>Hz</t>
  </si>
  <si>
    <t>GHz</t>
  </si>
  <si>
    <t>Costante rotazionale</t>
  </si>
  <si>
    <t>kg</t>
  </si>
  <si>
    <t>amu</t>
  </si>
  <si>
    <t>Kg</t>
  </si>
  <si>
    <t>cal/J</t>
  </si>
  <si>
    <t>J/(K*mol)</t>
  </si>
  <si>
    <t>cm/s</t>
  </si>
  <si>
    <t>1/mol</t>
  </si>
  <si>
    <t>J/Hz</t>
  </si>
  <si>
    <t>J/K</t>
  </si>
  <si>
    <t>Joule -&gt; cal</t>
  </si>
  <si>
    <t>R</t>
  </si>
  <si>
    <t>c</t>
  </si>
  <si>
    <t>sigma</t>
  </si>
  <si>
    <t>NA</t>
  </si>
  <si>
    <t xml:space="preserve">h </t>
  </si>
  <si>
    <t>kB</t>
  </si>
  <si>
    <t>Quantità rotazionali</t>
  </si>
  <si>
    <t>Massa
molecolare</t>
  </si>
  <si>
    <t>Unità di
massa atomica</t>
  </si>
  <si>
    <t>Conversione</t>
  </si>
  <si>
    <t>Costante 
dei gas</t>
  </si>
  <si>
    <t>Velocità 
della luce</t>
  </si>
  <si>
    <t>Numero di
simmetria</t>
  </si>
  <si>
    <t>Numero di
Avogadro</t>
  </si>
  <si>
    <t>Costante di
Plank</t>
  </si>
  <si>
    <t>Costante di 
Boltzmann</t>
  </si>
  <si>
    <t>Costanti</t>
  </si>
  <si>
    <t>S-&gt; contributo elettronico</t>
  </si>
  <si>
    <t>Cv-&gt; solo traslazionale</t>
  </si>
  <si>
    <t>Q-&gt; vib =1., rot=1, elettronico =2</t>
  </si>
  <si>
    <t>CH3</t>
  </si>
  <si>
    <t>E_tot</t>
  </si>
  <si>
    <t>Hcorr</t>
  </si>
  <si>
    <t>e_0</t>
  </si>
  <si>
    <t>e_ZPE</t>
  </si>
  <si>
    <t>Gcorr</t>
  </si>
  <si>
    <t>e0 + e_ZPE</t>
  </si>
  <si>
    <t>e0 + Etot</t>
  </si>
  <si>
    <t>e0 + Hcorr</t>
  </si>
  <si>
    <t>e0 + Gcorr</t>
  </si>
  <si>
    <t>Computation done with level of theory: B3LYP/6-31G(d)</t>
  </si>
  <si>
    <t>H</t>
  </si>
  <si>
    <t>CH4</t>
  </si>
  <si>
    <t>Reactans</t>
  </si>
  <si>
    <t>Computation's level of theory: B3LYP/﻿6-31G(d)</t>
  </si>
  <si>
    <t>Products</t>
  </si>
  <si>
    <t>Zero point energy correction</t>
  </si>
  <si>
    <t>Total electronic energy (SCF done)</t>
  </si>
  <si>
    <t>Thermal correction to energy</t>
  </si>
  <si>
    <t>Thermal correction to enthalpy</t>
  </si>
  <si>
    <t>Thermal correction to Gibbs free energy</t>
  </si>
  <si>
    <t>sum of  e0 + Gcorr</t>
  </si>
  <si>
    <t>Reactans:</t>
  </si>
  <si>
    <t xml:space="preserve">Products: </t>
  </si>
  <si>
    <t>Conversion from Hartrees to kcal/mol</t>
  </si>
  <si>
    <t>Gibbs free energy of reaction [Hartrees]</t>
  </si>
  <si>
    <t>Gibbs free energy of reaction [kcal/mol]</t>
  </si>
  <si>
    <t>Costante di equilibrio</t>
  </si>
  <si>
    <t>E(CH3)</t>
  </si>
  <si>
    <t>E(H)</t>
  </si>
  <si>
    <t>E(CH4)</t>
  </si>
  <si>
    <t>Qelettronica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</si>
</sst>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E+00"/>
    <numFmt numFmtId="165" formatCode="0.0000E+00"/>
    <numFmt numFmtId="166" formatCode="0.00000E+00"/>
    <numFmt numFmtId="167" formatCode="0.000000000000000000000000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FBFC1"/>
        <bgColor indexed="64"/>
      </patternFill>
    </fill>
    <fill>
      <patternFill patternType="solid">
        <fgColor rgb="FFFFE01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2A3A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0" xfId="0" applyFont="1"/>
    <xf numFmtId="0" fontId="1" fillId="0" borderId="5" xfId="0" applyFont="1" applyBorder="1"/>
    <xf numFmtId="164" fontId="1" fillId="2" borderId="6" xfId="0" applyNumberFormat="1" applyFont="1" applyFill="1" applyBorder="1"/>
    <xf numFmtId="164" fontId="1" fillId="0" borderId="6" xfId="0" applyNumberFormat="1" applyFont="1" applyBorder="1"/>
    <xf numFmtId="164" fontId="0" fillId="0" borderId="6" xfId="0" applyNumberFormat="1" applyBorder="1"/>
    <xf numFmtId="0" fontId="1" fillId="3" borderId="6" xfId="0" applyFont="1" applyFill="1" applyBorder="1"/>
    <xf numFmtId="164" fontId="0" fillId="4" borderId="6" xfId="0" applyNumberFormat="1" applyFill="1" applyBorder="1"/>
    <xf numFmtId="0" fontId="0" fillId="0" borderId="5" xfId="0" applyBorder="1"/>
    <xf numFmtId="164" fontId="1" fillId="2" borderId="7" xfId="0" applyNumberFormat="1" applyFont="1" applyFill="1" applyBorder="1"/>
    <xf numFmtId="164" fontId="1" fillId="0" borderId="7" xfId="0" applyNumberFormat="1" applyFont="1" applyBorder="1"/>
    <xf numFmtId="164" fontId="0" fillId="0" borderId="7" xfId="0" applyNumberFormat="1" applyBorder="1"/>
    <xf numFmtId="0" fontId="1" fillId="3" borderId="7" xfId="0" applyFont="1" applyFill="1" applyBorder="1"/>
    <xf numFmtId="164" fontId="0" fillId="4" borderId="7" xfId="0" applyNumberFormat="1" applyFill="1" applyBorder="1"/>
    <xf numFmtId="164" fontId="1" fillId="4" borderId="7" xfId="0" applyNumberFormat="1" applyFont="1" applyFill="1" applyBorder="1"/>
    <xf numFmtId="164" fontId="1" fillId="2" borderId="8" xfId="0" applyNumberFormat="1" applyFont="1" applyFill="1" applyBorder="1"/>
    <xf numFmtId="164" fontId="1" fillId="0" borderId="8" xfId="0" applyNumberFormat="1" applyFont="1" applyBorder="1"/>
    <xf numFmtId="0" fontId="1" fillId="3" borderId="8" xfId="0" applyFont="1" applyFill="1" applyBorder="1"/>
    <xf numFmtId="164" fontId="1" fillId="4" borderId="8" xfId="0" applyNumberFormat="1" applyFont="1" applyFill="1" applyBorder="1"/>
    <xf numFmtId="0" fontId="2" fillId="5" borderId="9" xfId="0" applyFont="1" applyFill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8" borderId="0" xfId="0" applyFont="1" applyFill="1" applyAlignment="1">
      <alignment horizontal="right"/>
    </xf>
    <xf numFmtId="164" fontId="1" fillId="0" borderId="0" xfId="0" applyNumberFormat="1" applyFont="1"/>
    <xf numFmtId="164" fontId="1" fillId="0" borderId="5" xfId="0" applyNumberFormat="1" applyFont="1" applyBorder="1"/>
    <xf numFmtId="11" fontId="1" fillId="0" borderId="0" xfId="0" applyNumberFormat="1" applyFont="1"/>
    <xf numFmtId="0" fontId="0" fillId="0" borderId="13" xfId="0" applyBorder="1"/>
    <xf numFmtId="0" fontId="1" fillId="0" borderId="14" xfId="0" applyFont="1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1" fillId="4" borderId="6" xfId="0" applyFont="1" applyFill="1" applyBorder="1"/>
    <xf numFmtId="11" fontId="1" fillId="0" borderId="6" xfId="0" applyNumberFormat="1" applyFont="1" applyBorder="1"/>
    <xf numFmtId="0" fontId="1" fillId="2" borderId="7" xfId="0" applyFont="1" applyFill="1" applyBorder="1"/>
    <xf numFmtId="0" fontId="1" fillId="0" borderId="7" xfId="0" applyFont="1" applyBorder="1"/>
    <xf numFmtId="0" fontId="1" fillId="4" borderId="7" xfId="0" applyFont="1" applyFill="1" applyBorder="1"/>
    <xf numFmtId="11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1" fontId="1" fillId="2" borderId="7" xfId="0" applyNumberFormat="1" applyFont="1" applyFill="1" applyBorder="1"/>
    <xf numFmtId="11" fontId="1" fillId="4" borderId="7" xfId="0" applyNumberFormat="1" applyFont="1" applyFill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1" fillId="0" borderId="4" xfId="0" applyNumberFormat="1" applyFont="1" applyBorder="1"/>
    <xf numFmtId="164" fontId="1" fillId="0" borderId="13" xfId="0" applyNumberFormat="1" applyFont="1" applyBorder="1"/>
    <xf numFmtId="0" fontId="0" fillId="0" borderId="15" xfId="0" applyBorder="1"/>
    <xf numFmtId="0" fontId="1" fillId="0" borderId="8" xfId="0" applyFont="1" applyBorder="1"/>
    <xf numFmtId="0" fontId="1" fillId="0" borderId="15" xfId="0" applyFont="1" applyBorder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4" borderId="6" xfId="0" applyFill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0" fillId="4" borderId="7" xfId="0" applyFill="1" applyBorder="1"/>
    <xf numFmtId="0" fontId="0" fillId="4" borderId="8" xfId="0" applyFill="1" applyBorder="1"/>
    <xf numFmtId="11" fontId="1" fillId="0" borderId="4" xfId="0" applyNumberFormat="1" applyFont="1" applyBorder="1"/>
    <xf numFmtId="0" fontId="2" fillId="0" borderId="4" xfId="0" applyFont="1" applyBorder="1" applyAlignment="1">
      <alignment horizontal="center"/>
    </xf>
    <xf numFmtId="11" fontId="1" fillId="0" borderId="13" xfId="0" applyNumberFormat="1" applyFont="1" applyBorder="1"/>
    <xf numFmtId="0" fontId="0" fillId="0" borderId="14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11" fontId="1" fillId="0" borderId="12" xfId="0" applyNumberFormat="1" applyFont="1" applyBorder="1"/>
    <xf numFmtId="11" fontId="0" fillId="0" borderId="12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12" xfId="0" applyBorder="1"/>
    <xf numFmtId="11" fontId="0" fillId="0" borderId="9" xfId="0" applyNumberFormat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165" fontId="1" fillId="2" borderId="8" xfId="0" applyNumberFormat="1" applyFont="1" applyFill="1" applyBorder="1"/>
    <xf numFmtId="0" fontId="1" fillId="0" borderId="13" xfId="0" applyFont="1" applyBorder="1"/>
    <xf numFmtId="0" fontId="0" fillId="0" borderId="7" xfId="0" applyBorder="1"/>
    <xf numFmtId="0" fontId="2" fillId="14" borderId="12" xfId="0" applyFont="1" applyFill="1" applyBorder="1" applyAlignment="1">
      <alignment wrapText="1"/>
    </xf>
    <xf numFmtId="0" fontId="2" fillId="14" borderId="11" xfId="0" applyFont="1" applyFill="1" applyBorder="1" applyAlignment="1">
      <alignment wrapText="1"/>
    </xf>
    <xf numFmtId="0" fontId="2" fillId="14" borderId="10" xfId="0" applyFont="1" applyFill="1" applyBorder="1" applyAlignment="1">
      <alignment wrapText="1"/>
    </xf>
    <xf numFmtId="0" fontId="2" fillId="10" borderId="12" xfId="0" applyFont="1" applyFill="1" applyBorder="1"/>
    <xf numFmtId="0" fontId="2" fillId="10" borderId="11" xfId="0" applyFont="1" applyFill="1" applyBorder="1"/>
    <xf numFmtId="0" fontId="0" fillId="0" borderId="5" xfId="0" applyBorder="1" applyAlignment="1">
      <alignment horizontal="center"/>
    </xf>
    <xf numFmtId="0" fontId="0" fillId="0" borderId="9" xfId="0" applyBorder="1"/>
    <xf numFmtId="0" fontId="2" fillId="15" borderId="12" xfId="0" applyFont="1" applyFill="1" applyBorder="1" applyAlignment="1">
      <alignment horizontal="center"/>
    </xf>
    <xf numFmtId="0" fontId="2" fillId="15" borderId="11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left"/>
    </xf>
    <xf numFmtId="0" fontId="2" fillId="15" borderId="8" xfId="0" applyFont="1" applyFill="1" applyBorder="1" applyAlignment="1">
      <alignment horizontal="left"/>
    </xf>
    <xf numFmtId="0" fontId="2" fillId="15" borderId="7" xfId="0" applyFont="1" applyFill="1" applyBorder="1" applyAlignment="1">
      <alignment horizontal="left"/>
    </xf>
    <xf numFmtId="0" fontId="2" fillId="15" borderId="6" xfId="0" applyFont="1" applyFill="1" applyBorder="1" applyAlignment="1">
      <alignment horizontal="left"/>
    </xf>
    <xf numFmtId="0" fontId="0" fillId="0" borderId="13" xfId="0" applyBorder="1" applyAlignment="1">
      <alignment horizontal="right"/>
    </xf>
    <xf numFmtId="0" fontId="0" fillId="9" borderId="12" xfId="0" applyFill="1" applyBorder="1"/>
    <xf numFmtId="0" fontId="0" fillId="9" borderId="10" xfId="0" applyFill="1" applyBorder="1"/>
    <xf numFmtId="0" fontId="0" fillId="13" borderId="10" xfId="0" applyFill="1" applyBorder="1"/>
    <xf numFmtId="0" fontId="0" fillId="0" borderId="4" xfId="0" applyBorder="1" applyAlignment="1">
      <alignment horizontal="center"/>
    </xf>
    <xf numFmtId="0" fontId="2" fillId="0" borderId="15" xfId="0" applyFont="1" applyBorder="1"/>
    <xf numFmtId="0" fontId="2" fillId="0" borderId="14" xfId="0" applyFont="1" applyBorder="1"/>
    <xf numFmtId="0" fontId="2" fillId="0" borderId="3" xfId="0" applyFont="1" applyBorder="1"/>
    <xf numFmtId="0" fontId="2" fillId="0" borderId="2" xfId="0" applyFont="1" applyBorder="1"/>
    <xf numFmtId="0" fontId="2" fillId="0" borderId="1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/>
    <xf numFmtId="0" fontId="2" fillId="0" borderId="12" xfId="0" applyFont="1" applyBorder="1"/>
    <xf numFmtId="0" fontId="2" fillId="0" borderId="11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3" xfId="0" applyFont="1" applyBorder="1" applyAlignment="1">
      <alignment horizontal="left"/>
    </xf>
    <xf numFmtId="0" fontId="0" fillId="9" borderId="6" xfId="0" applyFill="1" applyBorder="1"/>
    <xf numFmtId="0" fontId="0" fillId="13" borderId="8" xfId="0" applyFill="1" applyBorder="1"/>
    <xf numFmtId="0" fontId="2" fillId="4" borderId="12" xfId="0" applyFont="1" applyFill="1" applyBorder="1"/>
    <xf numFmtId="0" fontId="0" fillId="4" borderId="11" xfId="0" applyFill="1" applyBorder="1"/>
    <xf numFmtId="0" fontId="0" fillId="4" borderId="10" xfId="0" applyFill="1" applyBorder="1"/>
    <xf numFmtId="0" fontId="0" fillId="4" borderId="9" xfId="0" applyFill="1" applyBorder="1"/>
    <xf numFmtId="0" fontId="2" fillId="15" borderId="9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166" fontId="1" fillId="4" borderId="8" xfId="0" applyNumberFormat="1" applyFont="1" applyFill="1" applyBorder="1"/>
    <xf numFmtId="167" fontId="0" fillId="0" borderId="0" xfId="0" applyNumberFormat="1"/>
    <xf numFmtId="164" fontId="0" fillId="0" borderId="0" xfId="0" applyNumberFormat="1"/>
    <xf numFmtId="0" fontId="2" fillId="15" borderId="0" xfId="0" applyFont="1" applyFill="1" applyAlignment="1">
      <alignment horizontal="center"/>
    </xf>
    <xf numFmtId="0" fontId="2" fillId="0" borderId="15" xfId="0" applyFont="1" applyBorder="1" applyAlignment="1">
      <alignment horizontal="center" wrapText="1"/>
    </xf>
    <xf numFmtId="0" fontId="2" fillId="0" borderId="13" xfId="0" applyFont="1" applyBorder="1"/>
    <xf numFmtId="166" fontId="1" fillId="0" borderId="3" xfId="0" applyNumberFormat="1" applyFont="1" applyBorder="1"/>
    <xf numFmtId="0" fontId="0" fillId="0" borderId="2" xfId="0" applyBorder="1" applyAlignment="1">
      <alignment horizontal="center"/>
    </xf>
    <xf numFmtId="11" fontId="0" fillId="0" borderId="1" xfId="0" applyNumberFormat="1" applyBorder="1"/>
    <xf numFmtId="11" fontId="0" fillId="0" borderId="3" xfId="0" applyNumberFormat="1" applyBorder="1"/>
    <xf numFmtId="11" fontId="0" fillId="0" borderId="0" xfId="0" applyNumberFormat="1"/>
    <xf numFmtId="0" fontId="2" fillId="0" borderId="0" xfId="0" applyFont="1" applyAlignment="1">
      <alignment horizontal="center" wrapText="1"/>
    </xf>
    <xf numFmtId="1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9" borderId="12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2" fillId="12" borderId="12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0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14" borderId="12" xfId="0" applyFont="1" applyFill="1" applyBorder="1" applyAlignment="1">
      <alignment horizontal="center" wrapText="1"/>
    </xf>
    <xf numFmtId="0" fontId="2" fillId="14" borderId="11" xfId="0" applyFont="1" applyFill="1" applyBorder="1" applyAlignment="1">
      <alignment horizontal="center" wrapText="1"/>
    </xf>
    <xf numFmtId="0" fontId="2" fillId="14" borderId="10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16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820906</xdr:colOff>
      <xdr:row>4</xdr:row>
      <xdr:rowOff>77010</xdr:rowOff>
    </xdr:from>
    <xdr:to>
      <xdr:col>18</xdr:col>
      <xdr:colOff>662021</xdr:colOff>
      <xdr:row>11</xdr:row>
      <xdr:rowOff>116055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DE1680C5-B5D3-339F-1A71-D24B98C45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7183" y="914670"/>
          <a:ext cx="6731540" cy="1511704"/>
        </a:xfrm>
        <a:prstGeom prst="rect">
          <a:avLst/>
        </a:prstGeom>
      </xdr:spPr>
    </xdr:pic>
    <xdr:clientData/>
  </xdr:twoCellAnchor>
  <xdr:twoCellAnchor editAs="oneCell">
    <xdr:from>
      <xdr:col>10</xdr:col>
      <xdr:colOff>798114</xdr:colOff>
      <xdr:row>13</xdr:row>
      <xdr:rowOff>96336</xdr:rowOff>
    </xdr:from>
    <xdr:to>
      <xdr:col>19</xdr:col>
      <xdr:colOff>0</xdr:colOff>
      <xdr:row>20</xdr:row>
      <xdr:rowOff>174061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2C4F5F02-2A3A-617F-A81B-160C77A12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7314" y="2839536"/>
          <a:ext cx="6974286" cy="1550925"/>
        </a:xfrm>
        <a:prstGeom prst="rect">
          <a:avLst/>
        </a:prstGeom>
      </xdr:spPr>
    </xdr:pic>
    <xdr:clientData/>
  </xdr:twoCellAnchor>
  <xdr:twoCellAnchor editAs="oneCell">
    <xdr:from>
      <xdr:col>10</xdr:col>
      <xdr:colOff>810637</xdr:colOff>
      <xdr:row>22</xdr:row>
      <xdr:rowOff>189148</xdr:rowOff>
    </xdr:from>
    <xdr:to>
      <xdr:col>18</xdr:col>
      <xdr:colOff>812799</xdr:colOff>
      <xdr:row>30</xdr:row>
      <xdr:rowOff>71817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18C9D219-921C-65CF-8026-F02EBBF52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49837" y="4828881"/>
          <a:ext cx="6944829" cy="160986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3D11B-137B-644F-83B0-8766A0112E6D}">
  <dimension ref="B2:BD145"/>
  <sheetViews>
    <sheetView zoomScale="90" zoomScaleNormal="32" workbookViewId="0">
      <selection activeCell="E8" sqref="E8"/>
    </sheetView>
  </sheetViews>
  <sheetFormatPr baseColWidth="10" defaultRowHeight="16" x14ac:dyDescent="0.2"/>
  <cols>
    <col min="4" max="4" width="13.5" customWidth="1"/>
    <col min="5" max="5" width="11" bestFit="1" customWidth="1"/>
    <col min="6" max="6" width="12.33203125" customWidth="1"/>
    <col min="7" max="7" width="14.33203125" bestFit="1" customWidth="1"/>
    <col min="8" max="10" width="11.83203125" bestFit="1" customWidth="1"/>
    <col min="11" max="11" width="14" bestFit="1" customWidth="1"/>
    <col min="12" max="12" width="12.5" bestFit="1" customWidth="1"/>
    <col min="13" max="13" width="12.6640625" bestFit="1" customWidth="1"/>
    <col min="14" max="14" width="11.83203125" bestFit="1" customWidth="1"/>
    <col min="15" max="15" width="13.5" customWidth="1"/>
    <col min="16" max="16" width="11.6640625" bestFit="1" customWidth="1"/>
    <col min="17" max="17" width="11.5" bestFit="1" customWidth="1"/>
    <col min="18" max="18" width="14" bestFit="1" customWidth="1"/>
    <col min="19" max="22" width="12.5" bestFit="1" customWidth="1"/>
    <col min="23" max="23" width="11.5" bestFit="1" customWidth="1"/>
    <col min="24" max="32" width="11.5" customWidth="1"/>
    <col min="33" max="43" width="11.5" bestFit="1" customWidth="1"/>
    <col min="44" max="52" width="11.5" customWidth="1"/>
    <col min="53" max="54" width="11.5" bestFit="1" customWidth="1"/>
    <col min="55" max="55" width="11.33203125" bestFit="1" customWidth="1"/>
  </cols>
  <sheetData>
    <row r="2" spans="2:56" x14ac:dyDescent="0.2">
      <c r="D2" s="145" t="s">
        <v>70</v>
      </c>
      <c r="E2" s="145"/>
      <c r="F2" s="145"/>
      <c r="G2" s="145"/>
      <c r="H2" s="145"/>
      <c r="I2" s="145"/>
      <c r="J2" s="145"/>
      <c r="K2" s="145"/>
    </row>
    <row r="3" spans="2:56" ht="17" customHeight="1" thickBot="1" x14ac:dyDescent="0.25"/>
    <row r="4" spans="2:56" ht="17" customHeight="1" thickBot="1" x14ac:dyDescent="0.25">
      <c r="B4" s="162" t="s">
        <v>56</v>
      </c>
      <c r="C4" s="163"/>
      <c r="D4" s="163"/>
      <c r="E4" s="163"/>
      <c r="F4" s="163"/>
      <c r="G4" s="163"/>
      <c r="H4" s="163"/>
      <c r="I4" s="163"/>
      <c r="J4" s="163"/>
      <c r="K4" s="164"/>
    </row>
    <row r="5" spans="2:56" ht="49" thickBot="1" x14ac:dyDescent="0.25">
      <c r="B5" s="88" t="s">
        <v>55</v>
      </c>
      <c r="C5" s="88" t="s">
        <v>54</v>
      </c>
      <c r="D5" s="88" t="s">
        <v>53</v>
      </c>
      <c r="E5" s="88" t="s">
        <v>52</v>
      </c>
      <c r="F5" s="88" t="s">
        <v>51</v>
      </c>
      <c r="G5" s="88" t="s">
        <v>50</v>
      </c>
      <c r="H5" s="50" t="s">
        <v>49</v>
      </c>
      <c r="I5" s="89" t="s">
        <v>48</v>
      </c>
      <c r="J5" s="88" t="s">
        <v>47</v>
      </c>
      <c r="K5" s="88" t="s">
        <v>47</v>
      </c>
      <c r="M5" s="146" t="s">
        <v>46</v>
      </c>
      <c r="N5" s="147"/>
      <c r="O5" s="147"/>
      <c r="P5" s="147"/>
      <c r="Q5" s="147"/>
      <c r="R5" s="148"/>
    </row>
    <row r="6" spans="2:56" ht="17" thickBot="1" x14ac:dyDescent="0.25">
      <c r="B6" s="87" t="s">
        <v>45</v>
      </c>
      <c r="C6" s="87" t="s">
        <v>44</v>
      </c>
      <c r="D6" s="87" t="s">
        <v>43</v>
      </c>
      <c r="E6" s="87" t="s">
        <v>42</v>
      </c>
      <c r="F6" s="87" t="s">
        <v>41</v>
      </c>
      <c r="G6" s="87" t="s">
        <v>40</v>
      </c>
      <c r="H6" s="87" t="s">
        <v>39</v>
      </c>
      <c r="I6" s="87"/>
      <c r="J6" s="87"/>
      <c r="K6" s="87"/>
      <c r="P6" s="82">
        <v>1</v>
      </c>
      <c r="Q6" s="82">
        <v>2</v>
      </c>
      <c r="R6" s="82">
        <v>3</v>
      </c>
    </row>
    <row r="7" spans="2:56" ht="17" thickBot="1" x14ac:dyDescent="0.25">
      <c r="B7" s="86" t="s">
        <v>38</v>
      </c>
      <c r="C7" s="74" t="s">
        <v>37</v>
      </c>
      <c r="D7" s="74" t="s">
        <v>36</v>
      </c>
      <c r="E7" s="74"/>
      <c r="F7" s="74" t="s">
        <v>35</v>
      </c>
      <c r="G7" s="74" t="s">
        <v>34</v>
      </c>
      <c r="H7" s="74" t="s">
        <v>33</v>
      </c>
      <c r="I7" s="74" t="s">
        <v>32</v>
      </c>
      <c r="J7" s="74" t="s">
        <v>31</v>
      </c>
      <c r="K7" s="74" t="s">
        <v>30</v>
      </c>
      <c r="M7" s="149" t="s">
        <v>29</v>
      </c>
      <c r="N7" s="150"/>
      <c r="O7" s="74" t="s">
        <v>28</v>
      </c>
      <c r="P7" s="85">
        <v>157.8930278</v>
      </c>
      <c r="Q7" s="69">
        <v>157.52251509999999</v>
      </c>
      <c r="R7" s="68">
        <v>156.98260089999999</v>
      </c>
    </row>
    <row r="8" spans="2:56" ht="17" thickBot="1" x14ac:dyDescent="0.25">
      <c r="B8" s="84">
        <v>1.3806490000000001E-23</v>
      </c>
      <c r="C8" s="84">
        <v>6.6260701499999998E-34</v>
      </c>
      <c r="D8" s="84">
        <v>6.0221407599999999E+23</v>
      </c>
      <c r="E8" s="84">
        <v>1</v>
      </c>
      <c r="F8" s="84">
        <v>29979245800</v>
      </c>
      <c r="G8" s="83">
        <v>8.3144626180000003</v>
      </c>
      <c r="H8" s="83">
        <v>0.239005736</v>
      </c>
      <c r="I8" s="83">
        <v>1.6605390666E-27</v>
      </c>
      <c r="J8" s="83">
        <v>16.030999999999999</v>
      </c>
      <c r="K8" s="83">
        <f>J8*I8</f>
        <v>2.6620101776664599E-26</v>
      </c>
      <c r="M8" s="82"/>
      <c r="N8" s="82"/>
      <c r="O8" s="74" t="s">
        <v>27</v>
      </c>
      <c r="P8" s="81" cm="1">
        <f t="array" ref="P8:R8">P7:R7*1000000000</f>
        <v>157893027800</v>
      </c>
      <c r="Q8" s="80">
        <v>157522515100</v>
      </c>
      <c r="R8" s="79">
        <v>156982600900</v>
      </c>
    </row>
    <row r="9" spans="2:56" ht="17" thickBot="1" x14ac:dyDescent="0.25">
      <c r="M9" s="149" t="s">
        <v>26</v>
      </c>
      <c r="N9" s="150"/>
      <c r="O9" s="74" t="s">
        <v>25</v>
      </c>
      <c r="P9" s="78" cm="1">
        <f t="array" ref="P9:R9">P8:R8/$F$8</f>
        <v>5.2667444956203671</v>
      </c>
      <c r="Q9" s="72">
        <v>5.2543855222668743</v>
      </c>
      <c r="R9" s="71">
        <v>5.2363759231061113</v>
      </c>
    </row>
    <row r="10" spans="2:56" ht="17" thickBot="1" x14ac:dyDescent="0.25">
      <c r="M10" s="151" t="s">
        <v>24</v>
      </c>
      <c r="N10" s="152"/>
      <c r="O10" s="74" t="s">
        <v>23</v>
      </c>
      <c r="P10" s="77" cm="1">
        <f t="array" ref="P10:R10">$C$8/(8*(PI())^2*$F$8*P9:R9)</f>
        <v>5.3150009206356686E-47</v>
      </c>
      <c r="Q10" s="76">
        <v>5.327502469003895E-47</v>
      </c>
      <c r="R10" s="75">
        <v>5.3458254819815083E-47</v>
      </c>
    </row>
    <row r="11" spans="2:56" ht="17" thickBot="1" x14ac:dyDescent="0.25">
      <c r="C11" s="153" t="s">
        <v>22</v>
      </c>
      <c r="D11" s="154"/>
      <c r="E11" s="154"/>
      <c r="F11" s="154"/>
      <c r="G11" s="154"/>
      <c r="H11" s="154"/>
      <c r="I11" s="154"/>
      <c r="J11" s="154"/>
      <c r="K11" s="155"/>
      <c r="M11" s="5"/>
      <c r="N11" s="30"/>
      <c r="O11" s="5"/>
      <c r="P11" s="5"/>
      <c r="R11" s="5"/>
    </row>
    <row r="12" spans="2:56" ht="17" thickBot="1" x14ac:dyDescent="0.25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M12" s="151" t="s">
        <v>21</v>
      </c>
      <c r="N12" s="152"/>
      <c r="O12" s="74" t="s">
        <v>20</v>
      </c>
      <c r="P12" s="73">
        <v>7.556</v>
      </c>
      <c r="Q12" s="72">
        <v>7.5494300000000001</v>
      </c>
      <c r="R12" s="71">
        <v>7.54392</v>
      </c>
    </row>
    <row r="13" spans="2:56" ht="17" thickBot="1" x14ac:dyDescent="0.25">
      <c r="C13" s="70">
        <v>1973.77</v>
      </c>
      <c r="D13" s="69">
        <v>1975.5</v>
      </c>
      <c r="E13" s="69">
        <v>1977.73</v>
      </c>
      <c r="F13" s="69">
        <v>2292.14</v>
      </c>
      <c r="G13" s="69">
        <v>2292.1999999999998</v>
      </c>
      <c r="H13" s="69">
        <v>4392.9399999999996</v>
      </c>
      <c r="I13" s="69">
        <v>4547.21</v>
      </c>
      <c r="J13" s="69">
        <v>4550.58</v>
      </c>
      <c r="K13" s="68">
        <v>4554.96</v>
      </c>
    </row>
    <row r="16" spans="2:56" ht="17" thickBot="1" x14ac:dyDescent="0.25"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2:56" x14ac:dyDescent="0.2">
      <c r="B17" s="54"/>
      <c r="C17" s="67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66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2:56" ht="17" thickBot="1" x14ac:dyDescent="0.25">
      <c r="B18" s="12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4"/>
      <c r="S18" s="5"/>
      <c r="T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2:56" ht="17" thickBot="1" x14ac:dyDescent="0.25">
      <c r="B19" s="12"/>
      <c r="D19" s="5"/>
      <c r="E19" s="5"/>
      <c r="F19" s="153" t="s">
        <v>19</v>
      </c>
      <c r="G19" s="154"/>
      <c r="H19" s="154"/>
      <c r="I19" s="154"/>
      <c r="J19" s="154"/>
      <c r="K19" s="154"/>
      <c r="L19" s="154"/>
      <c r="M19" s="154"/>
      <c r="N19" s="154"/>
      <c r="O19" s="154"/>
      <c r="P19" s="155"/>
      <c r="Q19" s="46"/>
      <c r="R19" s="65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5"/>
    </row>
    <row r="20" spans="2:56" x14ac:dyDescent="0.2">
      <c r="B20" s="1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4"/>
      <c r="S20" s="5"/>
      <c r="T20" s="5"/>
      <c r="V20" s="5"/>
      <c r="W20" s="5"/>
      <c r="X20" s="5"/>
      <c r="Y20" s="5"/>
      <c r="Z20" s="5" t="s">
        <v>12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2:56" ht="17" thickBot="1" x14ac:dyDescent="0.25">
      <c r="B21" s="12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37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2:56" ht="17" thickBot="1" x14ac:dyDescent="0.25">
      <c r="B22" s="12"/>
      <c r="D22" s="27" t="s">
        <v>3</v>
      </c>
      <c r="E22" s="5"/>
      <c r="F22" s="156" t="s">
        <v>18</v>
      </c>
      <c r="G22" s="157"/>
      <c r="H22" s="157"/>
      <c r="I22" s="157"/>
      <c r="J22" s="157"/>
      <c r="K22" s="157"/>
      <c r="L22" s="157"/>
      <c r="M22" s="157"/>
      <c r="N22" s="157"/>
      <c r="O22" s="25" t="s">
        <v>17</v>
      </c>
      <c r="R22" s="4"/>
      <c r="BD22" s="5"/>
    </row>
    <row r="23" spans="2:56" x14ac:dyDescent="0.2">
      <c r="B23" s="12"/>
      <c r="D23" s="5">
        <v>298.14999999999998</v>
      </c>
      <c r="E23" s="5"/>
      <c r="F23" s="29" cm="1">
        <f t="array" ref="F23:N40">EXP(-C13:K13/(2*D23:D40))/(1-EXP(-C13:K13/D23:D40))</f>
        <v>3.656388536024175E-2</v>
      </c>
      <c r="G23" s="28">
        <v>3.6457677441161067E-2</v>
      </c>
      <c r="H23" s="28">
        <v>3.6321230994918914E-2</v>
      </c>
      <c r="I23" s="28">
        <v>2.1418951618856496E-2</v>
      </c>
      <c r="J23" s="28">
        <v>2.141679456563747E-2</v>
      </c>
      <c r="K23" s="28">
        <v>6.3176309791640483E-4</v>
      </c>
      <c r="L23" s="28">
        <v>4.8774964900979344E-4</v>
      </c>
      <c r="M23" s="28">
        <v>4.8500089656616113E-4</v>
      </c>
      <c r="N23" s="28">
        <v>4.814514715143126E-4</v>
      </c>
      <c r="O23" s="63">
        <f t="shared" ref="O23:O40" si="0">PRODUCT(F23:N23)</f>
        <v>1.5980886119228089E-21</v>
      </c>
      <c r="R23" s="4"/>
      <c r="BD23" s="5"/>
    </row>
    <row r="24" spans="2:56" x14ac:dyDescent="0.2">
      <c r="B24" s="12"/>
      <c r="D24" s="5">
        <v>400</v>
      </c>
      <c r="E24" s="5"/>
      <c r="F24" s="29">
        <v>8.5435643212807402E-2</v>
      </c>
      <c r="G24" s="28">
        <v>8.5248422159261553E-2</v>
      </c>
      <c r="H24" s="28">
        <v>8.5007713156504267E-2</v>
      </c>
      <c r="I24" s="28">
        <v>5.715869370143413E-2</v>
      </c>
      <c r="J24" s="28">
        <v>5.7154379043672099E-2</v>
      </c>
      <c r="K24" s="28">
        <v>4.1230668941748027E-3</v>
      </c>
      <c r="L24" s="28">
        <v>3.3999282834409213E-3</v>
      </c>
      <c r="M24" s="28">
        <v>3.3856358810280744E-3</v>
      </c>
      <c r="N24" s="28">
        <v>3.3671497550588248E-3</v>
      </c>
      <c r="O24" s="62">
        <f t="shared" si="0"/>
        <v>3.2322757197676811E-16</v>
      </c>
      <c r="R24" s="4"/>
      <c r="BD24" s="5"/>
    </row>
    <row r="25" spans="2:56" x14ac:dyDescent="0.2">
      <c r="B25" s="12"/>
      <c r="D25" s="5">
        <v>500</v>
      </c>
      <c r="E25" s="5"/>
      <c r="F25" s="29">
        <v>0.14166655954043886</v>
      </c>
      <c r="G25" s="28">
        <v>0.14141207476988293</v>
      </c>
      <c r="H25" s="28">
        <v>0.14108476360844513</v>
      </c>
      <c r="I25" s="28">
        <v>0.10209245956550073</v>
      </c>
      <c r="J25" s="28">
        <v>0.10208620782930711</v>
      </c>
      <c r="K25" s="28">
        <v>1.2366215121497335E-2</v>
      </c>
      <c r="L25" s="28">
        <v>1.0597918097510043E-2</v>
      </c>
      <c r="M25" s="28">
        <v>1.0562255257782659E-2</v>
      </c>
      <c r="N25" s="28">
        <v>1.0516083516163356E-2</v>
      </c>
      <c r="O25" s="62">
        <f t="shared" si="0"/>
        <v>4.2880785834128045E-13</v>
      </c>
      <c r="R25" s="4"/>
      <c r="BD25" s="5"/>
    </row>
    <row r="26" spans="2:56" x14ac:dyDescent="0.2">
      <c r="B26" s="12"/>
      <c r="D26" s="5">
        <v>600</v>
      </c>
      <c r="E26" s="5"/>
      <c r="F26" s="29">
        <v>0.20052266574537672</v>
      </c>
      <c r="G26" s="28">
        <v>0.20021147253239144</v>
      </c>
      <c r="H26" s="28">
        <v>0.19981114966651642</v>
      </c>
      <c r="I26" s="28">
        <v>0.15138180723344472</v>
      </c>
      <c r="J26" s="28">
        <v>0.15137389905888413</v>
      </c>
      <c r="K26" s="28">
        <v>2.5729373832845483E-2</v>
      </c>
      <c r="L26" s="28">
        <v>2.2622047344176464E-2</v>
      </c>
      <c r="M26" s="28">
        <v>2.2558541591409582E-2</v>
      </c>
      <c r="N26" s="28">
        <v>2.2476269849675677E-2</v>
      </c>
      <c r="O26" s="62">
        <f t="shared" si="0"/>
        <v>5.4249184225959656E-11</v>
      </c>
      <c r="R26" s="4"/>
      <c r="BD26" s="5"/>
    </row>
    <row r="27" spans="2:56" x14ac:dyDescent="0.2">
      <c r="B27" s="12"/>
      <c r="D27" s="5">
        <v>700</v>
      </c>
      <c r="E27" s="5"/>
      <c r="F27" s="29">
        <v>0.25966612629671082</v>
      </c>
      <c r="G27" s="28">
        <v>0.25930486744316034</v>
      </c>
      <c r="H27" s="28">
        <v>0.25884009668432378</v>
      </c>
      <c r="I27" s="28">
        <v>0.20216478296809026</v>
      </c>
      <c r="J27" s="28">
        <v>0.20215543758349852</v>
      </c>
      <c r="K27" s="28">
        <v>4.3459278519771702E-2</v>
      </c>
      <c r="L27" s="28">
        <v>3.8910289215822062E-2</v>
      </c>
      <c r="M27" s="28">
        <v>3.8816457407838109E-2</v>
      </c>
      <c r="N27" s="28">
        <v>3.8694843997316791E-2</v>
      </c>
      <c r="O27" s="62">
        <f t="shared" si="0"/>
        <v>1.8091076955763953E-9</v>
      </c>
      <c r="R27" s="4"/>
      <c r="BD27" s="5"/>
    </row>
    <row r="28" spans="2:56" x14ac:dyDescent="0.2">
      <c r="B28" s="12"/>
      <c r="D28" s="5">
        <v>800</v>
      </c>
      <c r="E28" s="5"/>
      <c r="F28" s="29">
        <v>0.31823324815669007</v>
      </c>
      <c r="G28" s="28">
        <v>0.31782571281793226</v>
      </c>
      <c r="H28" s="28">
        <v>0.31730138362641608</v>
      </c>
      <c r="I28" s="28">
        <v>0.25311104698914794</v>
      </c>
      <c r="J28" s="28">
        <v>0.25310040871237477</v>
      </c>
      <c r="K28" s="28">
        <v>6.4476402153502796E-2</v>
      </c>
      <c r="L28" s="28">
        <v>5.8507485933197108E-2</v>
      </c>
      <c r="M28" s="28">
        <v>5.838354696902287E-2</v>
      </c>
      <c r="N28" s="28">
        <v>5.8222860635576114E-2</v>
      </c>
      <c r="O28" s="62">
        <f t="shared" si="0"/>
        <v>2.6363723122526775E-8</v>
      </c>
      <c r="R28" s="4"/>
      <c r="BD28" s="5"/>
    </row>
    <row r="29" spans="2:56" x14ac:dyDescent="0.2">
      <c r="B29" s="12"/>
      <c r="D29" s="5">
        <v>900</v>
      </c>
      <c r="E29" s="5"/>
      <c r="F29" s="29">
        <v>0.37597362207635471</v>
      </c>
      <c r="G29" s="28">
        <v>0.37552187872533022</v>
      </c>
      <c r="H29" s="28">
        <v>0.37494066253181946</v>
      </c>
      <c r="I29" s="28">
        <v>0.30366113970113057</v>
      </c>
      <c r="J29" s="28">
        <v>0.30364929746784669</v>
      </c>
      <c r="K29" s="28">
        <v>8.7781527353233038E-2</v>
      </c>
      <c r="L29" s="28">
        <v>8.0474602856102848E-2</v>
      </c>
      <c r="M29" s="28">
        <v>8.032214575885023E-2</v>
      </c>
      <c r="N29" s="28">
        <v>8.0124439158583444E-2</v>
      </c>
      <c r="O29" s="62">
        <f t="shared" si="0"/>
        <v>2.219110569154685E-7</v>
      </c>
      <c r="R29" s="4"/>
      <c r="BD29" s="5"/>
    </row>
    <row r="30" spans="2:56" x14ac:dyDescent="0.2">
      <c r="B30" s="12"/>
      <c r="D30" s="5">
        <v>1000</v>
      </c>
      <c r="E30" s="5"/>
      <c r="F30" s="29">
        <v>0.43287637861334094</v>
      </c>
      <c r="G30" s="28">
        <v>0.43238151480544312</v>
      </c>
      <c r="H30" s="28">
        <v>0.43174481761349115</v>
      </c>
      <c r="I30" s="28">
        <v>0.35361654642583878</v>
      </c>
      <c r="J30" s="28">
        <v>0.35360355326891041</v>
      </c>
      <c r="K30" s="28">
        <v>0.11258704748070435</v>
      </c>
      <c r="L30" s="28">
        <v>0.10404292477113006</v>
      </c>
      <c r="M30" s="28">
        <v>0.10386401755995406</v>
      </c>
      <c r="N30" s="28">
        <v>0.10363196992044431</v>
      </c>
      <c r="O30" s="62">
        <f t="shared" si="0"/>
        <v>1.2739934409303724E-6</v>
      </c>
      <c r="R30" s="4"/>
      <c r="BD30" s="5"/>
    </row>
    <row r="31" spans="2:56" x14ac:dyDescent="0.2">
      <c r="B31" s="12"/>
      <c r="D31" s="5">
        <v>1100</v>
      </c>
      <c r="E31" s="5"/>
      <c r="F31" s="29">
        <v>0.4890154435926593</v>
      </c>
      <c r="G31" s="28">
        <v>0.48847799690774579</v>
      </c>
      <c r="H31" s="28">
        <v>0.48778651476764157</v>
      </c>
      <c r="I31" s="28">
        <v>0.40294051010559068</v>
      </c>
      <c r="J31" s="28">
        <v>0.40292639683339976</v>
      </c>
      <c r="K31" s="28">
        <v>0.13832001576707045</v>
      </c>
      <c r="L31" s="28">
        <v>0.12863678544495358</v>
      </c>
      <c r="M31" s="28">
        <v>0.12843349126859438</v>
      </c>
      <c r="N31" s="28">
        <v>0.12816977887728892</v>
      </c>
      <c r="O31" s="62">
        <f t="shared" si="0"/>
        <v>5.5408724719939707E-6</v>
      </c>
      <c r="R31" s="4"/>
      <c r="BD31" s="5"/>
    </row>
    <row r="32" spans="2:56" x14ac:dyDescent="0.2">
      <c r="B32" s="12"/>
      <c r="D32" s="5">
        <v>1200</v>
      </c>
      <c r="E32" s="5"/>
      <c r="F32" s="29">
        <v>0.54448703870892312</v>
      </c>
      <c r="G32" s="28">
        <v>0.54390724003249558</v>
      </c>
      <c r="H32" s="28">
        <v>0.54316127283928839</v>
      </c>
      <c r="I32" s="28">
        <v>0.45166455761331803</v>
      </c>
      <c r="J32" s="28">
        <v>0.45164934149915703</v>
      </c>
      <c r="K32" s="28">
        <v>0.16458255798418142</v>
      </c>
      <c r="L32" s="28">
        <v>0.15384636343606942</v>
      </c>
      <c r="M32" s="28">
        <v>0.15362052288046835</v>
      </c>
      <c r="N32" s="28">
        <v>0.15332753518956682</v>
      </c>
      <c r="O32" s="62">
        <f t="shared" si="0"/>
        <v>1.9570368952880726E-5</v>
      </c>
      <c r="R32" s="4"/>
      <c r="BD32" s="5"/>
    </row>
    <row r="33" spans="2:56" x14ac:dyDescent="0.2">
      <c r="B33" s="12"/>
      <c r="D33" s="5">
        <v>1300</v>
      </c>
      <c r="E33" s="5"/>
      <c r="F33" s="29">
        <v>0.5993855180956108</v>
      </c>
      <c r="G33" s="28">
        <v>0.5987634284176403</v>
      </c>
      <c r="H33" s="28">
        <v>0.59796305645894343</v>
      </c>
      <c r="I33" s="28">
        <v>0.49984537699952231</v>
      </c>
      <c r="J33" s="28">
        <v>0.49982906711820468</v>
      </c>
      <c r="K33" s="28">
        <v>0.19110677336193521</v>
      </c>
      <c r="L33" s="28">
        <v>0.17938924040256771</v>
      </c>
      <c r="M33" s="28">
        <v>0.17914240161638997</v>
      </c>
      <c r="N33" s="28">
        <v>0.17882214958242074</v>
      </c>
      <c r="O33" s="62">
        <f t="shared" si="0"/>
        <v>5.8882362631666181E-5</v>
      </c>
      <c r="R33" s="4"/>
      <c r="BD33" s="5"/>
    </row>
    <row r="34" spans="2:56" x14ac:dyDescent="0.2">
      <c r="B34" s="12"/>
      <c r="D34" s="5">
        <v>1400</v>
      </c>
      <c r="E34" s="5"/>
      <c r="F34" s="29">
        <v>0.65379506166333079</v>
      </c>
      <c r="G34" s="28">
        <v>0.65313064941216759</v>
      </c>
      <c r="H34" s="28">
        <v>0.65227583322186744</v>
      </c>
      <c r="I34" s="28">
        <v>0.54754535991688147</v>
      </c>
      <c r="J34" s="28">
        <v>0.54752796039314644</v>
      </c>
      <c r="K34" s="28">
        <v>0.21771667657306476</v>
      </c>
      <c r="L34" s="28">
        <v>0.20507548309417559</v>
      </c>
      <c r="M34" s="28">
        <v>0.2048089043162033</v>
      </c>
      <c r="N34" s="28">
        <v>0.20446302306307251</v>
      </c>
      <c r="O34" s="62">
        <f t="shared" si="0"/>
        <v>1.5612355969929248E-4</v>
      </c>
      <c r="R34" s="4"/>
      <c r="BD34" s="5"/>
    </row>
    <row r="35" spans="2:56" x14ac:dyDescent="0.2">
      <c r="B35" s="12"/>
      <c r="D35" s="5">
        <v>1500</v>
      </c>
      <c r="E35" s="5"/>
      <c r="F35" s="29">
        <v>0.70778781414599445</v>
      </c>
      <c r="G35" s="28">
        <v>0.70708099920723888</v>
      </c>
      <c r="H35" s="28">
        <v>0.70617163643069192</v>
      </c>
      <c r="I35" s="28">
        <v>0.59482423845716115</v>
      </c>
      <c r="J35" s="28">
        <v>0.59480575044544459</v>
      </c>
      <c r="K35" s="28">
        <v>0.24429951743619435</v>
      </c>
      <c r="L35" s="28">
        <v>0.23078019552504184</v>
      </c>
      <c r="M35" s="28">
        <v>0.23049487787568007</v>
      </c>
      <c r="N35" s="28">
        <v>0.2301246688955117</v>
      </c>
      <c r="O35" s="62">
        <f t="shared" si="0"/>
        <v>3.7393139998483929E-4</v>
      </c>
      <c r="R35" s="4"/>
      <c r="BD35" s="5"/>
    </row>
    <row r="36" spans="2:56" x14ac:dyDescent="0.2">
      <c r="B36" s="12"/>
      <c r="D36" s="5">
        <v>1600</v>
      </c>
      <c r="E36" s="5"/>
      <c r="F36" s="29">
        <v>0.76142450479475088</v>
      </c>
      <c r="G36" s="28">
        <v>0.76067518367282461</v>
      </c>
      <c r="H36" s="28">
        <v>0.75971114158900199</v>
      </c>
      <c r="I36" s="28">
        <v>0.64173589804465903</v>
      </c>
      <c r="J36" s="28">
        <v>0.64171632094160069</v>
      </c>
      <c r="K36" s="28">
        <v>0.27078531751259199</v>
      </c>
      <c r="L36" s="28">
        <v>0.25642334699955294</v>
      </c>
      <c r="M36" s="28">
        <v>0.2561200760900324</v>
      </c>
      <c r="N36" s="28">
        <v>0.25572656105692887</v>
      </c>
      <c r="O36" s="62">
        <f t="shared" si="0"/>
        <v>8.2409285664469562E-4</v>
      </c>
      <c r="R36" s="4"/>
      <c r="BD36" s="5"/>
    </row>
    <row r="37" spans="2:56" x14ac:dyDescent="0.2">
      <c r="B37" s="12"/>
      <c r="D37" s="5">
        <v>1700</v>
      </c>
      <c r="E37" s="5"/>
      <c r="F37" s="29">
        <v>0.81475588247452158</v>
      </c>
      <c r="G37" s="28">
        <v>0.81396394265136962</v>
      </c>
      <c r="H37" s="28">
        <v>0.81294507674394167</v>
      </c>
      <c r="I37" s="28">
        <v>0.68832756365948744</v>
      </c>
      <c r="J37" s="28">
        <v>0.68830689585038662</v>
      </c>
      <c r="K37" s="28">
        <v>0.29713268675277932</v>
      </c>
      <c r="L37" s="28">
        <v>0.28195546379841663</v>
      </c>
      <c r="M37" s="28">
        <v>0.28163485026119334</v>
      </c>
      <c r="N37" s="28">
        <v>0.28121882354716043</v>
      </c>
      <c r="O37" s="62">
        <f t="shared" si="0"/>
        <v>1.6948563107422564E-3</v>
      </c>
      <c r="R37" s="4"/>
      <c r="BD37" s="5"/>
    </row>
    <row r="38" spans="2:56" x14ac:dyDescent="0.2">
      <c r="B38" s="12"/>
      <c r="D38" s="5">
        <v>1800</v>
      </c>
      <c r="E38" s="5"/>
      <c r="F38" s="29">
        <v>0.86782428444083992</v>
      </c>
      <c r="G38" s="28">
        <v>0.86698961247703843</v>
      </c>
      <c r="H38" s="28">
        <v>0.86591577692101018</v>
      </c>
      <c r="I38" s="28">
        <v>0.73464002631823133</v>
      </c>
      <c r="J38" s="28">
        <v>0.73461826563813293</v>
      </c>
      <c r="K38" s="28">
        <v>0.32331914861411709</v>
      </c>
      <c r="L38" s="28">
        <v>0.30734767783826977</v>
      </c>
      <c r="M38" s="28">
        <v>0.30701019287545689</v>
      </c>
      <c r="N38" s="28">
        <v>0.30657226765886625</v>
      </c>
      <c r="O38" s="62">
        <f t="shared" si="0"/>
        <v>3.2885517340753797E-3</v>
      </c>
      <c r="R38" s="4"/>
      <c r="BD38" s="5"/>
    </row>
    <row r="39" spans="2:56" x14ac:dyDescent="0.2">
      <c r="B39" s="12"/>
      <c r="D39" s="5">
        <v>1900</v>
      </c>
      <c r="E39" s="5"/>
      <c r="F39" s="29">
        <v>0.92066507979127377</v>
      </c>
      <c r="G39" s="28">
        <v>0.91978756577159915</v>
      </c>
      <c r="H39" s="28">
        <v>0.91865861919514802</v>
      </c>
      <c r="I39" s="28">
        <v>0.78070827756143757</v>
      </c>
      <c r="J39" s="28">
        <v>0.78068542157990117</v>
      </c>
      <c r="K39" s="28">
        <v>0.3493345995334361</v>
      </c>
      <c r="L39" s="28">
        <v>0.33258488243801337</v>
      </c>
      <c r="M39" s="28">
        <v>0.3322308873892611</v>
      </c>
      <c r="N39" s="28">
        <v>0.33177153403266979</v>
      </c>
      <c r="O39" s="62">
        <f t="shared" si="0"/>
        <v>6.0719955772334357E-3</v>
      </c>
      <c r="Q39" t="s">
        <v>12</v>
      </c>
      <c r="R39" s="4"/>
      <c r="BD39" s="5"/>
    </row>
    <row r="40" spans="2:56" ht="17" thickBot="1" x14ac:dyDescent="0.25">
      <c r="B40" s="12"/>
      <c r="D40" s="5">
        <v>2000</v>
      </c>
      <c r="E40" s="5"/>
      <c r="F40" s="61">
        <v>0.97330790847193183</v>
      </c>
      <c r="G40" s="60">
        <v>0.97238744830588852</v>
      </c>
      <c r="H40" s="60">
        <v>0.97120325677832942</v>
      </c>
      <c r="I40" s="60">
        <v>0.82656225711577791</v>
      </c>
      <c r="J40" s="60">
        <v>0.82653830331176581</v>
      </c>
      <c r="K40" s="60">
        <v>0.37517691079781806</v>
      </c>
      <c r="L40" s="60">
        <v>0.35766105556814376</v>
      </c>
      <c r="M40" s="60">
        <v>0.35729082578491489</v>
      </c>
      <c r="N40" s="60">
        <v>0.35681040283859528</v>
      </c>
      <c r="O40" s="59">
        <f t="shared" si="0"/>
        <v>1.0742501205475112E-2</v>
      </c>
      <c r="R40" s="4"/>
      <c r="BD40" s="5"/>
    </row>
    <row r="41" spans="2:56" x14ac:dyDescent="0.2">
      <c r="B41" s="12"/>
      <c r="D41" s="5"/>
      <c r="E41" s="5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5"/>
      <c r="Q41" s="5"/>
      <c r="R41" s="37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</row>
    <row r="42" spans="2:56" x14ac:dyDescent="0.2">
      <c r="B42" s="12"/>
      <c r="D42" s="5"/>
      <c r="E42" s="5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5"/>
      <c r="Q42" s="5"/>
      <c r="R42" s="37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</row>
    <row r="43" spans="2:56" ht="17" thickBot="1" x14ac:dyDescent="0.25">
      <c r="B43" s="12"/>
      <c r="D43" s="5"/>
      <c r="E43" s="5"/>
      <c r="O43" s="28"/>
      <c r="P43" s="5"/>
      <c r="Q43" s="5"/>
      <c r="R43" s="37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</row>
    <row r="44" spans="2:56" ht="17" thickBot="1" x14ac:dyDescent="0.25">
      <c r="B44" s="12"/>
      <c r="D44" s="27" t="s">
        <v>3</v>
      </c>
      <c r="E44" s="5"/>
      <c r="F44" s="158" t="s">
        <v>16</v>
      </c>
      <c r="G44" s="159"/>
      <c r="H44" s="159"/>
      <c r="I44" s="159"/>
      <c r="J44" s="159"/>
      <c r="K44" s="159"/>
      <c r="L44" s="159"/>
      <c r="M44" s="159"/>
      <c r="N44" s="159"/>
      <c r="O44" s="58" t="s">
        <v>14</v>
      </c>
      <c r="P44" s="24" t="s">
        <v>1</v>
      </c>
      <c r="Q44" s="5"/>
      <c r="R44" s="37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</row>
    <row r="45" spans="2:56" x14ac:dyDescent="0.2">
      <c r="B45" s="12"/>
      <c r="D45" s="5">
        <v>298.14999999999998</v>
      </c>
      <c r="E45" s="5"/>
      <c r="F45" s="56" cm="1">
        <f t="array" ref="F45:N62">(C13:K13^2 * EXP(C13:K13/D23:D40)) / (D23:D40^2 * (EXP(C13:K13/D23:D40) - 1)^2)</f>
        <v>5.859062587865007E-2</v>
      </c>
      <c r="G45" s="32">
        <v>5.8352899026928758E-2</v>
      </c>
      <c r="H45" s="32">
        <v>5.8047763772161753E-2</v>
      </c>
      <c r="I45" s="32">
        <v>2.7114966517212888E-2</v>
      </c>
      <c r="J45" s="32">
        <v>2.7110924698446372E-2</v>
      </c>
      <c r="K45" s="32">
        <v>8.6646180892515536E-5</v>
      </c>
      <c r="L45" s="32">
        <v>5.5336836326687618E-5</v>
      </c>
      <c r="M45" s="32">
        <v>5.4796013373350152E-5</v>
      </c>
      <c r="N45" s="32">
        <v>5.4100906801806916E-5</v>
      </c>
      <c r="O45" s="56">
        <f t="array" ref="O45">SUM(F45:N45)</f>
        <v>0.22946805983079419</v>
      </c>
      <c r="P45" s="16">
        <f t="array" ref="P45">PRODUCT(O45,$G$8,$H$8)</f>
        <v>0.45599990544674313</v>
      </c>
      <c r="R45" s="4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</row>
    <row r="46" spans="2:56" x14ac:dyDescent="0.2">
      <c r="B46" s="12"/>
      <c r="D46" s="5">
        <v>400</v>
      </c>
      <c r="E46" s="5"/>
      <c r="F46" s="6">
        <v>0.17772613302164383</v>
      </c>
      <c r="G46" s="5">
        <v>0.17725838346489614</v>
      </c>
      <c r="H46" s="5">
        <v>0.17665693302613236</v>
      </c>
      <c r="I46" s="5">
        <v>0.10728200644216651</v>
      </c>
      <c r="J46" s="5">
        <v>0.10727142630370237</v>
      </c>
      <c r="K46" s="5">
        <v>2.05036567407532E-3</v>
      </c>
      <c r="L46" s="5">
        <v>1.4938588099139378E-3</v>
      </c>
      <c r="M46" s="5">
        <v>1.4835221063633987E-3</v>
      </c>
      <c r="N46" s="5">
        <v>1.4701918698329414E-3</v>
      </c>
      <c r="O46" s="6">
        <f t="array" ref="O46">SUM(F46:N46)</f>
        <v>0.7526928207187269</v>
      </c>
      <c r="P46" s="16">
        <f t="array" ref="P46">PRODUCT(O46,$G$8,$H$8)</f>
        <v>1.4957543778915121</v>
      </c>
      <c r="R46" s="4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</row>
    <row r="47" spans="2:56" x14ac:dyDescent="0.2">
      <c r="B47" s="12"/>
      <c r="D47" s="5">
        <v>500</v>
      </c>
      <c r="E47" s="5"/>
      <c r="F47" s="6">
        <v>0.31274312582941743</v>
      </c>
      <c r="G47" s="5">
        <v>0.31216704099151671</v>
      </c>
      <c r="H47" s="5">
        <v>0.31142553823424524</v>
      </c>
      <c r="I47" s="5">
        <v>0.21904311403956817</v>
      </c>
      <c r="J47" s="5">
        <v>0.2190277544737137</v>
      </c>
      <c r="K47" s="5">
        <v>1.180440574654223E-2</v>
      </c>
      <c r="L47" s="5">
        <v>9.2894741760278041E-3</v>
      </c>
      <c r="M47" s="5">
        <v>9.2407413949054471E-3</v>
      </c>
      <c r="N47" s="5">
        <v>9.1777702013923976E-3</v>
      </c>
      <c r="O47" s="6">
        <f t="array" ref="O47">SUM(F47:N47)</f>
        <v>1.4139189650873292</v>
      </c>
      <c r="P47" s="16">
        <f t="array" ref="P47">PRODUCT(O47,$G$8,$H$8)</f>
        <v>2.8097457871243794</v>
      </c>
      <c r="R47" s="4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</row>
    <row r="48" spans="2:56" x14ac:dyDescent="0.2">
      <c r="B48" s="12"/>
      <c r="D48" s="5">
        <v>600</v>
      </c>
      <c r="E48" s="5"/>
      <c r="F48" s="6">
        <v>0.43512849599110076</v>
      </c>
      <c r="G48" s="5">
        <v>0.43453972674961405</v>
      </c>
      <c r="H48" s="5">
        <v>0.43378141314348162</v>
      </c>
      <c r="I48" s="5">
        <v>0.33444688140457601</v>
      </c>
      <c r="J48" s="5">
        <v>0.3344294469941908</v>
      </c>
      <c r="K48" s="5">
        <v>3.5486770392165606E-2</v>
      </c>
      <c r="L48" s="5">
        <v>2.9393502266865369E-2</v>
      </c>
      <c r="M48" s="5">
        <v>2.9272043706187377E-2</v>
      </c>
      <c r="N48" s="5">
        <v>2.91148870368345E-2</v>
      </c>
      <c r="O48" s="6">
        <f t="array" ref="O48">SUM(F48:N48)</f>
        <v>2.0955931676850161</v>
      </c>
      <c r="P48" s="16">
        <f t="array" ref="P48">PRODUCT(O48,$G$8,$H$8)</f>
        <v>4.1643716647268656</v>
      </c>
      <c r="R48" s="4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</row>
    <row r="49" spans="2:56" x14ac:dyDescent="0.2">
      <c r="B49" s="12"/>
      <c r="D49" s="5">
        <v>700</v>
      </c>
      <c r="E49" s="5"/>
      <c r="F49" s="6">
        <v>0.53607753225110966</v>
      </c>
      <c r="G49" s="5">
        <v>0.53552447742401865</v>
      </c>
      <c r="H49" s="5">
        <v>0.53481185976936385</v>
      </c>
      <c r="I49" s="5">
        <v>0.43822505874381312</v>
      </c>
      <c r="J49" s="5">
        <v>0.43820748489530742</v>
      </c>
      <c r="K49" s="5">
        <v>7.4383992926722584E-2</v>
      </c>
      <c r="L49" s="5">
        <v>6.3888524813079953E-2</v>
      </c>
      <c r="M49" s="5">
        <v>6.3675039233482555E-2</v>
      </c>
      <c r="N49" s="5">
        <v>6.3398539782568972E-2</v>
      </c>
      <c r="O49" s="6">
        <f t="array" ref="O49">SUM(F49:N49)</f>
        <v>2.7481925098394671</v>
      </c>
      <c r="P49" s="16">
        <f t="array" ref="P49">PRODUCT(O49,$G$8,$H$8)</f>
        <v>5.4612198558715095</v>
      </c>
      <c r="R49" s="4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</row>
    <row r="50" spans="2:56" x14ac:dyDescent="0.2">
      <c r="B50" s="12"/>
      <c r="D50" s="5">
        <v>800</v>
      </c>
      <c r="E50" s="5"/>
      <c r="F50" s="6">
        <v>0.6164590272106637</v>
      </c>
      <c r="G50" s="5">
        <v>0.61595949386105253</v>
      </c>
      <c r="H50" s="5">
        <v>0.61531564915041492</v>
      </c>
      <c r="I50" s="5">
        <v>0.52592583691587813</v>
      </c>
      <c r="J50" s="5">
        <v>0.52590916018640066</v>
      </c>
      <c r="K50" s="5">
        <v>0.12535225759966243</v>
      </c>
      <c r="L50" s="5">
        <v>0.11059434540408862</v>
      </c>
      <c r="M50" s="5">
        <v>0.11028958071987618</v>
      </c>
      <c r="N50" s="5">
        <v>0.10989457157357815</v>
      </c>
      <c r="O50" s="6">
        <f t="array" ref="O50">SUM(F50:N50)</f>
        <v>3.3556999226216151</v>
      </c>
      <c r="P50" s="16">
        <f t="array" ref="P50">PRODUCT(O50,$G$8,$H$8)</f>
        <v>6.6684611729904457</v>
      </c>
      <c r="R50" s="4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</row>
    <row r="51" spans="2:56" x14ac:dyDescent="0.2">
      <c r="B51" s="12"/>
      <c r="D51" s="5">
        <v>900</v>
      </c>
      <c r="E51" s="5"/>
      <c r="F51" s="6">
        <v>0.67986521490675944</v>
      </c>
      <c r="G51" s="5">
        <v>0.67942189640898809</v>
      </c>
      <c r="H51" s="5">
        <v>0.67885038519588858</v>
      </c>
      <c r="I51" s="5">
        <v>0.59810260869604936</v>
      </c>
      <c r="J51" s="5">
        <v>0.59808727010106189</v>
      </c>
      <c r="K51" s="5">
        <v>0.18358271589311945</v>
      </c>
      <c r="L51" s="5">
        <v>0.16531896893354425</v>
      </c>
      <c r="M51" s="5">
        <v>0.16493738029272384</v>
      </c>
      <c r="N51" s="5">
        <v>0.16444251920787678</v>
      </c>
      <c r="O51" s="6">
        <f t="array" ref="O51">SUM(F51:N51)</f>
        <v>3.9126089596360116</v>
      </c>
      <c r="P51" s="16">
        <f t="array" ref="P51">PRODUCT(O51,$G$8,$H$8)</f>
        <v>7.7751531823631685</v>
      </c>
      <c r="R51" s="4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 spans="2:56" x14ac:dyDescent="0.2">
      <c r="B52" s="12"/>
      <c r="D52" s="5">
        <v>1000</v>
      </c>
      <c r="E52" s="5"/>
      <c r="F52" s="6">
        <v>0.72999664269551801</v>
      </c>
      <c r="G52" s="5">
        <v>0.72960584649899518</v>
      </c>
      <c r="H52" s="5">
        <v>0.72910196596651933</v>
      </c>
      <c r="I52" s="5">
        <v>0.65697287189678322</v>
      </c>
      <c r="J52" s="5">
        <v>0.65695898594954971</v>
      </c>
      <c r="K52" s="5">
        <v>0.24461743254135476</v>
      </c>
      <c r="L52" s="5">
        <v>0.22382836747017965</v>
      </c>
      <c r="M52" s="5">
        <v>0.22339000739963844</v>
      </c>
      <c r="N52" s="5">
        <v>0.2228212685156222</v>
      </c>
      <c r="O52" s="6">
        <f t="array" ref="O52">SUM(F52:N52)</f>
        <v>4.4172933889341603</v>
      </c>
      <c r="P52" s="16">
        <f t="array" ref="P52">PRODUCT(O52,$G$8,$H$8)</f>
        <v>8.7780642289380051</v>
      </c>
      <c r="R52" s="4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</row>
    <row r="53" spans="2:56" x14ac:dyDescent="0.2">
      <c r="B53" s="12"/>
      <c r="D53" s="5">
        <v>1100</v>
      </c>
      <c r="E53" s="5"/>
      <c r="F53" s="6">
        <v>0.76993288014356309</v>
      </c>
      <c r="G53" s="5">
        <v>0.76958874885736073</v>
      </c>
      <c r="H53" s="5">
        <v>0.76914498356973848</v>
      </c>
      <c r="I53" s="5">
        <v>0.70498320957605465</v>
      </c>
      <c r="J53" s="5">
        <v>0.70497073114333775</v>
      </c>
      <c r="K53" s="5">
        <v>0.30513725316336188</v>
      </c>
      <c r="L53" s="5">
        <v>0.28277109259714411</v>
      </c>
      <c r="M53" s="5">
        <v>0.28229599312473164</v>
      </c>
      <c r="N53" s="5">
        <v>0.2816793661678868</v>
      </c>
      <c r="O53" s="6">
        <f t="array" ref="O53">SUM(F53:N53)</f>
        <v>4.8705042583431792</v>
      </c>
      <c r="P53" s="16">
        <f t="array" ref="P53">PRODUCT(O53,$G$8,$H$8)</f>
        <v>9.6786867981545655</v>
      </c>
      <c r="R53" s="4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</row>
    <row r="54" spans="2:56" x14ac:dyDescent="0.2">
      <c r="B54" s="12"/>
      <c r="D54" s="5">
        <v>1200</v>
      </c>
      <c r="E54" s="5"/>
      <c r="F54" s="6">
        <v>0.80205783812192966</v>
      </c>
      <c r="G54" s="5">
        <v>0.80175422197558133</v>
      </c>
      <c r="H54" s="5">
        <v>0.80136266557511104</v>
      </c>
      <c r="I54" s="5">
        <v>0.74430650251234631</v>
      </c>
      <c r="J54" s="5">
        <v>0.74429531794801507</v>
      </c>
      <c r="K54" s="5">
        <v>0.36300755769833692</v>
      </c>
      <c r="L54" s="5">
        <v>0.33986152403749048</v>
      </c>
      <c r="M54" s="5">
        <v>0.3393669094158126</v>
      </c>
      <c r="N54" s="5">
        <v>0.33872476599689033</v>
      </c>
      <c r="O54" s="6">
        <f t="array" ref="O54">SUM(F54:N54)</f>
        <v>5.2747373032815137</v>
      </c>
      <c r="P54" s="16">
        <f t="array" ref="P54">PRODUCT(O54,$G$8,$H$8)</f>
        <v>10.481980426061872</v>
      </c>
      <c r="R54" s="4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</row>
    <row r="55" spans="2:56" x14ac:dyDescent="0.2">
      <c r="B55" s="12"/>
      <c r="D55" s="5">
        <v>1300</v>
      </c>
      <c r="E55" s="5"/>
      <c r="F55" s="6">
        <v>0.82816881710186063</v>
      </c>
      <c r="G55" s="5">
        <v>0.82790002604881663</v>
      </c>
      <c r="H55" s="5">
        <v>0.82755335615293513</v>
      </c>
      <c r="I55" s="5">
        <v>0.77672437623428459</v>
      </c>
      <c r="J55" s="5">
        <v>0.77671434984879506</v>
      </c>
      <c r="K55" s="5">
        <v>0.41703835462063138</v>
      </c>
      <c r="L55" s="5">
        <v>0.39372781786169825</v>
      </c>
      <c r="M55" s="5">
        <v>0.39322723286968769</v>
      </c>
      <c r="N55" s="5">
        <v>0.39257718149344828</v>
      </c>
      <c r="O55" s="6">
        <f t="array" ref="O55">SUM(F55:N55)</f>
        <v>5.6336315122321574</v>
      </c>
      <c r="P55" s="16">
        <f t="array" ref="P55">PRODUCT(O55,$G$8,$H$8)</f>
        <v>11.195176526066177</v>
      </c>
      <c r="R55" s="4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</row>
    <row r="56" spans="2:56" x14ac:dyDescent="0.2">
      <c r="B56" s="12"/>
      <c r="D56" s="5">
        <v>1400</v>
      </c>
      <c r="E56" s="5"/>
      <c r="F56" s="6">
        <v>0.84961131530988776</v>
      </c>
      <c r="G56" s="5">
        <v>0.84937236224924406</v>
      </c>
      <c r="H56" s="5">
        <v>0.84906415736487539</v>
      </c>
      <c r="I56" s="5">
        <v>0.80364901121174181</v>
      </c>
      <c r="J56" s="5">
        <v>0.8036400075720489</v>
      </c>
      <c r="K56" s="5">
        <v>0.46670006812287496</v>
      </c>
      <c r="L56" s="5">
        <v>0.44367140387989756</v>
      </c>
      <c r="M56" s="5">
        <v>0.44317484810699109</v>
      </c>
      <c r="N56" s="5">
        <v>0.4425298994912199</v>
      </c>
      <c r="O56" s="6">
        <f t="array" ref="O56">SUM(F56:N56)</f>
        <v>5.9514130733087809</v>
      </c>
      <c r="P56" s="16">
        <f t="array" ref="P56">PRODUCT(O56,$G$8,$H$8)</f>
        <v>11.826673397179794</v>
      </c>
      <c r="R56" s="4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</row>
    <row r="57" spans="2:56" x14ac:dyDescent="0.2">
      <c r="B57" s="12"/>
      <c r="D57" s="5">
        <v>1500</v>
      </c>
      <c r="E57" s="5"/>
      <c r="F57" s="6">
        <v>0.86739463510180992</v>
      </c>
      <c r="G57" s="5">
        <v>0.86718125955958547</v>
      </c>
      <c r="H57" s="5">
        <v>0.86690603168282043</v>
      </c>
      <c r="I57" s="5">
        <v>0.82618456389783657</v>
      </c>
      <c r="J57" s="5">
        <v>0.82617645760623715</v>
      </c>
      <c r="K57" s="5">
        <v>0.51188598994617129</v>
      </c>
      <c r="L57" s="5">
        <v>0.48944576884305624</v>
      </c>
      <c r="M57" s="5">
        <v>0.48896024143914679</v>
      </c>
      <c r="N57" s="5">
        <v>0.48832951055122698</v>
      </c>
      <c r="O57" s="6">
        <f t="array" ref="O57">SUM(F57:N57)</f>
        <v>6.2324644586278906</v>
      </c>
      <c r="P57" s="16">
        <f t="array" ref="P57">PRODUCT(O57,$G$8,$H$8)</f>
        <v>12.385179906650841</v>
      </c>
      <c r="R57" s="4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</row>
    <row r="58" spans="2:56" x14ac:dyDescent="0.2">
      <c r="B58" s="12"/>
      <c r="D58" s="5">
        <v>1600</v>
      </c>
      <c r="E58" s="5"/>
      <c r="F58" s="6">
        <v>0.88228078543842825</v>
      </c>
      <c r="G58" s="5">
        <v>0.88208939097070405</v>
      </c>
      <c r="H58" s="5">
        <v>0.88184250615511206</v>
      </c>
      <c r="I58" s="5">
        <v>0.84519123142357377</v>
      </c>
      <c r="J58" s="5">
        <v>0.84518391061856191</v>
      </c>
      <c r="K58" s="5">
        <v>0.55273988348109682</v>
      </c>
      <c r="L58" s="5">
        <v>0.53108640769380744</v>
      </c>
      <c r="M58" s="5">
        <v>0.53061654385203605</v>
      </c>
      <c r="N58" s="5">
        <v>0.53000607369203645</v>
      </c>
      <c r="O58" s="6">
        <f t="array" ref="O58">SUM(F58:N58)</f>
        <v>6.4810367333253582</v>
      </c>
      <c r="P58" s="16">
        <f t="array" ref="P58">PRODUCT(O58,$G$8,$H$8)</f>
        <v>12.879143789216061</v>
      </c>
      <c r="R58" s="4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</row>
    <row r="59" spans="2:56" x14ac:dyDescent="0.2">
      <c r="B59" s="12"/>
      <c r="D59" s="5">
        <v>1700</v>
      </c>
      <c r="E59" s="5"/>
      <c r="F59" s="6">
        <v>0.89485002400608404</v>
      </c>
      <c r="G59" s="5">
        <v>0.89467758905423933</v>
      </c>
      <c r="H59" s="5">
        <v>0.89445515326342828</v>
      </c>
      <c r="I59" s="5">
        <v>0.86134028421837083</v>
      </c>
      <c r="J59" s="5">
        <v>0.86133365105154092</v>
      </c>
      <c r="K59" s="5">
        <v>0.58954038454544988</v>
      </c>
      <c r="L59" s="5">
        <v>0.568791646606565</v>
      </c>
      <c r="M59" s="5">
        <v>0.56834030221654241</v>
      </c>
      <c r="N59" s="5">
        <v>0.56775382191603729</v>
      </c>
      <c r="O59" s="6">
        <f t="array" ref="O59">SUM(F59:N59)</f>
        <v>6.7010828568782586</v>
      </c>
      <c r="P59" s="16">
        <f t="array" ref="P59">PRODUCT(O59,$G$8,$H$8)</f>
        <v>13.31642038277786</v>
      </c>
      <c r="R59" s="4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</row>
    <row r="60" spans="2:56" x14ac:dyDescent="0.2">
      <c r="B60" s="12"/>
      <c r="D60" s="5">
        <v>1800</v>
      </c>
      <c r="E60" s="5"/>
      <c r="F60" s="6">
        <v>0.90554841541657416</v>
      </c>
      <c r="G60" s="5">
        <v>0.90539240316202207</v>
      </c>
      <c r="H60" s="5">
        <v>0.90519114653391308</v>
      </c>
      <c r="I60" s="5">
        <v>0.87515795275140029</v>
      </c>
      <c r="J60" s="5">
        <v>0.87515192250620299</v>
      </c>
      <c r="K60" s="5">
        <v>0.62262762539028316</v>
      </c>
      <c r="L60" s="5">
        <v>0.60284391943518856</v>
      </c>
      <c r="M60" s="5">
        <v>0.60241265452697945</v>
      </c>
      <c r="N60" s="5">
        <v>0.60185220692161434</v>
      </c>
      <c r="O60" s="6">
        <f t="array" ref="O60">SUM(F60:N60)</f>
        <v>6.8961782466441779</v>
      </c>
      <c r="P60" s="16">
        <f t="array" ref="P60">PRODUCT(O60,$G$8,$H$8)</f>
        <v>13.70411477193143</v>
      </c>
      <c r="Q60" s="12"/>
      <c r="R60" s="4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</row>
    <row r="61" spans="2:56" x14ac:dyDescent="0.2">
      <c r="B61" s="12"/>
      <c r="D61" s="5">
        <v>1900</v>
      </c>
      <c r="E61" s="5"/>
      <c r="F61" s="6">
        <v>0.91472221690843869</v>
      </c>
      <c r="G61" s="5">
        <v>0.91458049399214603</v>
      </c>
      <c r="H61" s="5">
        <v>0.91439766634945707</v>
      </c>
      <c r="I61" s="5">
        <v>0.88705928552426883</v>
      </c>
      <c r="J61" s="5">
        <v>0.88705378521306688</v>
      </c>
      <c r="K61" s="5">
        <v>0.65235883041749021</v>
      </c>
      <c r="L61" s="5">
        <v>0.63356011639403065</v>
      </c>
      <c r="M61" s="5">
        <v>0.63314957250434412</v>
      </c>
      <c r="N61" s="5">
        <v>0.63261600440506383</v>
      </c>
      <c r="O61" s="6">
        <f t="array" ref="O61">SUM(F61:N61)</f>
        <v>7.0694979717083051</v>
      </c>
      <c r="P61" s="16">
        <f t="array" ref="P61">PRODUCT(O61,$G$8,$H$8)</f>
        <v>14.048536467480586</v>
      </c>
      <c r="R61" s="4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</row>
    <row r="62" spans="2:56" ht="17" thickBot="1" x14ac:dyDescent="0.25">
      <c r="B62" s="12"/>
      <c r="D62" s="5">
        <v>2000</v>
      </c>
      <c r="E62" s="5"/>
      <c r="F62" s="3">
        <v>0.92264280730658332</v>
      </c>
      <c r="G62" s="2">
        <v>0.92251357425560521</v>
      </c>
      <c r="H62" s="2">
        <v>0.92234685559690965</v>
      </c>
      <c r="I62" s="2">
        <v>0.89737389111484089</v>
      </c>
      <c r="J62" s="2">
        <v>0.89736885796157695</v>
      </c>
      <c r="K62" s="2">
        <v>0.67908284282345066</v>
      </c>
      <c r="L62" s="2">
        <v>0.66126165424951489</v>
      </c>
      <c r="M62" s="2">
        <v>0.66087183868915755</v>
      </c>
      <c r="N62" s="2">
        <v>0.66036517044408294</v>
      </c>
      <c r="O62" s="3">
        <f t="array" ref="O62">SUM(F62:N62)</f>
        <v>7.2238274924417212</v>
      </c>
      <c r="P62" s="10">
        <f t="array" ref="P62">PRODUCT(O62,$G$8,$H$8)</f>
        <v>14.355220748133728</v>
      </c>
      <c r="R62" s="4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</row>
    <row r="63" spans="2:56" x14ac:dyDescent="0.2">
      <c r="B63" s="12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R63" s="4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</row>
    <row r="64" spans="2:56" x14ac:dyDescent="0.2">
      <c r="B64" s="12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R64" s="4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</row>
    <row r="65" spans="2:56" ht="17" thickBot="1" x14ac:dyDescent="0.25">
      <c r="B65" s="12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R65" s="4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</row>
    <row r="66" spans="2:56" ht="17" thickBot="1" x14ac:dyDescent="0.25">
      <c r="B66" s="12"/>
      <c r="D66" s="27" t="s">
        <v>3</v>
      </c>
      <c r="E66" s="5"/>
      <c r="F66" s="160" t="s">
        <v>15</v>
      </c>
      <c r="G66" s="161"/>
      <c r="H66" s="161"/>
      <c r="I66" s="161"/>
      <c r="J66" s="161"/>
      <c r="K66" s="161"/>
      <c r="L66" s="161"/>
      <c r="M66" s="161"/>
      <c r="N66" s="161"/>
      <c r="O66" s="57" t="s">
        <v>14</v>
      </c>
      <c r="P66" s="23" t="s">
        <v>13</v>
      </c>
      <c r="R66" s="4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</row>
    <row r="67" spans="2:56" x14ac:dyDescent="0.2">
      <c r="B67" s="12"/>
      <c r="D67" s="5">
        <v>298.14999999999998</v>
      </c>
      <c r="E67" s="5"/>
      <c r="F67" s="56" cm="1">
        <f t="array" ref="F67:N84">(C13:K13/D23:D40) / (EXP(C13:K13/D23:D40) - 1)-LN(1 - EXP(-C13:K13/D23:D40))</f>
        <v>1.0172915293186339E-2</v>
      </c>
      <c r="G67" s="32">
        <v>1.0121687568374241E-2</v>
      </c>
      <c r="H67" s="32">
        <v>1.0056026554267837E-2</v>
      </c>
      <c r="I67" s="32">
        <v>3.9838174715935903E-3</v>
      </c>
      <c r="J67" s="32">
        <v>3.9831077612605256E-3</v>
      </c>
      <c r="K67" s="32">
        <v>6.2798212461658217E-6</v>
      </c>
      <c r="L67" s="32">
        <v>3.8662066247118328E-6</v>
      </c>
      <c r="M67" s="32">
        <v>3.825411552919219E-6</v>
      </c>
      <c r="N67" s="32">
        <v>3.7730299664883232E-6</v>
      </c>
      <c r="O67" s="55">
        <f t="array" ref="O67">SUM(F67:N67)</f>
        <v>3.8335299118072819E-2</v>
      </c>
      <c r="P67" s="42">
        <f t="array" ref="P67">PRODUCT(O67,$G$8,$H$8)</f>
        <v>7.6180069618420679E-2</v>
      </c>
      <c r="R67" s="4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</row>
    <row r="68" spans="2:56" x14ac:dyDescent="0.2">
      <c r="B68" s="12"/>
      <c r="D68" s="5">
        <v>400</v>
      </c>
      <c r="E68" s="5"/>
      <c r="F68" s="6">
        <v>4.2979067878734935E-2</v>
      </c>
      <c r="G68" s="5">
        <v>4.2823564942708364E-2</v>
      </c>
      <c r="H68" s="5">
        <v>4.2623922910824216E-2</v>
      </c>
      <c r="I68" s="5">
        <v>2.1912170545680232E-2</v>
      </c>
      <c r="J68" s="5">
        <v>2.1909362462955349E-2</v>
      </c>
      <c r="K68" s="5">
        <v>2.0369251586397675E-4</v>
      </c>
      <c r="L68" s="5">
        <v>1.4296661810157108E-4</v>
      </c>
      <c r="M68" s="5">
        <v>1.4186374157305507E-4</v>
      </c>
      <c r="N68" s="5">
        <v>1.4044293712497973E-4</v>
      </c>
      <c r="O68" s="43">
        <f t="array" ref="O68">SUM(F68:N68)</f>
        <v>0.17287705455356667</v>
      </c>
      <c r="P68" s="42">
        <f t="array" ref="P68">PRODUCT(O68,$G$8,$H$8)</f>
        <v>0.34354201882591923</v>
      </c>
      <c r="R68" s="4"/>
      <c r="T68" t="s">
        <v>12</v>
      </c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</row>
    <row r="69" spans="2:56" x14ac:dyDescent="0.2">
      <c r="B69" s="12"/>
      <c r="D69" s="5">
        <v>500</v>
      </c>
      <c r="E69" s="5"/>
      <c r="F69" s="6">
        <v>9.7186452582427779E-2</v>
      </c>
      <c r="G69" s="5">
        <v>9.6912707158054626E-2</v>
      </c>
      <c r="H69" s="5">
        <v>9.6560941270992906E-2</v>
      </c>
      <c r="I69" s="5">
        <v>5.755704573617984E-2</v>
      </c>
      <c r="J69" s="5">
        <v>5.755131224954757E-2</v>
      </c>
      <c r="K69" s="5">
        <v>1.4962483663542173E-3</v>
      </c>
      <c r="L69" s="5">
        <v>1.1336299276933229E-3</v>
      </c>
      <c r="M69" s="5">
        <v>1.1267659847689761E-3</v>
      </c>
      <c r="N69" s="5">
        <v>1.1179062324379837E-3</v>
      </c>
      <c r="O69" s="43">
        <f t="array" ref="O69">SUM(F69:N69)</f>
        <v>0.41064300950845717</v>
      </c>
      <c r="P69" s="42">
        <f t="array" ref="P69">PRODUCT(O69,$G$8,$H$8)</f>
        <v>0.81603153679121965</v>
      </c>
      <c r="R69" s="4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</row>
    <row r="70" spans="2:56" x14ac:dyDescent="0.2">
      <c r="B70" s="12"/>
      <c r="D70" s="5">
        <v>600</v>
      </c>
      <c r="E70" s="5"/>
      <c r="F70" s="6">
        <v>0.16532407471864349</v>
      </c>
      <c r="G70" s="5">
        <v>0.16494311161679762</v>
      </c>
      <c r="H70" s="5">
        <v>0.1644532953385949</v>
      </c>
      <c r="I70" s="5">
        <v>0.10779350242660471</v>
      </c>
      <c r="J70" s="5">
        <v>0.10778474815015386</v>
      </c>
      <c r="K70" s="5">
        <v>5.5050219739732325E-3</v>
      </c>
      <c r="L70" s="5">
        <v>4.3878262810027688E-3</v>
      </c>
      <c r="M70" s="5">
        <v>4.3660954337762844E-3</v>
      </c>
      <c r="N70" s="5">
        <v>4.3380098608776351E-3</v>
      </c>
      <c r="O70" s="43">
        <f t="array" ref="O70">SUM(F70:N70)</f>
        <v>0.72889568580042441</v>
      </c>
      <c r="P70" s="42">
        <f t="array" ref="P70">PRODUCT(O70,$G$8,$H$8)</f>
        <v>1.4484646100665215</v>
      </c>
      <c r="R70" s="4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</row>
    <row r="71" spans="2:56" x14ac:dyDescent="0.2">
      <c r="B71" s="12"/>
      <c r="D71" s="5">
        <v>700</v>
      </c>
      <c r="E71" s="5"/>
      <c r="F71" s="6">
        <v>0.24026163927818592</v>
      </c>
      <c r="G71" s="5">
        <v>0.23979221792170255</v>
      </c>
      <c r="H71" s="5">
        <v>0.23918844569832992</v>
      </c>
      <c r="I71" s="5">
        <v>0.16733725194876178</v>
      </c>
      <c r="J71" s="5">
        <v>0.16732578116940799</v>
      </c>
      <c r="K71" s="5">
        <v>1.3713913485222771E-2</v>
      </c>
      <c r="L71" s="5">
        <v>1.1330772889724155E-2</v>
      </c>
      <c r="M71" s="5">
        <v>1.1283520869750052E-2</v>
      </c>
      <c r="N71" s="5">
        <v>1.1222395256637993E-2</v>
      </c>
      <c r="O71" s="43">
        <f t="array" ref="O71">SUM(F71:N71)</f>
        <v>1.1014559385177232</v>
      </c>
      <c r="P71" s="42">
        <f t="array" ref="P71">PRODUCT(O71,$G$8,$H$8)</f>
        <v>2.1888179304265534</v>
      </c>
      <c r="R71" s="4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</row>
    <row r="72" spans="2:56" x14ac:dyDescent="0.2">
      <c r="B72" s="12"/>
      <c r="D72" s="5">
        <v>800</v>
      </c>
      <c r="E72" s="5"/>
      <c r="F72" s="6">
        <v>0.3173026892334993</v>
      </c>
      <c r="G72" s="5">
        <v>0.3167628212852609</v>
      </c>
      <c r="H72" s="5">
        <v>0.31606826415002132</v>
      </c>
      <c r="I72" s="5">
        <v>0.23176066962760156</v>
      </c>
      <c r="J72" s="5">
        <v>0.23174690317488816</v>
      </c>
      <c r="K72" s="5">
        <v>2.6865348278943244E-2</v>
      </c>
      <c r="L72" s="5">
        <v>2.279662025420998E-2</v>
      </c>
      <c r="M72" s="5">
        <v>2.2714800539740034E-2</v>
      </c>
      <c r="N72" s="5">
        <v>2.2608886334035631E-2</v>
      </c>
      <c r="O72" s="43">
        <f t="array" ref="O72">SUM(F72:N72)</f>
        <v>1.5086270028782001</v>
      </c>
      <c r="P72" s="42">
        <f t="array" ref="P72">PRODUCT(O72,$G$8,$H$8)</f>
        <v>2.9979500030380408</v>
      </c>
      <c r="R72" s="4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</row>
    <row r="73" spans="2:56" x14ac:dyDescent="0.2">
      <c r="B73" s="12"/>
      <c r="D73" s="5">
        <v>900</v>
      </c>
      <c r="E73" s="5"/>
      <c r="F73" s="6">
        <v>0.39371951977500996</v>
      </c>
      <c r="G73" s="5">
        <v>0.39312407631888352</v>
      </c>
      <c r="H73" s="5">
        <v>0.3923578806317326</v>
      </c>
      <c r="I73" s="5">
        <v>0.29801566780226596</v>
      </c>
      <c r="J73" s="5">
        <v>0.29800001202788284</v>
      </c>
      <c r="K73" s="5">
        <v>4.4943950593547277E-2</v>
      </c>
      <c r="L73" s="5">
        <v>3.8925457776811639E-2</v>
      </c>
      <c r="M73" s="5">
        <v>3.8803124364378959E-2</v>
      </c>
      <c r="N73" s="5">
        <v>3.8644684170932295E-2</v>
      </c>
      <c r="O73" s="43">
        <f t="array" ref="O73">SUM(F73:N73)</f>
        <v>1.9365343734614449</v>
      </c>
      <c r="P73" s="42">
        <f t="array" ref="P73">PRODUCT(O73,$G$8,$H$8)</f>
        <v>3.8482893516593975</v>
      </c>
      <c r="R73" s="4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</row>
    <row r="74" spans="2:56" x14ac:dyDescent="0.2">
      <c r="B74" s="12"/>
      <c r="D74" s="5">
        <v>1000</v>
      </c>
      <c r="E74" s="5"/>
      <c r="F74" s="6">
        <v>0.46804691749027372</v>
      </c>
      <c r="G74" s="5">
        <v>0.46740753031403892</v>
      </c>
      <c r="H74" s="5">
        <v>0.46658467937050851</v>
      </c>
      <c r="I74" s="5">
        <v>0.36418478299477608</v>
      </c>
      <c r="J74" s="5">
        <v>0.364167586209311</v>
      </c>
      <c r="K74" s="5">
        <v>6.7437119985984909E-2</v>
      </c>
      <c r="L74" s="5">
        <v>5.9354898831008453E-2</v>
      </c>
      <c r="M74" s="5">
        <v>5.918924037999887E-2</v>
      </c>
      <c r="N74" s="5">
        <v>5.8974601257605154E-2</v>
      </c>
      <c r="O74" s="43">
        <f t="array" ref="O74">SUM(F74:N74)</f>
        <v>2.375347356833506</v>
      </c>
      <c r="P74" s="42">
        <f t="array" ref="P74">PRODUCT(O74,$G$8,$H$8)</f>
        <v>4.720300380444896</v>
      </c>
      <c r="R74" s="4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</row>
    <row r="75" spans="2:56" x14ac:dyDescent="0.2">
      <c r="B75" s="12"/>
      <c r="D75" s="5">
        <v>1100</v>
      </c>
      <c r="E75" s="5"/>
      <c r="F75" s="6">
        <v>0.53956652958815321</v>
      </c>
      <c r="G75" s="5">
        <v>0.53889213338086639</v>
      </c>
      <c r="H75" s="5">
        <v>0.53802414015859057</v>
      </c>
      <c r="I75" s="5">
        <v>0.42912966470912084</v>
      </c>
      <c r="J75" s="5">
        <v>0.42911121118332379</v>
      </c>
      <c r="K75" s="5">
        <v>9.3604044970024253E-2</v>
      </c>
      <c r="L75" s="5">
        <v>8.3459426672541415E-2</v>
      </c>
      <c r="M75" s="5">
        <v>8.3250114736354325E-2</v>
      </c>
      <c r="N75" s="5">
        <v>8.2978828026663828E-2</v>
      </c>
      <c r="O75" s="43">
        <f t="array" ref="O75">SUM(F75:N75)</f>
        <v>2.8180160934256384</v>
      </c>
      <c r="P75" s="42">
        <f t="array" ref="P75">PRODUCT(O75,$G$8,$H$8)</f>
        <v>5.5999735784450335</v>
      </c>
      <c r="R75" s="4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</row>
    <row r="76" spans="2:56" x14ac:dyDescent="0.2">
      <c r="B76" s="12"/>
      <c r="D76" s="5">
        <v>1200</v>
      </c>
      <c r="E76" s="5"/>
      <c r="F76" s="6">
        <v>0.60798624433964288</v>
      </c>
      <c r="G76" s="5">
        <v>0.60728368534638355</v>
      </c>
      <c r="H76" s="5">
        <v>0.60637937386387097</v>
      </c>
      <c r="I76" s="5">
        <v>0.49221321479316871</v>
      </c>
      <c r="J76" s="5">
        <v>0.49219373192120963</v>
      </c>
      <c r="K76" s="5">
        <v>0.12266020599190182</v>
      </c>
      <c r="L76" s="5">
        <v>0.11053091617770133</v>
      </c>
      <c r="M76" s="5">
        <v>0.11027931662825979</v>
      </c>
      <c r="N76" s="5">
        <v>0.10995313700208191</v>
      </c>
      <c r="O76" s="43">
        <f t="array" ref="O76">SUM(F76:N76)</f>
        <v>3.2594798260642213</v>
      </c>
      <c r="P76" s="42">
        <f t="array" ref="P76">PRODUCT(O76,$G$8,$H$8)</f>
        <v>6.4772521874584212</v>
      </c>
      <c r="R76" s="4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</row>
    <row r="77" spans="2:56" x14ac:dyDescent="0.2">
      <c r="B77" s="12"/>
      <c r="D77" s="5">
        <v>1300</v>
      </c>
      <c r="E77" s="5"/>
      <c r="F77" s="6">
        <v>0.67325133945648485</v>
      </c>
      <c r="G77" s="5">
        <v>0.67252588908523192</v>
      </c>
      <c r="H77" s="5">
        <v>0.67159205481295614</v>
      </c>
      <c r="I77" s="5">
        <v>0.55311056080034648</v>
      </c>
      <c r="J77" s="5">
        <v>0.55309022934073104</v>
      </c>
      <c r="K77" s="5">
        <v>0.15387786733022296</v>
      </c>
      <c r="L77" s="5">
        <v>0.13988589930529538</v>
      </c>
      <c r="M77" s="5">
        <v>0.13959439569397902</v>
      </c>
      <c r="N77" s="5">
        <v>0.13921640343936126</v>
      </c>
      <c r="O77" s="43">
        <f t="array" ref="O77">SUM(F77:N77)</f>
        <v>3.6961446392646082</v>
      </c>
      <c r="P77" s="42">
        <f t="array" ref="P77">PRODUCT(O77,$G$8,$H$8)</f>
        <v>7.3449943633330212</v>
      </c>
      <c r="R77" s="4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</row>
    <row r="78" spans="2:56" x14ac:dyDescent="0.2">
      <c r="B78" s="12"/>
      <c r="D78" s="5">
        <v>1400</v>
      </c>
      <c r="E78" s="5"/>
      <c r="F78" s="6">
        <v>0.73543536167630208</v>
      </c>
      <c r="G78" s="5">
        <v>0.73469111222064098</v>
      </c>
      <c r="H78" s="5">
        <v>0.73373303134771362</v>
      </c>
      <c r="I78" s="5">
        <v>0.61168757972583188</v>
      </c>
      <c r="J78" s="5">
        <v>0.61166654347172833</v>
      </c>
      <c r="K78" s="5">
        <v>0.18662884416710751</v>
      </c>
      <c r="L78" s="5">
        <v>0.1709174058825276</v>
      </c>
      <c r="M78" s="5">
        <v>0.17058890060241561</v>
      </c>
      <c r="N78" s="5">
        <v>0.17016285369093317</v>
      </c>
      <c r="O78" s="43">
        <f t="array" ref="O78">SUM(F78:N78)</f>
        <v>4.1255116327852015</v>
      </c>
      <c r="P78" s="42">
        <f t="array" ref="P78">PRODUCT(O78,$G$8,$H$8)</f>
        <v>8.1982342808697641</v>
      </c>
      <c r="R78" s="4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</row>
    <row r="79" spans="2:56" x14ac:dyDescent="0.2">
      <c r="B79" s="12"/>
      <c r="D79" s="5">
        <v>1500</v>
      </c>
      <c r="E79" s="5"/>
      <c r="F79" s="6">
        <v>0.79467752157660887</v>
      </c>
      <c r="G79" s="5">
        <v>0.79391768075047597</v>
      </c>
      <c r="H79" s="5">
        <v>0.79293948943308723</v>
      </c>
      <c r="I79" s="5">
        <v>0.66792462867364222</v>
      </c>
      <c r="J79" s="5">
        <v>0.66790300251561341</v>
      </c>
      <c r="K79" s="5">
        <v>0.22039416197031958</v>
      </c>
      <c r="L79" s="5">
        <v>0.20311255601091577</v>
      </c>
      <c r="M79" s="5">
        <v>0.20275013519323465</v>
      </c>
      <c r="N79" s="5">
        <v>0.20228003351555671</v>
      </c>
      <c r="O79" s="43">
        <f t="array" ref="O79">SUM(F79:N79)</f>
        <v>4.5458992096394537</v>
      </c>
      <c r="P79" s="42">
        <f t="array" ref="P79">PRODUCT(O79,$G$8,$H$8)</f>
        <v>9.0336302633776491</v>
      </c>
      <c r="R79" s="4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</row>
    <row r="80" spans="2:56" x14ac:dyDescent="0.2">
      <c r="B80" s="12"/>
      <c r="D80" s="5">
        <v>1600</v>
      </c>
      <c r="E80" s="5"/>
      <c r="F80" s="6">
        <v>0.85114695696442622</v>
      </c>
      <c r="G80" s="5">
        <v>0.85037406458613596</v>
      </c>
      <c r="H80" s="5">
        <v>0.84937903805741255</v>
      </c>
      <c r="I80" s="5">
        <v>0.72186910597382759</v>
      </c>
      <c r="J80" s="5">
        <v>0.72184698228567812</v>
      </c>
      <c r="K80" s="5">
        <v>0.25475730969290461</v>
      </c>
      <c r="L80" s="5">
        <v>0.23605173381105385</v>
      </c>
      <c r="M80" s="5">
        <v>0.23565845816654848</v>
      </c>
      <c r="N80" s="5">
        <v>0.23514827121712475</v>
      </c>
      <c r="O80" s="43">
        <f t="array" ref="O80">SUM(F80:N80)</f>
        <v>4.956231920755112</v>
      </c>
      <c r="P80" s="42">
        <f t="array" ref="P80">PRODUCT(O80,$G$8,$H$8)</f>
        <v>9.8490451738816152</v>
      </c>
      <c r="R80" s="4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</row>
    <row r="81" spans="2:56" x14ac:dyDescent="0.2">
      <c r="B81" s="12"/>
      <c r="D81" s="5">
        <v>1700</v>
      </c>
      <c r="E81" s="5"/>
      <c r="F81" s="6">
        <v>0.90502252224675761</v>
      </c>
      <c r="G81" s="5">
        <v>0.90423860951243507</v>
      </c>
      <c r="H81" s="5">
        <v>0.90322936729771341</v>
      </c>
      <c r="I81" s="5">
        <v>0.77360606575070978</v>
      </c>
      <c r="J81" s="5">
        <v>0.77358351933484082</v>
      </c>
      <c r="K81" s="5">
        <v>0.2893908438681827</v>
      </c>
      <c r="L81" s="5">
        <v>0.26939924961528483</v>
      </c>
      <c r="M81" s="5">
        <v>0.26897803358583083</v>
      </c>
      <c r="N81" s="5">
        <v>0.26843154288358506</v>
      </c>
      <c r="O81" s="43">
        <f t="array" ref="O81">SUM(F81:N81)</f>
        <v>5.3558797540953389</v>
      </c>
      <c r="P81" s="42">
        <f t="array" ref="P81">PRODUCT(O81,$G$8,$H$8)</f>
        <v>10.64322704977981</v>
      </c>
      <c r="R81" s="4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</row>
    <row r="82" spans="2:56" x14ac:dyDescent="0.2">
      <c r="B82" s="12"/>
      <c r="D82" s="5">
        <v>1800</v>
      </c>
      <c r="E82" s="5"/>
      <c r="F82" s="6">
        <v>0.9564815816482255</v>
      </c>
      <c r="G82" s="5">
        <v>0.95568828873938838</v>
      </c>
      <c r="H82" s="5">
        <v>0.95466694621872494</v>
      </c>
      <c r="I82" s="5">
        <v>0.82324007901730312</v>
      </c>
      <c r="J82" s="5">
        <v>0.82321717090129853</v>
      </c>
      <c r="K82" s="5">
        <v>0.3240414736657925</v>
      </c>
      <c r="L82" s="5">
        <v>0.30289105334373195</v>
      </c>
      <c r="M82" s="5">
        <v>0.30244460261297573</v>
      </c>
      <c r="N82" s="5">
        <v>0.30186532001836852</v>
      </c>
      <c r="O82" s="43">
        <f t="array" ref="O82">SUM(F82:N82)</f>
        <v>5.7445365161658088</v>
      </c>
      <c r="P82" s="42">
        <f t="array" ref="P82">PRODUCT(O82,$G$8,$H$8)</f>
        <v>11.4155674220567</v>
      </c>
      <c r="R82" s="4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</row>
    <row r="83" spans="2:56" x14ac:dyDescent="0.2">
      <c r="B83" s="12"/>
      <c r="D83" s="5">
        <v>1900</v>
      </c>
      <c r="E83" s="5"/>
      <c r="F83" s="6">
        <v>1.0056940394372047</v>
      </c>
      <c r="G83" s="5">
        <v>1.0048927029987471</v>
      </c>
      <c r="H83" s="5">
        <v>1.0038609841594091</v>
      </c>
      <c r="I83" s="5">
        <v>0.87088410526760818</v>
      </c>
      <c r="J83" s="5">
        <v>0.87086088561456054</v>
      </c>
      <c r="K83" s="5">
        <v>0.35851603978049568</v>
      </c>
      <c r="L83" s="5">
        <v>0.33632233819829416</v>
      </c>
      <c r="M83" s="5">
        <v>0.33585312402525214</v>
      </c>
      <c r="N83" s="5">
        <v>0.33524425799261998</v>
      </c>
      <c r="O83" s="43">
        <f t="array" ref="O83">SUM(F83:N83)</f>
        <v>6.1221284774741918</v>
      </c>
      <c r="P83" s="42">
        <f t="array" ref="P83">PRODUCT(O83,$G$8,$H$8)</f>
        <v>12.165919775151231</v>
      </c>
      <c r="R83" s="4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</row>
    <row r="84" spans="2:56" ht="17" thickBot="1" x14ac:dyDescent="0.25">
      <c r="B84" s="12"/>
      <c r="D84" s="5">
        <v>2000</v>
      </c>
      <c r="E84" s="5"/>
      <c r="F84" s="3">
        <v>1.0528194152312764</v>
      </c>
      <c r="G84" s="2">
        <v>1.052011134003777</v>
      </c>
      <c r="H84" s="2">
        <v>1.0509704560464244</v>
      </c>
      <c r="I84" s="2">
        <v>0.91665274607697245</v>
      </c>
      <c r="J84" s="2">
        <v>0.91662925642198345</v>
      </c>
      <c r="K84" s="2">
        <v>0.39266933061795495</v>
      </c>
      <c r="L84" s="2">
        <v>0.36953631358536043</v>
      </c>
      <c r="M84" s="2">
        <v>0.3690465693456908</v>
      </c>
      <c r="N84" s="2">
        <v>0.36841102011725735</v>
      </c>
      <c r="O84" s="39">
        <f t="array" ref="O84">SUM(F84:N84)</f>
        <v>6.4887462414466972</v>
      </c>
      <c r="P84" s="38">
        <f t="array" ref="P84">PRODUCT(O84,$G$8,$H$8)</f>
        <v>12.894464156577705</v>
      </c>
      <c r="R84" s="4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</row>
    <row r="85" spans="2:56" x14ac:dyDescent="0.2">
      <c r="B85" s="12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R85" s="4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</row>
    <row r="86" spans="2:56" ht="17" thickBot="1" x14ac:dyDescent="0.25">
      <c r="B86" s="36"/>
      <c r="C86" s="35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35"/>
      <c r="R86" s="1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</row>
    <row r="87" spans="2:56" x14ac:dyDescent="0.2">
      <c r="D87" s="5"/>
      <c r="E87" s="5"/>
      <c r="F87" s="28"/>
      <c r="G87" s="28"/>
      <c r="H87" s="28"/>
      <c r="I87" s="28"/>
      <c r="J87" s="28"/>
      <c r="K87" s="28"/>
      <c r="L87" s="28"/>
      <c r="M87" s="28"/>
      <c r="N87" s="28"/>
      <c r="O87" s="28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</row>
    <row r="88" spans="2:56" ht="17" thickBot="1" x14ac:dyDescent="0.25">
      <c r="D88" s="5"/>
      <c r="E88" s="5"/>
      <c r="F88" s="28"/>
      <c r="G88" s="28"/>
      <c r="H88" s="28"/>
      <c r="I88" s="28"/>
      <c r="J88" s="28"/>
      <c r="K88" s="28"/>
      <c r="L88" s="28"/>
      <c r="M88" s="28"/>
      <c r="N88" s="28"/>
      <c r="O88" s="28"/>
      <c r="AJ88" s="28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</row>
    <row r="89" spans="2:56" x14ac:dyDescent="0.2">
      <c r="D89" s="54"/>
      <c r="E89" s="32"/>
      <c r="F89" s="32"/>
      <c r="G89" s="33"/>
      <c r="H89" s="33"/>
      <c r="I89" s="33"/>
      <c r="J89" s="33"/>
      <c r="K89" s="33"/>
      <c r="L89" s="33"/>
      <c r="M89" s="33"/>
      <c r="N89" s="33"/>
      <c r="O89" s="5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</row>
    <row r="90" spans="2:56" ht="17" thickBot="1" x14ac:dyDescent="0.25">
      <c r="D90" s="12"/>
      <c r="E90" s="5"/>
      <c r="F90" s="5"/>
      <c r="G90" s="28"/>
      <c r="H90" s="28"/>
      <c r="I90" s="28"/>
      <c r="J90" s="28"/>
      <c r="K90" s="28"/>
      <c r="L90" s="28"/>
      <c r="M90" s="28"/>
      <c r="N90" s="28"/>
      <c r="O90" s="52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</row>
    <row r="91" spans="2:56" ht="17" thickBot="1" x14ac:dyDescent="0.25">
      <c r="D91" s="12"/>
      <c r="E91" s="5"/>
      <c r="F91" s="5"/>
      <c r="G91" s="165" t="s">
        <v>11</v>
      </c>
      <c r="H91" s="166"/>
      <c r="I91" s="166"/>
      <c r="J91" s="166"/>
      <c r="K91" s="166"/>
      <c r="L91" s="166"/>
      <c r="M91" s="166"/>
      <c r="N91" s="167"/>
      <c r="O91" s="37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</row>
    <row r="92" spans="2:56" x14ac:dyDescent="0.2">
      <c r="D92" s="12"/>
      <c r="E92" s="5"/>
      <c r="F92" s="5"/>
      <c r="G92" s="47" t="s">
        <v>10</v>
      </c>
      <c r="H92" s="5"/>
      <c r="I92" s="5"/>
      <c r="J92" s="5"/>
      <c r="K92" s="5"/>
      <c r="L92" s="5"/>
      <c r="M92" s="5"/>
      <c r="N92" s="5"/>
      <c r="O92" s="37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</row>
    <row r="93" spans="2:56" ht="17" thickBot="1" x14ac:dyDescent="0.25">
      <c r="D93" s="12"/>
      <c r="E93" s="5"/>
      <c r="F93" s="5"/>
      <c r="G93" s="5"/>
      <c r="H93" s="5"/>
      <c r="I93" s="5"/>
      <c r="J93" s="5"/>
      <c r="K93" s="5"/>
      <c r="L93" s="5"/>
      <c r="M93" s="5"/>
      <c r="N93" s="5"/>
      <c r="O93" s="37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</row>
    <row r="94" spans="2:56" ht="17" thickBot="1" x14ac:dyDescent="0.25">
      <c r="D94" s="12"/>
      <c r="E94" s="27" t="s">
        <v>3</v>
      </c>
      <c r="F94" s="5"/>
      <c r="G94" s="50" t="s">
        <v>9</v>
      </c>
      <c r="H94" s="25" t="s">
        <v>8</v>
      </c>
      <c r="I94" s="5"/>
      <c r="J94" s="24" t="s">
        <v>1</v>
      </c>
      <c r="K94" s="5"/>
      <c r="L94" s="50" t="s">
        <v>7</v>
      </c>
      <c r="M94" s="50" t="s">
        <v>6</v>
      </c>
      <c r="N94" s="23" t="s">
        <v>5</v>
      </c>
      <c r="O94" s="37"/>
      <c r="R94" s="5"/>
      <c r="S94" s="5"/>
      <c r="T94" s="5"/>
      <c r="U94" s="5"/>
      <c r="V94" s="5"/>
      <c r="W94" s="5"/>
      <c r="X94" s="5"/>
      <c r="Y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</row>
    <row r="95" spans="2:56" x14ac:dyDescent="0.2">
      <c r="D95" s="12"/>
      <c r="E95" s="5">
        <v>298.14999999999998</v>
      </c>
      <c r="F95" s="5"/>
      <c r="G95" s="45">
        <f>$B$8*E95/101325</f>
        <v>4.0625758633111278E-26</v>
      </c>
      <c r="H95" s="49" cm="1">
        <f t="array" ref="H95:H112">G95:G112*(2*PI()*$K$8*$B$8*E95:E112/($C$8)^2)^(3/2)</f>
        <v>2522870.2183995163</v>
      </c>
      <c r="I95" s="5"/>
      <c r="J95" s="21">
        <f t="shared" ref="J95:J112" si="1">$G$8*$H$8*3/2</f>
        <v>2.9808063861893652</v>
      </c>
      <c r="K95" s="5"/>
      <c r="L95" s="45" cm="1">
        <f t="array" ref="L95:L112" xml:space="preserve"> (2 * PI() * $K$8 * $B$8 * E95:E112/ (($C$8)^2))^(3/2)</f>
        <v>6.210026109748255E+31</v>
      </c>
      <c r="M95" s="43" cm="1">
        <f t="array" ref="M95:M112">$G$8*E95:E112/101325</f>
        <v>2.4465403696587219E-2</v>
      </c>
      <c r="N95" s="48" cm="1">
        <f t="array" ref="N95:N112">LN(L95:L112 * M95:M112*EXP(5/2) / $D$8)*$G$8*$H$8</f>
        <v>34.261205356563821</v>
      </c>
      <c r="O95" s="37"/>
      <c r="R95" s="5"/>
      <c r="S95" s="5"/>
      <c r="T95" s="5"/>
      <c r="U95" s="5"/>
      <c r="V95" s="5"/>
      <c r="W95" s="5"/>
      <c r="X95" s="5"/>
      <c r="Y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</row>
    <row r="96" spans="2:56" x14ac:dyDescent="0.2">
      <c r="D96" s="12"/>
      <c r="E96" s="5">
        <v>400</v>
      </c>
      <c r="F96" s="5"/>
      <c r="G96" s="45">
        <f t="shared" ref="G96:G112" si="2">$B$8*E96/101325</f>
        <v>5.4503784850727862E-26</v>
      </c>
      <c r="H96" s="44">
        <v>5259662.2190937791</v>
      </c>
      <c r="I96" s="5"/>
      <c r="J96" s="16">
        <f t="shared" si="1"/>
        <v>2.9808063861893652</v>
      </c>
      <c r="K96" s="5"/>
      <c r="L96" s="43">
        <v>9.6500861976808936E+31</v>
      </c>
      <c r="M96" s="43">
        <v>3.2822946431778931E-2</v>
      </c>
      <c r="N96" s="42">
        <v>35.721143871474936</v>
      </c>
      <c r="O96" s="37"/>
      <c r="W96" s="46"/>
      <c r="X96" s="46"/>
      <c r="Y96" s="46"/>
      <c r="AA96" s="46"/>
      <c r="AB96" s="46"/>
      <c r="AC96" s="46"/>
      <c r="AD96" s="46"/>
      <c r="AE96" s="46"/>
      <c r="AF96" s="5"/>
      <c r="AG96" s="47"/>
      <c r="AH96" s="47"/>
      <c r="AI96" s="47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</row>
    <row r="97" spans="4:56" x14ac:dyDescent="0.2">
      <c r="D97" s="12"/>
      <c r="E97" s="5">
        <v>500</v>
      </c>
      <c r="F97" s="5"/>
      <c r="G97" s="45">
        <f t="shared" si="2"/>
        <v>6.8129731063409828E-26</v>
      </c>
      <c r="H97" s="44">
        <v>9188251.7660790235</v>
      </c>
      <c r="I97" s="5"/>
      <c r="J97" s="16">
        <f t="shared" si="1"/>
        <v>2.9808063861893652</v>
      </c>
      <c r="K97" s="5"/>
      <c r="L97" s="43">
        <v>1.3486405454216921E+32</v>
      </c>
      <c r="M97" s="43">
        <v>4.1028683039723658E-2</v>
      </c>
      <c r="N97" s="42">
        <v>36.829723409465565</v>
      </c>
      <c r="O97" s="37"/>
      <c r="X97" s="5"/>
      <c r="Y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</row>
    <row r="98" spans="4:56" x14ac:dyDescent="0.2">
      <c r="D98" s="12"/>
      <c r="E98" s="5">
        <v>600</v>
      </c>
      <c r="F98" s="5"/>
      <c r="G98" s="45">
        <f t="shared" si="2"/>
        <v>8.1755677276091782E-26</v>
      </c>
      <c r="H98" s="44">
        <v>14493924.738196131</v>
      </c>
      <c r="I98" s="5"/>
      <c r="J98" s="16">
        <f t="shared" si="1"/>
        <v>2.9808063861893652</v>
      </c>
      <c r="K98" s="5"/>
      <c r="L98" s="43">
        <v>1.772834036864454E+32</v>
      </c>
      <c r="M98" s="43">
        <v>4.92344196476684E-2</v>
      </c>
      <c r="N98" s="42">
        <v>37.735498844184548</v>
      </c>
      <c r="O98" s="37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</row>
    <row r="99" spans="4:56" x14ac:dyDescent="0.2">
      <c r="D99" s="12"/>
      <c r="E99" s="5">
        <v>700</v>
      </c>
      <c r="F99" s="5"/>
      <c r="G99" s="45">
        <f t="shared" si="2"/>
        <v>9.5381623488773759E-26</v>
      </c>
      <c r="H99" s="44">
        <v>21308504.762009192</v>
      </c>
      <c r="I99" s="5"/>
      <c r="J99" s="16">
        <f t="shared" si="1"/>
        <v>2.9808063861893652</v>
      </c>
      <c r="K99" s="5"/>
      <c r="L99" s="43">
        <v>2.2340262183225643E+32</v>
      </c>
      <c r="M99" s="43">
        <v>5.7440156255613127E-2</v>
      </c>
      <c r="N99" s="42">
        <v>38.501321062292128</v>
      </c>
      <c r="O99" s="37"/>
      <c r="W99" s="46"/>
      <c r="X99" s="46"/>
      <c r="Y99" s="46"/>
      <c r="AA99" s="46"/>
      <c r="AB99" s="46"/>
      <c r="AC99" s="46"/>
      <c r="AD99" s="46"/>
      <c r="AE99" s="46"/>
      <c r="AF99" s="46"/>
      <c r="AJ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D99" s="5"/>
    </row>
    <row r="100" spans="4:56" x14ac:dyDescent="0.2">
      <c r="D100" s="12"/>
      <c r="E100" s="5">
        <v>800</v>
      </c>
      <c r="F100" s="5"/>
      <c r="G100" s="45">
        <f t="shared" si="2"/>
        <v>1.0900756970145572E-25</v>
      </c>
      <c r="H100" s="44">
        <v>29753142.574975248</v>
      </c>
      <c r="I100" s="5"/>
      <c r="J100" s="16">
        <f t="shared" si="1"/>
        <v>2.9808063861893652</v>
      </c>
      <c r="K100" s="5"/>
      <c r="L100" s="43">
        <v>2.7294565557659539E+32</v>
      </c>
      <c r="M100" s="43">
        <v>6.5645892863557861E-2</v>
      </c>
      <c r="N100" s="42">
        <v>39.164706442112006</v>
      </c>
      <c r="O100" s="37"/>
      <c r="W100" s="30"/>
      <c r="X100" s="30"/>
      <c r="Y100" s="30"/>
      <c r="AA100" s="30"/>
      <c r="AB100" s="30"/>
      <c r="AC100" s="30"/>
      <c r="AD100" s="30"/>
      <c r="AE100" s="30"/>
      <c r="AF100" s="30"/>
      <c r="AJ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</row>
    <row r="101" spans="4:56" x14ac:dyDescent="0.2">
      <c r="D101" s="12"/>
      <c r="E101" s="5">
        <v>900</v>
      </c>
      <c r="F101" s="5"/>
      <c r="G101" s="45">
        <f t="shared" si="2"/>
        <v>1.2263351591413768E-25</v>
      </c>
      <c r="H101" s="44">
        <v>39940559.976243436</v>
      </c>
      <c r="I101" s="5"/>
      <c r="J101" s="16">
        <f t="shared" si="1"/>
        <v>2.9808063861893652</v>
      </c>
      <c r="K101" s="5"/>
      <c r="L101" s="43">
        <v>3.2569040917173063E+32</v>
      </c>
      <c r="M101" s="43">
        <v>7.3851629471502603E-2</v>
      </c>
      <c r="N101" s="42">
        <v>39.749853816894202</v>
      </c>
      <c r="O101" s="37"/>
      <c r="W101" s="30"/>
      <c r="X101" s="30"/>
      <c r="Y101" s="30"/>
      <c r="AA101" s="30"/>
      <c r="AB101" s="30"/>
      <c r="AC101" s="30"/>
      <c r="AD101" s="30"/>
      <c r="AE101" s="30"/>
      <c r="AF101" s="30"/>
      <c r="AJ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</row>
    <row r="102" spans="4:56" x14ac:dyDescent="0.2">
      <c r="D102" s="12"/>
      <c r="E102" s="5">
        <v>1000</v>
      </c>
      <c r="F102" s="5"/>
      <c r="G102" s="45">
        <f t="shared" si="2"/>
        <v>1.3625946212681966E-25</v>
      </c>
      <c r="H102" s="44">
        <v>51976601.048349403</v>
      </c>
      <c r="I102" s="5"/>
      <c r="J102" s="16">
        <f t="shared" si="1"/>
        <v>2.9808063861893652</v>
      </c>
      <c r="K102" s="5"/>
      <c r="L102" s="43">
        <v>3.814531500203167E+32</v>
      </c>
      <c r="M102" s="43">
        <v>8.2057366079447316E-2</v>
      </c>
      <c r="N102" s="42">
        <v>40.273285980102607</v>
      </c>
      <c r="O102" s="37"/>
      <c r="W102" s="30"/>
      <c r="X102" s="30"/>
      <c r="Y102" s="30"/>
      <c r="AA102" s="30"/>
      <c r="AB102" s="30"/>
      <c r="AC102" s="30"/>
      <c r="AD102" s="30"/>
      <c r="AE102" s="30"/>
      <c r="AF102" s="30"/>
      <c r="AJ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</row>
    <row r="103" spans="4:56" x14ac:dyDescent="0.2">
      <c r="D103" s="12"/>
      <c r="E103" s="5">
        <v>1100</v>
      </c>
      <c r="F103" s="5"/>
      <c r="G103" s="45">
        <f t="shared" si="2"/>
        <v>1.4988540833950161E-25</v>
      </c>
      <c r="H103" s="44">
        <v>65961358.08355619</v>
      </c>
      <c r="I103" s="5"/>
      <c r="J103" s="16">
        <f t="shared" si="1"/>
        <v>2.9808063861893652</v>
      </c>
      <c r="K103" s="5"/>
      <c r="L103" s="43">
        <v>4.4007858279405562E+32</v>
      </c>
      <c r="M103" s="43">
        <v>9.0263102687392072E-2</v>
      </c>
      <c r="N103" s="42">
        <v>40.746787967818605</v>
      </c>
      <c r="O103" s="37"/>
      <c r="W103" s="30"/>
      <c r="X103" s="30"/>
      <c r="Y103" s="30"/>
      <c r="AA103" s="30"/>
      <c r="AB103" s="30"/>
      <c r="AC103" s="30"/>
      <c r="AD103" s="30"/>
      <c r="AE103" s="30"/>
      <c r="AF103" s="30"/>
      <c r="AJ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</row>
    <row r="104" spans="4:56" x14ac:dyDescent="0.2">
      <c r="D104" s="12"/>
      <c r="E104" s="5">
        <v>1200</v>
      </c>
      <c r="F104" s="5"/>
      <c r="G104" s="45">
        <f t="shared" si="2"/>
        <v>1.6351135455218356E-25</v>
      </c>
      <c r="H104" s="44">
        <v>81990019.747087732</v>
      </c>
      <c r="I104" s="5"/>
      <c r="J104" s="16">
        <f t="shared" si="1"/>
        <v>2.9808063861893652</v>
      </c>
      <c r="K104" s="5"/>
      <c r="L104" s="43">
        <v>5.0143318775407223E+32</v>
      </c>
      <c r="M104" s="43">
        <v>9.8468839295336799E-2</v>
      </c>
      <c r="N104" s="42">
        <v>41.179061414821625</v>
      </c>
      <c r="O104" s="37"/>
      <c r="W104" s="30"/>
      <c r="X104" s="30"/>
      <c r="Y104" s="30"/>
      <c r="AA104" s="30"/>
      <c r="AB104" s="30"/>
      <c r="AC104" s="30"/>
      <c r="AD104" s="30"/>
      <c r="AE104" s="30"/>
      <c r="AF104" s="30"/>
      <c r="AJ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</row>
    <row r="105" spans="4:56" x14ac:dyDescent="0.2">
      <c r="D105" s="12"/>
      <c r="E105" s="5">
        <v>1300</v>
      </c>
      <c r="F105" s="5"/>
      <c r="G105" s="45">
        <f t="shared" si="2"/>
        <v>1.7713730076486554E-25</v>
      </c>
      <c r="H105" s="44">
        <v>100153529.00041233</v>
      </c>
      <c r="I105" s="5"/>
      <c r="J105" s="16">
        <f t="shared" si="1"/>
        <v>2.9808063861893652</v>
      </c>
      <c r="K105" s="5"/>
      <c r="L105" s="43">
        <v>5.6540055972376749E+32</v>
      </c>
      <c r="M105" s="43">
        <v>0.10667457590328153</v>
      </c>
      <c r="N105" s="42">
        <v>41.576714438490235</v>
      </c>
      <c r="O105" s="37"/>
      <c r="W105" s="30"/>
      <c r="X105" s="30"/>
      <c r="Y105" s="30"/>
      <c r="AA105" s="30"/>
      <c r="AB105" s="30"/>
      <c r="AC105" s="30"/>
      <c r="AD105" s="30"/>
      <c r="AE105" s="30"/>
      <c r="AF105" s="30"/>
      <c r="AJ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</row>
    <row r="106" spans="4:56" x14ac:dyDescent="0.2">
      <c r="D106" s="12"/>
      <c r="E106" s="5">
        <v>1400</v>
      </c>
      <c r="F106" s="5"/>
      <c r="G106" s="45">
        <f t="shared" si="2"/>
        <v>1.9076324697754752E-25</v>
      </c>
      <c r="H106" s="44">
        <v>120539105.71330066</v>
      </c>
      <c r="I106" s="5"/>
      <c r="J106" s="16">
        <f t="shared" si="1"/>
        <v>2.9808063861893652</v>
      </c>
      <c r="K106" s="5"/>
      <c r="L106" s="43">
        <v>6.3187803532977132E+32</v>
      </c>
      <c r="M106" s="43">
        <v>0.11488031251122625</v>
      </c>
      <c r="N106" s="42">
        <v>41.944883632929191</v>
      </c>
      <c r="O106" s="37"/>
      <c r="W106" s="30"/>
      <c r="X106" s="30"/>
      <c r="Y106" s="30"/>
      <c r="AA106" s="30"/>
      <c r="AB106" s="30"/>
      <c r="AC106" s="30"/>
      <c r="AD106" s="30"/>
      <c r="AE106" s="30"/>
      <c r="AF106" s="30"/>
      <c r="AJ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</row>
    <row r="107" spans="4:56" x14ac:dyDescent="0.2">
      <c r="D107" s="12"/>
      <c r="E107" s="5">
        <v>1500</v>
      </c>
      <c r="F107" s="5"/>
      <c r="G107" s="45">
        <f t="shared" si="2"/>
        <v>2.0438919319022949E-25</v>
      </c>
      <c r="H107" s="44">
        <v>143230670.02424952</v>
      </c>
      <c r="I107" s="5"/>
      <c r="J107" s="16">
        <f t="shared" si="1"/>
        <v>2.9808063861893652</v>
      </c>
      <c r="K107" s="5"/>
      <c r="L107" s="43">
        <v>7.0077418374532938E+32</v>
      </c>
      <c r="M107" s="43">
        <v>0.12308604911917098</v>
      </c>
      <c r="N107" s="42">
        <v>42.287640952812254</v>
      </c>
      <c r="O107" s="37"/>
      <c r="W107" s="30"/>
      <c r="X107" s="30"/>
      <c r="Y107" s="30"/>
      <c r="AA107" s="30"/>
      <c r="AB107" s="30"/>
      <c r="AC107" s="30"/>
      <c r="AD107" s="30"/>
      <c r="AE107" s="30"/>
      <c r="AF107" s="30"/>
      <c r="AJ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</row>
    <row r="108" spans="4:56" x14ac:dyDescent="0.2">
      <c r="D108" s="12"/>
      <c r="E108" s="5">
        <v>1600</v>
      </c>
      <c r="F108" s="5"/>
      <c r="G108" s="45">
        <f t="shared" si="2"/>
        <v>2.1801513940291145E-25</v>
      </c>
      <c r="H108" s="44">
        <v>168309191.01100188</v>
      </c>
      <c r="I108" s="5"/>
      <c r="J108" s="16">
        <f t="shared" si="1"/>
        <v>2.9808063861893652</v>
      </c>
      <c r="K108" s="5"/>
      <c r="L108" s="43">
        <v>7.7200689581447581E+32</v>
      </c>
      <c r="M108" s="43">
        <v>0.13129178572711572</v>
      </c>
      <c r="N108" s="42">
        <v>42.608269012749076</v>
      </c>
      <c r="O108" s="37"/>
      <c r="W108" s="30"/>
      <c r="X108" s="30"/>
      <c r="Y108" s="30"/>
      <c r="AA108" s="30"/>
      <c r="AB108" s="30"/>
      <c r="AC108" s="30"/>
      <c r="AD108" s="30"/>
      <c r="AE108" s="30"/>
      <c r="AF108" s="30"/>
      <c r="AJ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</row>
    <row r="109" spans="4:56" x14ac:dyDescent="0.2">
      <c r="D109" s="12"/>
      <c r="E109" s="5">
        <v>1700</v>
      </c>
      <c r="F109" s="5"/>
      <c r="G109" s="45">
        <f t="shared" si="2"/>
        <v>2.316410856155934E-25</v>
      </c>
      <c r="H109" s="44">
        <v>195852977.92468509</v>
      </c>
      <c r="I109" s="5"/>
      <c r="J109" s="16">
        <f t="shared" si="1"/>
        <v>2.9808063861893652</v>
      </c>
      <c r="K109" s="5"/>
      <c r="L109" s="43">
        <v>8.4550189964875915E+32</v>
      </c>
      <c r="M109" s="43">
        <v>0.13949752233506044</v>
      </c>
      <c r="N109" s="42">
        <v>42.909452779200294</v>
      </c>
      <c r="O109" s="37"/>
      <c r="W109" s="30"/>
      <c r="X109" s="30"/>
      <c r="Y109" s="30"/>
      <c r="AA109" s="30"/>
      <c r="AB109" s="30"/>
      <c r="AC109" s="30"/>
      <c r="AD109" s="30"/>
      <c r="AE109" s="30"/>
      <c r="AF109" s="30"/>
      <c r="AJ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</row>
    <row r="110" spans="4:56" x14ac:dyDescent="0.2">
      <c r="D110" s="12"/>
      <c r="E110" s="5">
        <v>1800</v>
      </c>
      <c r="F110" s="5"/>
      <c r="G110" s="45">
        <f t="shared" si="2"/>
        <v>2.4526703182827536E-25</v>
      </c>
      <c r="H110" s="44">
        <v>225937926.42871863</v>
      </c>
      <c r="I110" s="5"/>
      <c r="J110" s="16">
        <f t="shared" si="1"/>
        <v>2.9808063861893652</v>
      </c>
      <c r="K110" s="5"/>
      <c r="L110" s="43">
        <v>9.2119158757101086E+32</v>
      </c>
      <c r="M110" s="43">
        <v>0.14770325894300521</v>
      </c>
      <c r="N110" s="42">
        <v>43.193416387531265</v>
      </c>
      <c r="O110" s="37"/>
      <c r="W110" s="30"/>
      <c r="X110" s="30"/>
      <c r="Y110" s="30"/>
      <c r="AA110" s="30"/>
      <c r="AB110" s="30"/>
      <c r="AC110" s="30"/>
      <c r="AD110" s="30"/>
      <c r="AE110" s="30"/>
      <c r="AF110" s="30"/>
      <c r="AJ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</row>
    <row r="111" spans="4:56" x14ac:dyDescent="0.2">
      <c r="D111" s="12"/>
      <c r="E111" s="5">
        <v>1900</v>
      </c>
      <c r="F111" s="5"/>
      <c r="G111" s="45">
        <f t="shared" si="2"/>
        <v>2.5889297804095731E-25</v>
      </c>
      <c r="H111" s="44">
        <v>258637729.01744279</v>
      </c>
      <c r="I111" s="5"/>
      <c r="J111" s="16">
        <f t="shared" si="1"/>
        <v>2.9808063861893652</v>
      </c>
      <c r="K111" s="5"/>
      <c r="L111" s="43">
        <v>9.9901407513851478E+32</v>
      </c>
      <c r="M111" s="43">
        <v>0.15590899555094992</v>
      </c>
      <c r="N111" s="42">
        <v>43.462022918274535</v>
      </c>
      <c r="O111" s="37"/>
      <c r="W111" s="30"/>
      <c r="X111" s="30"/>
      <c r="Y111" s="30"/>
      <c r="AA111" s="30"/>
      <c r="AB111" s="30"/>
      <c r="AC111" s="30"/>
      <c r="AD111" s="30"/>
      <c r="AE111" s="30"/>
      <c r="AF111" s="30"/>
      <c r="AJ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</row>
    <row r="112" spans="4:56" ht="17" thickBot="1" x14ac:dyDescent="0.25">
      <c r="D112" s="12"/>
      <c r="E112" s="5">
        <v>2000</v>
      </c>
      <c r="F112" s="5"/>
      <c r="G112" s="41">
        <f t="shared" si="2"/>
        <v>2.7251892425363931E-25</v>
      </c>
      <c r="H112" s="40">
        <v>294024056.51452619</v>
      </c>
      <c r="I112" s="5"/>
      <c r="J112" s="10">
        <f t="shared" si="1"/>
        <v>2.9808063861893652</v>
      </c>
      <c r="K112" s="5"/>
      <c r="L112" s="39">
        <v>1.0789124363373444E+33</v>
      </c>
      <c r="M112" s="39">
        <v>0.16411473215889463</v>
      </c>
      <c r="N112" s="38">
        <v>43.716848550739677</v>
      </c>
      <c r="O112" s="37"/>
      <c r="W112" s="30"/>
      <c r="X112" s="30"/>
      <c r="Y112" s="30"/>
      <c r="AA112" s="30"/>
      <c r="AB112" s="30"/>
      <c r="AC112" s="30"/>
      <c r="AD112" s="30"/>
      <c r="AE112" s="30"/>
      <c r="AF112" s="30"/>
      <c r="AJ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</row>
    <row r="113" spans="4:56" x14ac:dyDescent="0.2">
      <c r="D113" s="12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37"/>
      <c r="W113" s="30"/>
      <c r="X113" s="30"/>
      <c r="Y113" s="30"/>
      <c r="AA113" s="30"/>
      <c r="AB113" s="30"/>
      <c r="AC113" s="30"/>
      <c r="AD113" s="30"/>
      <c r="AE113" s="30"/>
      <c r="AF113" s="30"/>
      <c r="AJ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</row>
    <row r="114" spans="4:56" ht="17" thickBot="1" x14ac:dyDescent="0.25">
      <c r="D114" s="36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1"/>
      <c r="W114" s="30"/>
      <c r="X114" s="30"/>
      <c r="Y114" s="30"/>
      <c r="AA114" s="30"/>
      <c r="AB114" s="30"/>
      <c r="AC114" s="30"/>
      <c r="AD114" s="30"/>
      <c r="AE114" s="30"/>
      <c r="AF114" s="30"/>
      <c r="AJ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</row>
    <row r="115" spans="4:56" x14ac:dyDescent="0.2">
      <c r="W115" s="30"/>
      <c r="X115" s="30"/>
      <c r="Y115" s="30"/>
      <c r="AA115" s="30"/>
      <c r="AB115" s="30"/>
      <c r="AC115" s="30"/>
      <c r="AD115" s="30"/>
      <c r="AE115" s="30"/>
      <c r="AF115" s="30"/>
      <c r="AJ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</row>
    <row r="116" spans="4:56" ht="17" thickBot="1" x14ac:dyDescent="0.25">
      <c r="W116" s="30"/>
      <c r="X116" s="30"/>
      <c r="Y116" s="30"/>
      <c r="AA116" s="30"/>
      <c r="AB116" s="30"/>
      <c r="AC116" s="30"/>
      <c r="AD116" s="30"/>
      <c r="AE116" s="30"/>
      <c r="AF116" s="30"/>
      <c r="AJ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</row>
    <row r="117" spans="4:56" x14ac:dyDescent="0.2">
      <c r="D117" s="34"/>
      <c r="E117" s="33"/>
      <c r="F117" s="33"/>
      <c r="G117" s="33"/>
      <c r="H117" s="33"/>
      <c r="I117" s="33"/>
      <c r="J117" s="33"/>
      <c r="K117" s="33"/>
      <c r="L117" s="32"/>
      <c r="M117" s="32"/>
      <c r="N117" s="32"/>
      <c r="O117" s="31"/>
      <c r="W117" s="30"/>
      <c r="X117" s="30"/>
      <c r="Y117" s="30"/>
      <c r="AA117" s="30"/>
      <c r="AB117" s="30"/>
      <c r="AC117" s="30"/>
      <c r="AD117" s="30"/>
      <c r="AE117" s="30"/>
      <c r="AF117" s="30"/>
      <c r="AJ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</row>
    <row r="118" spans="4:56" ht="17" thickBot="1" x14ac:dyDescent="0.25">
      <c r="D118" s="29"/>
      <c r="E118" s="28"/>
      <c r="F118" s="28"/>
      <c r="G118" s="28"/>
      <c r="H118" s="28"/>
      <c r="I118" s="28"/>
      <c r="J118" s="28"/>
      <c r="K118" s="28"/>
      <c r="L118" s="5"/>
      <c r="M118" s="5"/>
      <c r="N118" s="5"/>
      <c r="O118" s="4"/>
      <c r="R118" s="5"/>
      <c r="S118" s="5"/>
      <c r="T118" s="5"/>
      <c r="U118" s="5"/>
      <c r="V118" s="5"/>
      <c r="W118" s="5"/>
      <c r="X118" s="5"/>
      <c r="Y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</row>
    <row r="119" spans="4:56" ht="17" thickBot="1" x14ac:dyDescent="0.25">
      <c r="D119" s="12"/>
      <c r="E119" s="5"/>
      <c r="F119" s="5"/>
      <c r="G119" s="146" t="s">
        <v>4</v>
      </c>
      <c r="H119" s="147"/>
      <c r="I119" s="147"/>
      <c r="J119" s="147"/>
      <c r="K119" s="147"/>
      <c r="L119" s="147"/>
      <c r="M119" s="147"/>
      <c r="N119" s="148"/>
      <c r="O119" s="4"/>
      <c r="R119" s="5"/>
      <c r="S119" s="5"/>
      <c r="T119" s="5"/>
      <c r="U119" s="5"/>
      <c r="V119" s="5"/>
      <c r="W119" s="5"/>
      <c r="X119" s="5"/>
      <c r="Y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</row>
    <row r="120" spans="4:56" x14ac:dyDescent="0.2">
      <c r="D120" s="12"/>
      <c r="E120" s="5"/>
      <c r="F120" s="5"/>
      <c r="G120" s="5"/>
      <c r="H120" s="5"/>
      <c r="I120" s="5"/>
      <c r="J120" s="5"/>
      <c r="K120" s="5"/>
      <c r="L120" s="5"/>
      <c r="M120" s="5"/>
      <c r="O120" s="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</row>
    <row r="121" spans="4:56" ht="17" thickBot="1" x14ac:dyDescent="0.25">
      <c r="D121" s="12"/>
      <c r="E121" s="5"/>
      <c r="F121" s="5"/>
      <c r="G121" s="5"/>
      <c r="O121" s="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</row>
    <row r="122" spans="4:56" ht="17" thickBot="1" x14ac:dyDescent="0.25">
      <c r="D122" s="12"/>
      <c r="E122" s="27" t="s">
        <v>3</v>
      </c>
      <c r="F122" s="26"/>
      <c r="H122" s="25" t="s">
        <v>2</v>
      </c>
      <c r="I122" s="5"/>
      <c r="J122" s="24" t="s">
        <v>1</v>
      </c>
      <c r="K122" s="5"/>
      <c r="L122" s="5"/>
      <c r="M122" s="5"/>
      <c r="N122" s="23" t="s">
        <v>0</v>
      </c>
      <c r="O122" s="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</row>
    <row r="123" spans="4:56" x14ac:dyDescent="0.2">
      <c r="D123" s="12"/>
      <c r="E123" s="5">
        <v>298.14999999999998</v>
      </c>
      <c r="F123" s="5"/>
      <c r="H123" s="22" cm="1">
        <f t="array" ref="H123:H140">( SQRT($P$10*$Q$10*$R$10)*8 * (PI())^2* (2 * PI() *$B$8 * E123:E140)^(3/2))/($E$8*($C$8)^3)</f>
        <v>439.22745752723785</v>
      </c>
      <c r="I123" s="5"/>
      <c r="J123" s="21">
        <f t="shared" ref="J123:J140" si="3">$G$8*$H$8*3/2</f>
        <v>2.9808063861893652</v>
      </c>
      <c r="K123" s="5"/>
      <c r="L123" s="20" cm="1">
        <f t="array" ref="L123:L140">(SQRT(PI())/$E$8)*((E123:E140)^3/($P$12*$Q$12*$R$12))^(1/2)</f>
        <v>439.87123624562446</v>
      </c>
      <c r="M123" s="20">
        <f t="shared" ref="M123:M140" si="4">(LN(L123)+1.5)*$B$8</f>
        <v>1.0474268840921665E-22</v>
      </c>
      <c r="N123" s="19">
        <f t="shared" ref="N123:N140" si="5">M123*$D$8*$H$8</f>
        <v>15.075889407691122</v>
      </c>
      <c r="O123" s="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</row>
    <row r="124" spans="4:56" x14ac:dyDescent="0.2">
      <c r="D124" s="12"/>
      <c r="E124" s="5">
        <v>400</v>
      </c>
      <c r="F124" s="5"/>
      <c r="H124" s="18">
        <v>682.53864808595688</v>
      </c>
      <c r="I124" s="5"/>
      <c r="J124" s="16">
        <f t="shared" si="3"/>
        <v>2.9808063861893652</v>
      </c>
      <c r="K124" s="5"/>
      <c r="L124" s="14">
        <v>683.53904969697703</v>
      </c>
      <c r="M124" s="14">
        <f t="shared" si="4"/>
        <v>1.1082861332541125E-22</v>
      </c>
      <c r="N124" s="13">
        <f t="shared" si="5"/>
        <v>15.951852516653947</v>
      </c>
      <c r="O124" s="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</row>
    <row r="125" spans="4:56" x14ac:dyDescent="0.2">
      <c r="D125" s="12"/>
      <c r="E125" s="5">
        <v>500</v>
      </c>
      <c r="F125" s="5"/>
      <c r="H125" s="18">
        <v>953.87675899438455</v>
      </c>
      <c r="I125" s="5"/>
      <c r="J125" s="16">
        <f t="shared" si="3"/>
        <v>2.9808063861893652</v>
      </c>
      <c r="K125" s="5"/>
      <c r="L125" s="14">
        <v>955.27486274877981</v>
      </c>
      <c r="M125" s="14">
        <f t="shared" si="4"/>
        <v>1.1544985714008744E-22</v>
      </c>
      <c r="N125" s="13">
        <f t="shared" si="5"/>
        <v>16.617000239460577</v>
      </c>
      <c r="O125" s="4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</row>
    <row r="126" spans="4:56" x14ac:dyDescent="0.2">
      <c r="D126" s="12"/>
      <c r="E126" s="5">
        <v>600</v>
      </c>
      <c r="F126" s="5"/>
      <c r="H126" s="18">
        <v>1253.9035631547285</v>
      </c>
      <c r="I126" s="5"/>
      <c r="J126" s="16">
        <f t="shared" si="3"/>
        <v>2.9808063861893652</v>
      </c>
      <c r="K126" s="5"/>
      <c r="L126" s="14">
        <v>1255.7414182683799</v>
      </c>
      <c r="M126" s="14">
        <f t="shared" si="4"/>
        <v>1.1922568826607765E-22</v>
      </c>
      <c r="N126" s="13">
        <f t="shared" si="5"/>
        <v>17.160465500301996</v>
      </c>
      <c r="O126" s="4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</row>
    <row r="127" spans="4:56" x14ac:dyDescent="0.2">
      <c r="D127" s="12"/>
      <c r="E127" s="5">
        <v>700</v>
      </c>
      <c r="F127" s="5"/>
      <c r="H127" s="18">
        <v>1580.0990826474547</v>
      </c>
      <c r="I127" s="5"/>
      <c r="J127" s="16">
        <f t="shared" si="3"/>
        <v>2.9808063861893652</v>
      </c>
      <c r="K127" s="5"/>
      <c r="L127" s="14">
        <v>1582.4150447871689</v>
      </c>
      <c r="M127" s="14">
        <f t="shared" si="4"/>
        <v>1.2241810799537003E-22</v>
      </c>
      <c r="N127" s="13">
        <f t="shared" si="5"/>
        <v>17.619958831174987</v>
      </c>
      <c r="O127" s="4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</row>
    <row r="128" spans="4:56" x14ac:dyDescent="0.2">
      <c r="D128" s="12"/>
      <c r="E128" s="5">
        <v>800</v>
      </c>
      <c r="F128" s="5"/>
      <c r="H128" s="18">
        <v>1930.5108259339202</v>
      </c>
      <c r="I128" s="5"/>
      <c r="J128" s="16">
        <f t="shared" si="3"/>
        <v>2.9808063861893652</v>
      </c>
      <c r="K128" s="5"/>
      <c r="L128" s="14">
        <v>1933.340388986164</v>
      </c>
      <c r="M128" s="14">
        <f t="shared" si="4"/>
        <v>1.2518350775080487E-22</v>
      </c>
      <c r="N128" s="13">
        <f t="shared" si="5"/>
        <v>18.017990059074265</v>
      </c>
      <c r="O128" s="4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</row>
    <row r="129" spans="4:56" x14ac:dyDescent="0.2">
      <c r="D129" s="12"/>
      <c r="E129" s="5">
        <v>900</v>
      </c>
      <c r="F129" s="5"/>
      <c r="H129" s="18">
        <v>2303.5679372901081</v>
      </c>
      <c r="I129" s="5"/>
      <c r="J129" s="16">
        <f t="shared" si="3"/>
        <v>2.9808063861893652</v>
      </c>
      <c r="K129" s="5"/>
      <c r="L129" s="14">
        <v>2306.9442927272976</v>
      </c>
      <c r="M129" s="14">
        <f t="shared" si="4"/>
        <v>1.2762276320674411E-22</v>
      </c>
      <c r="N129" s="13">
        <f t="shared" si="5"/>
        <v>18.369078483950052</v>
      </c>
      <c r="O129" s="4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</row>
    <row r="130" spans="4:56" x14ac:dyDescent="0.2">
      <c r="D130" s="12"/>
      <c r="E130" s="5">
        <v>1000</v>
      </c>
      <c r="F130" s="5"/>
      <c r="H130" s="18">
        <v>2697.9708988046705</v>
      </c>
      <c r="I130" s="5"/>
      <c r="J130" s="16">
        <f t="shared" si="3"/>
        <v>2.9808063861893652</v>
      </c>
      <c r="K130" s="5"/>
      <c r="L130" s="14">
        <v>2701.9253333868423</v>
      </c>
      <c r="M130" s="14">
        <f t="shared" si="4"/>
        <v>1.2980475156548104E-22</v>
      </c>
      <c r="N130" s="13">
        <f t="shared" si="5"/>
        <v>18.683137781880891</v>
      </c>
      <c r="O130" s="4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</row>
    <row r="131" spans="4:56" x14ac:dyDescent="0.2">
      <c r="D131" s="12"/>
      <c r="E131" s="5">
        <v>1100</v>
      </c>
      <c r="F131" s="5"/>
      <c r="H131" s="18">
        <v>3112.6213258491266</v>
      </c>
      <c r="I131" s="5"/>
      <c r="J131" s="16">
        <f t="shared" si="3"/>
        <v>2.9808063861893652</v>
      </c>
      <c r="K131" s="5"/>
      <c r="L131" s="14">
        <v>3117.183516426328</v>
      </c>
      <c r="M131" s="14">
        <f t="shared" si="4"/>
        <v>1.3177860013203097E-22</v>
      </c>
      <c r="N131" s="13">
        <f t="shared" si="5"/>
        <v>18.967238974515716</v>
      </c>
      <c r="O131" s="4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</row>
    <row r="132" spans="4:56" x14ac:dyDescent="0.2">
      <c r="D132" s="12"/>
      <c r="E132" s="5">
        <v>1200</v>
      </c>
      <c r="F132" s="5"/>
      <c r="H132" s="18">
        <v>3546.5748498427415</v>
      </c>
      <c r="I132" s="5"/>
      <c r="J132" s="16">
        <f t="shared" si="3"/>
        <v>2.9808063861893652</v>
      </c>
      <c r="K132" s="5"/>
      <c r="L132" s="14">
        <v>3551.7730890975363</v>
      </c>
      <c r="M132" s="14">
        <f t="shared" si="4"/>
        <v>1.335805826914713E-22</v>
      </c>
      <c r="N132" s="13">
        <f t="shared" si="5"/>
        <v>19.226603042722317</v>
      </c>
      <c r="O132" s="4"/>
    </row>
    <row r="133" spans="4:56" x14ac:dyDescent="0.2">
      <c r="D133" s="12"/>
      <c r="E133" s="5">
        <v>1300</v>
      </c>
      <c r="F133" s="5"/>
      <c r="H133" s="18">
        <v>3999.0081513846458</v>
      </c>
      <c r="I133" s="5"/>
      <c r="J133" s="16">
        <f t="shared" si="3"/>
        <v>2.9808063861893652</v>
      </c>
      <c r="K133" s="5"/>
      <c r="L133" s="14">
        <v>4004.8695252546154</v>
      </c>
      <c r="M133" s="14">
        <f t="shared" si="4"/>
        <v>1.3523824595607269E-22</v>
      </c>
      <c r="N133" s="13">
        <f t="shared" si="5"/>
        <v>19.465194856927877</v>
      </c>
      <c r="O133" s="4"/>
    </row>
    <row r="134" spans="4:56" x14ac:dyDescent="0.2">
      <c r="D134" s="12"/>
      <c r="E134" s="5">
        <v>1400</v>
      </c>
      <c r="F134" s="5"/>
      <c r="H134" s="18">
        <v>4469.1951051466449</v>
      </c>
      <c r="I134" s="5"/>
      <c r="J134" s="16">
        <f t="shared" si="3"/>
        <v>2.9808063861893652</v>
      </c>
      <c r="K134" s="5"/>
      <c r="L134" s="14">
        <v>4475.7456352824856</v>
      </c>
      <c r="M134" s="14">
        <f t="shared" si="4"/>
        <v>1.3677300242076366E-22</v>
      </c>
      <c r="N134" s="13">
        <f t="shared" si="5"/>
        <v>19.686096373595309</v>
      </c>
      <c r="O134" s="4"/>
    </row>
    <row r="135" spans="4:56" x14ac:dyDescent="0.2">
      <c r="D135" s="12"/>
      <c r="E135" s="5">
        <v>1500</v>
      </c>
      <c r="F135" s="5"/>
      <c r="H135" s="17">
        <v>4956.4890322122028</v>
      </c>
      <c r="J135" s="16">
        <f t="shared" si="3"/>
        <v>2.9808063861893652</v>
      </c>
      <c r="L135" s="15">
        <v>4963.7537924228182</v>
      </c>
      <c r="M135" s="14">
        <f t="shared" si="4"/>
        <v>1.3820182650614749E-22</v>
      </c>
      <c r="N135" s="13">
        <f t="shared" si="5"/>
        <v>19.891750765528947</v>
      </c>
      <c r="O135" s="4"/>
    </row>
    <row r="136" spans="4:56" x14ac:dyDescent="0.2">
      <c r="D136" s="12"/>
      <c r="E136" s="5">
        <v>1600</v>
      </c>
      <c r="F136" s="5"/>
      <c r="H136" s="17">
        <v>5460.309184687685</v>
      </c>
      <c r="J136" s="16">
        <f t="shared" si="3"/>
        <v>2.9808063861893652</v>
      </c>
      <c r="L136" s="15">
        <v>5468.3123975758162</v>
      </c>
      <c r="M136" s="14">
        <f t="shared" si="4"/>
        <v>1.3953840217619848E-22</v>
      </c>
      <c r="N136" s="13">
        <f t="shared" si="5"/>
        <v>20.084127601494583</v>
      </c>
      <c r="O136" s="4"/>
    </row>
    <row r="137" spans="4:56" x14ac:dyDescent="0.2">
      <c r="D137" s="12"/>
      <c r="E137" s="5">
        <v>1700</v>
      </c>
      <c r="F137" s="5"/>
      <c r="H137" s="17">
        <v>5980.1302467024398</v>
      </c>
      <c r="J137" s="16">
        <f t="shared" si="3"/>
        <v>2.9808063861893652</v>
      </c>
      <c r="L137" s="15">
        <v>5988.8953649117811</v>
      </c>
      <c r="M137" s="14">
        <f t="shared" si="4"/>
        <v>1.4079392202849206E-22</v>
      </c>
      <c r="N137" s="13">
        <f t="shared" si="5"/>
        <v>20.264837861368655</v>
      </c>
      <c r="O137" s="4"/>
    </row>
    <row r="138" spans="4:56" x14ac:dyDescent="0.2">
      <c r="D138" s="12"/>
      <c r="E138" s="5">
        <v>1800</v>
      </c>
      <c r="F138" s="5"/>
      <c r="H138" s="17">
        <v>6515.4740375269903</v>
      </c>
      <c r="J138" s="16">
        <f t="shared" si="3"/>
        <v>2.9808063861893652</v>
      </c>
      <c r="L138" s="15">
        <v>6525.0238128283036</v>
      </c>
      <c r="M138" s="14">
        <f t="shared" si="4"/>
        <v>1.4197765763213774E-22</v>
      </c>
      <c r="N138" s="13">
        <f t="shared" si="5"/>
        <v>20.435216026370369</v>
      </c>
      <c r="O138" s="4"/>
    </row>
    <row r="139" spans="4:56" x14ac:dyDescent="0.2">
      <c r="D139" s="12"/>
      <c r="E139" s="5">
        <v>1900</v>
      </c>
      <c r="F139" s="5"/>
      <c r="H139" s="17">
        <v>7065.9028561603991</v>
      </c>
      <c r="J139" s="16">
        <f t="shared" si="3"/>
        <v>2.9808063861893652</v>
      </c>
      <c r="L139" s="15">
        <v>7076.2593987832552</v>
      </c>
      <c r="M139" s="14">
        <f t="shared" si="4"/>
        <v>1.430973754568315E-22</v>
      </c>
      <c r="N139" s="13">
        <f t="shared" si="5"/>
        <v>20.59637994481929</v>
      </c>
      <c r="O139" s="4"/>
    </row>
    <row r="140" spans="4:56" ht="17" thickBot="1" x14ac:dyDescent="0.25">
      <c r="D140" s="12"/>
      <c r="E140" s="5">
        <v>2000</v>
      </c>
      <c r="F140" s="5"/>
      <c r="H140" s="11">
        <v>7631.0140719550091</v>
      </c>
      <c r="J140" s="10">
        <f t="shared" si="3"/>
        <v>2.9808063861893652</v>
      </c>
      <c r="L140" s="9">
        <v>7642.1989019902385</v>
      </c>
      <c r="M140" s="8">
        <f t="shared" si="4"/>
        <v>1.4415964599087466E-22</v>
      </c>
      <c r="N140" s="7">
        <f t="shared" si="5"/>
        <v>20.749275324301209</v>
      </c>
      <c r="O140" s="4"/>
    </row>
    <row r="141" spans="4:56" x14ac:dyDescent="0.2">
      <c r="D141" s="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4"/>
    </row>
    <row r="142" spans="4:56" ht="17" thickBot="1" x14ac:dyDescent="0.25">
      <c r="D142" s="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1"/>
    </row>
    <row r="145" spans="8:8" x14ac:dyDescent="0.2">
      <c r="H145" t="s">
        <v>91</v>
      </c>
    </row>
  </sheetData>
  <mergeCells count="14">
    <mergeCell ref="D2:K2"/>
    <mergeCell ref="G119:N119"/>
    <mergeCell ref="M5:R5"/>
    <mergeCell ref="M7:N7"/>
    <mergeCell ref="M10:N10"/>
    <mergeCell ref="M12:N12"/>
    <mergeCell ref="M9:N9"/>
    <mergeCell ref="C11:K11"/>
    <mergeCell ref="F19:P19"/>
    <mergeCell ref="F22:N22"/>
    <mergeCell ref="F44:N44"/>
    <mergeCell ref="F66:N66"/>
    <mergeCell ref="B4:K4"/>
    <mergeCell ref="G91:N9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25C6-AC90-A345-B388-F909961753AA}">
  <dimension ref="C3:AX131"/>
  <sheetViews>
    <sheetView topLeftCell="D1" zoomScale="91" zoomScaleNormal="32" workbookViewId="0">
      <selection activeCell="O10" sqref="O10"/>
    </sheetView>
  </sheetViews>
  <sheetFormatPr baseColWidth="10" defaultRowHeight="16" x14ac:dyDescent="0.2"/>
  <cols>
    <col min="2" max="3" width="11" bestFit="1" customWidth="1"/>
    <col min="4" max="4" width="13.5" customWidth="1"/>
    <col min="5" max="5" width="11.1640625" bestFit="1" customWidth="1"/>
    <col min="6" max="6" width="12.33203125" customWidth="1"/>
    <col min="7" max="7" width="14.5" bestFit="1" customWidth="1"/>
    <col min="8" max="8" width="12" bestFit="1" customWidth="1"/>
    <col min="9" max="9" width="12.83203125" bestFit="1" customWidth="1"/>
    <col min="10" max="10" width="12" bestFit="1" customWidth="1"/>
    <col min="11" max="11" width="14.1640625" bestFit="1" customWidth="1"/>
    <col min="12" max="12" width="13.5" customWidth="1"/>
    <col min="13" max="13" width="11.83203125" bestFit="1" customWidth="1"/>
    <col min="14" max="14" width="12.83203125" bestFit="1" customWidth="1"/>
    <col min="15" max="15" width="14.1640625" bestFit="1" customWidth="1"/>
    <col min="16" max="19" width="12.5" bestFit="1" customWidth="1"/>
    <col min="20" max="20" width="11.5" bestFit="1" customWidth="1"/>
    <col min="21" max="29" width="11.5" customWidth="1"/>
    <col min="30" max="37" width="11.5" bestFit="1" customWidth="1"/>
    <col min="38" max="46" width="11.5" customWidth="1"/>
    <col min="47" max="48" width="11.5" bestFit="1" customWidth="1"/>
    <col min="49" max="49" width="11.33203125" bestFit="1" customWidth="1"/>
  </cols>
  <sheetData>
    <row r="3" spans="5:50" ht="17" customHeight="1" thickBot="1" x14ac:dyDescent="0.25"/>
    <row r="4" spans="5:50" ht="17" customHeight="1" thickBot="1" x14ac:dyDescent="0.25">
      <c r="E4" s="93" t="s">
        <v>56</v>
      </c>
      <c r="F4" s="94"/>
      <c r="G4" s="94"/>
      <c r="H4" s="94"/>
      <c r="I4" s="94"/>
      <c r="J4" s="94"/>
      <c r="K4" s="94"/>
      <c r="L4" s="94"/>
      <c r="M4" s="94"/>
      <c r="N4" s="95"/>
    </row>
    <row r="5" spans="5:50" ht="35" thickBot="1" x14ac:dyDescent="0.25">
      <c r="E5" s="88" t="s">
        <v>55</v>
      </c>
      <c r="F5" s="88" t="s">
        <v>54</v>
      </c>
      <c r="G5" s="88" t="s">
        <v>53</v>
      </c>
      <c r="H5" s="88" t="s">
        <v>52</v>
      </c>
      <c r="I5" s="88" t="s">
        <v>51</v>
      </c>
      <c r="J5" s="88" t="s">
        <v>50</v>
      </c>
      <c r="K5" s="50" t="s">
        <v>49</v>
      </c>
      <c r="L5" s="89" t="s">
        <v>48</v>
      </c>
      <c r="M5" s="88" t="s">
        <v>47</v>
      </c>
      <c r="N5" s="88" t="s">
        <v>47</v>
      </c>
      <c r="U5" s="146" t="s">
        <v>46</v>
      </c>
      <c r="V5" s="147"/>
      <c r="W5" s="147"/>
      <c r="X5" s="147"/>
      <c r="Y5" s="147"/>
      <c r="Z5" s="148"/>
    </row>
    <row r="6" spans="5:50" ht="17" thickBot="1" x14ac:dyDescent="0.25">
      <c r="E6" s="87" t="s">
        <v>45</v>
      </c>
      <c r="F6" s="87" t="s">
        <v>44</v>
      </c>
      <c r="G6" s="87" t="s">
        <v>43</v>
      </c>
      <c r="H6" s="87" t="s">
        <v>42</v>
      </c>
      <c r="I6" s="87" t="s">
        <v>41</v>
      </c>
      <c r="J6" s="87" t="s">
        <v>40</v>
      </c>
      <c r="K6" s="87" t="s">
        <v>39</v>
      </c>
      <c r="L6" s="87"/>
      <c r="M6" s="87"/>
      <c r="N6" s="87"/>
      <c r="X6" s="82">
        <v>1</v>
      </c>
      <c r="Y6" s="82">
        <v>2</v>
      </c>
      <c r="Z6" s="82">
        <v>3</v>
      </c>
    </row>
    <row r="7" spans="5:50" ht="17" thickBot="1" x14ac:dyDescent="0.25">
      <c r="E7" s="86" t="s">
        <v>38</v>
      </c>
      <c r="F7" s="74" t="s">
        <v>37</v>
      </c>
      <c r="G7" s="74" t="s">
        <v>36</v>
      </c>
      <c r="H7" s="74"/>
      <c r="I7" s="74" t="s">
        <v>35</v>
      </c>
      <c r="J7" s="74" t="s">
        <v>34</v>
      </c>
      <c r="K7" s="74" t="s">
        <v>33</v>
      </c>
      <c r="L7" s="74" t="s">
        <v>32</v>
      </c>
      <c r="M7" s="74" t="s">
        <v>31</v>
      </c>
      <c r="N7" s="74" t="s">
        <v>30</v>
      </c>
      <c r="U7" s="149" t="s">
        <v>29</v>
      </c>
      <c r="V7" s="150"/>
      <c r="W7" s="74" t="s">
        <v>28</v>
      </c>
      <c r="X7" s="85">
        <v>285.15814999999998</v>
      </c>
      <c r="Y7" s="69">
        <v>285.13555000000002</v>
      </c>
      <c r="Z7" s="68">
        <v>142.57346999999999</v>
      </c>
    </row>
    <row r="8" spans="5:50" ht="17" thickBot="1" x14ac:dyDescent="0.25">
      <c r="E8" s="84">
        <v>1.3806490000000001E-23</v>
      </c>
      <c r="F8" s="84">
        <v>6.6260701499999998E-34</v>
      </c>
      <c r="G8" s="84">
        <v>6.0221407599999999E+23</v>
      </c>
      <c r="H8" s="84">
        <v>1</v>
      </c>
      <c r="I8" s="84">
        <v>29979245800</v>
      </c>
      <c r="J8" s="83">
        <v>8.3144626180000003</v>
      </c>
      <c r="K8" s="83">
        <v>0.239005736</v>
      </c>
      <c r="L8" s="83">
        <v>1.6605390666E-27</v>
      </c>
      <c r="M8" s="83">
        <v>15.023479999999999</v>
      </c>
      <c r="N8" s="83">
        <f>M8*L8</f>
        <v>2.4947075456283767E-26</v>
      </c>
      <c r="U8" s="82"/>
      <c r="V8" s="82"/>
      <c r="W8" s="74" t="s">
        <v>27</v>
      </c>
      <c r="X8" s="81" cm="1">
        <f t="array" ref="X8:Z8">X7:Z7*1000000000</f>
        <v>285158150000</v>
      </c>
      <c r="Y8" s="80">
        <v>285135550000</v>
      </c>
      <c r="Z8" s="79">
        <v>142573470000</v>
      </c>
    </row>
    <row r="9" spans="5:50" ht="17" thickBot="1" x14ac:dyDescent="0.25">
      <c r="U9" s="149" t="s">
        <v>26</v>
      </c>
      <c r="V9" s="150"/>
      <c r="W9" s="74" t="s">
        <v>25</v>
      </c>
      <c r="X9" s="78" cm="1">
        <f t="array" ref="X9:Z9">X8:Z8/$I$8</f>
        <v>9.5118520293128928</v>
      </c>
      <c r="Y9" s="72">
        <v>9.5110981744577447</v>
      </c>
      <c r="Z9" s="71">
        <v>4.7557390519810872</v>
      </c>
    </row>
    <row r="10" spans="5:50" ht="17" thickBot="1" x14ac:dyDescent="0.25">
      <c r="I10" s="96" t="s">
        <v>22</v>
      </c>
      <c r="J10" s="97"/>
      <c r="K10" s="97"/>
      <c r="L10" s="97"/>
      <c r="M10" s="97"/>
      <c r="N10" s="97"/>
      <c r="U10" s="151" t="s">
        <v>24</v>
      </c>
      <c r="V10" s="152"/>
      <c r="W10" s="74" t="s">
        <v>23</v>
      </c>
      <c r="X10" s="77" cm="1">
        <f t="array" ref="X10:Z10">$F$8/(8*(PI())^2*$I$8*X9:Z9)</f>
        <v>2.9429339056904151E-47</v>
      </c>
      <c r="Y10" s="76">
        <v>2.9431671642450522E-47</v>
      </c>
      <c r="Z10" s="75">
        <v>5.8860992028808257E-47</v>
      </c>
    </row>
    <row r="11" spans="5:50" ht="17" thickBot="1" x14ac:dyDescent="0.25">
      <c r="I11">
        <v>1</v>
      </c>
      <c r="J11">
        <v>2</v>
      </c>
      <c r="K11">
        <v>3</v>
      </c>
      <c r="L11">
        <v>4</v>
      </c>
      <c r="M11">
        <v>5</v>
      </c>
      <c r="N11">
        <v>6</v>
      </c>
      <c r="U11" s="5"/>
      <c r="V11" s="30"/>
      <c r="W11" s="5"/>
      <c r="X11" s="5"/>
      <c r="Z11" s="5"/>
    </row>
    <row r="12" spans="5:50" ht="17" thickBot="1" x14ac:dyDescent="0.25">
      <c r="I12" s="70">
        <v>652.02</v>
      </c>
      <c r="J12" s="69">
        <v>2058.87</v>
      </c>
      <c r="K12" s="69">
        <v>2059.0500000000002</v>
      </c>
      <c r="L12" s="69">
        <v>4522.8500000000004</v>
      </c>
      <c r="M12" s="69">
        <v>4773.8100000000004</v>
      </c>
      <c r="N12" s="69">
        <v>4774.3599999999997</v>
      </c>
      <c r="U12" s="151" t="s">
        <v>21</v>
      </c>
      <c r="V12" s="152"/>
      <c r="W12" s="74" t="s">
        <v>20</v>
      </c>
      <c r="X12" s="73">
        <v>13.685420000000001</v>
      </c>
      <c r="Y12" s="72">
        <v>13.684329999999999</v>
      </c>
      <c r="Z12" s="71">
        <v>6.8424399999999999</v>
      </c>
    </row>
    <row r="16" spans="5:50" ht="17" thickBot="1" x14ac:dyDescent="0.25"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3:50" x14ac:dyDescent="0.2">
      <c r="C17" s="54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91"/>
      <c r="O17" s="30"/>
      <c r="P17" s="54"/>
      <c r="Q17" s="32"/>
      <c r="R17" s="32"/>
      <c r="S17" s="33"/>
      <c r="T17" s="33"/>
      <c r="U17" s="33"/>
      <c r="V17" s="33"/>
      <c r="W17" s="33"/>
      <c r="X17" s="33"/>
      <c r="Y17" s="33"/>
      <c r="Z17" s="33"/>
      <c r="AA17" s="53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3:50" ht="17" thickBot="1" x14ac:dyDescent="0.25">
      <c r="C18" s="12"/>
      <c r="D18" s="5"/>
      <c r="E18" s="5"/>
      <c r="F18" s="5"/>
      <c r="G18" s="5"/>
      <c r="H18" s="5"/>
      <c r="I18" s="5"/>
      <c r="J18" s="5"/>
      <c r="K18" s="5"/>
      <c r="L18" s="5"/>
      <c r="M18" s="5"/>
      <c r="N18" s="37"/>
      <c r="O18" s="30"/>
      <c r="P18" s="12"/>
      <c r="Q18" s="5"/>
      <c r="R18" s="5"/>
      <c r="S18" s="28"/>
      <c r="T18" s="28"/>
      <c r="U18" s="28"/>
      <c r="V18" s="28"/>
      <c r="W18" s="28"/>
      <c r="X18" s="28"/>
      <c r="Y18" s="28"/>
      <c r="Z18" s="28"/>
      <c r="AA18" s="52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3:50" ht="17" thickBot="1" x14ac:dyDescent="0.25">
      <c r="C19" s="12"/>
      <c r="D19" s="5"/>
      <c r="E19" s="5"/>
      <c r="F19" s="153" t="s">
        <v>19</v>
      </c>
      <c r="G19" s="154"/>
      <c r="H19" s="154"/>
      <c r="I19" s="154"/>
      <c r="J19" s="154"/>
      <c r="K19" s="154"/>
      <c r="L19" s="154"/>
      <c r="M19" s="155"/>
      <c r="N19" s="65"/>
      <c r="O19" s="46"/>
      <c r="P19" s="12"/>
      <c r="Q19" s="5"/>
      <c r="R19" s="5"/>
      <c r="S19" s="165" t="s">
        <v>11</v>
      </c>
      <c r="T19" s="166"/>
      <c r="U19" s="166"/>
      <c r="V19" s="166"/>
      <c r="W19" s="166"/>
      <c r="X19" s="166"/>
      <c r="Y19" s="166"/>
      <c r="Z19" s="167"/>
      <c r="AA19" s="37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5"/>
    </row>
    <row r="20" spans="3:50" x14ac:dyDescent="0.2">
      <c r="C20" s="12"/>
      <c r="D20" s="5"/>
      <c r="E20" s="5"/>
      <c r="F20" s="5"/>
      <c r="G20" s="5"/>
      <c r="H20" s="5"/>
      <c r="I20" s="5"/>
      <c r="J20" s="5"/>
      <c r="K20" s="5"/>
      <c r="L20" s="5"/>
      <c r="M20" s="5"/>
      <c r="N20" s="37"/>
      <c r="O20" s="30"/>
      <c r="P20" s="12"/>
      <c r="Q20" s="5"/>
      <c r="R20" s="5"/>
      <c r="S20" s="47" t="s">
        <v>10</v>
      </c>
      <c r="T20" s="5"/>
      <c r="U20" s="5"/>
      <c r="V20" s="5"/>
      <c r="W20" s="5"/>
      <c r="X20" s="5"/>
      <c r="Y20" s="5"/>
      <c r="Z20" s="5"/>
      <c r="AA20" s="37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3:50" ht="17" thickBot="1" x14ac:dyDescent="0.25">
      <c r="C21" s="12"/>
      <c r="D21" s="5"/>
      <c r="E21" s="5"/>
      <c r="F21" s="5"/>
      <c r="G21" s="5"/>
      <c r="H21" s="5"/>
      <c r="I21" s="5"/>
      <c r="J21" s="5"/>
      <c r="K21" s="5"/>
      <c r="L21" s="5"/>
      <c r="M21" s="5"/>
      <c r="N21" s="37"/>
      <c r="O21" s="5"/>
      <c r="P21" s="12"/>
      <c r="Q21" s="5"/>
      <c r="R21" s="5"/>
      <c r="S21" s="5"/>
      <c r="T21" s="5"/>
      <c r="U21" s="5"/>
      <c r="V21" s="5"/>
      <c r="W21" s="5"/>
      <c r="X21" s="5"/>
      <c r="Y21" s="5"/>
      <c r="Z21" s="5"/>
      <c r="AA21" s="37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3:50" ht="17" thickBot="1" x14ac:dyDescent="0.25">
      <c r="C22" s="12"/>
      <c r="D22" s="27" t="s">
        <v>3</v>
      </c>
      <c r="E22" s="5"/>
      <c r="F22" s="156" t="s">
        <v>18</v>
      </c>
      <c r="G22" s="157"/>
      <c r="H22" s="157"/>
      <c r="I22" s="157"/>
      <c r="J22" s="157"/>
      <c r="K22" s="157"/>
      <c r="L22" s="25" t="s">
        <v>17</v>
      </c>
      <c r="N22" s="4"/>
      <c r="P22" s="12"/>
      <c r="Q22" s="27" t="s">
        <v>3</v>
      </c>
      <c r="R22" s="5"/>
      <c r="S22" s="50" t="s">
        <v>9</v>
      </c>
      <c r="T22" s="25" t="s">
        <v>8</v>
      </c>
      <c r="U22" s="5"/>
      <c r="V22" s="24" t="s">
        <v>1</v>
      </c>
      <c r="W22" s="5"/>
      <c r="X22" s="50" t="s">
        <v>7</v>
      </c>
      <c r="Y22" s="50" t="s">
        <v>6</v>
      </c>
      <c r="Z22" s="23" t="s">
        <v>5</v>
      </c>
      <c r="AA22" s="37"/>
      <c r="AX22" s="5"/>
    </row>
    <row r="23" spans="3:50" x14ac:dyDescent="0.2">
      <c r="C23" s="12"/>
      <c r="D23" s="5">
        <v>298.14999999999998</v>
      </c>
      <c r="E23" s="5"/>
      <c r="F23" s="29" cm="1">
        <f t="array" ref="F23:K40">EXP(-I12:N12/(2*D23:D40))/(1-EXP(-I12:N12/D23:D40))</f>
        <v>0.37743384666108315</v>
      </c>
      <c r="G23" s="28">
        <v>3.1690474513776642E-2</v>
      </c>
      <c r="H23" s="28">
        <v>3.1680890640527183E-2</v>
      </c>
      <c r="I23" s="28">
        <v>5.0808776597334525E-4</v>
      </c>
      <c r="J23" s="28">
        <v>3.3354976386104119E-4</v>
      </c>
      <c r="K23" s="28">
        <v>3.332422544986185E-4</v>
      </c>
      <c r="L23" s="63">
        <f t="shared" ref="L23:L40" si="0">PRODUCT(F23:K23)</f>
        <v>2.1400622538116175E-14</v>
      </c>
      <c r="N23" s="4"/>
      <c r="P23" s="12"/>
      <c r="Q23" s="5">
        <v>298.14999999999998</v>
      </c>
      <c r="R23" s="5"/>
      <c r="S23" s="45">
        <f t="shared" ref="S23:S40" si="1">$E$8*Q23/101325</f>
        <v>4.0625758633111278E-26</v>
      </c>
      <c r="T23" s="49" cm="1">
        <f t="array" ref="T23:T40">S23:S40*(2*PI()*$N$8*$E$8*Q23:Q40/($F$8)^2)^(3/2)</f>
        <v>2288810.3236340387</v>
      </c>
      <c r="U23" s="5"/>
      <c r="V23" s="21">
        <f t="shared" ref="V23:V40" si="2">$J$8*$K$8*3/2</f>
        <v>2.9808063861893652</v>
      </c>
      <c r="W23" s="5"/>
      <c r="X23" s="45" cm="1">
        <f t="array" ref="X23:X40" xml:space="preserve"> (2 * PI() * $N$8 * $E$8 * Q23:Q40/ (($F$8)^2))^(3/2)</f>
        <v>5.6338894352820422E+31</v>
      </c>
      <c r="Y23" s="43" cm="1">
        <f t="array" ref="Y23:Y40">$J$8*Q23:Q40/101325</f>
        <v>2.4465403696587219E-2</v>
      </c>
      <c r="Z23" s="13" cm="1">
        <f t="array" ref="Z23:Z40">LN(X23:X40 * Y23:Y40*EXP(5/2) / $G$8)*$J$8*$K$8</f>
        <v>34.067721103361251</v>
      </c>
      <c r="AA23" s="37"/>
      <c r="AX23" s="5"/>
    </row>
    <row r="24" spans="3:50" x14ac:dyDescent="0.2">
      <c r="C24" s="12"/>
      <c r="D24" s="5">
        <v>400</v>
      </c>
      <c r="E24" s="5"/>
      <c r="F24" s="29">
        <v>0.55047773760271723</v>
      </c>
      <c r="G24" s="28">
        <v>7.6707582898878302E-2</v>
      </c>
      <c r="H24" s="28">
        <v>7.6690123798679136E-2</v>
      </c>
      <c r="I24" s="28">
        <v>3.5050509758693233E-3</v>
      </c>
      <c r="J24" s="28">
        <v>2.5612600360206015E-3</v>
      </c>
      <c r="K24" s="28">
        <v>2.5594997518340744E-3</v>
      </c>
      <c r="L24" s="62">
        <f t="shared" si="0"/>
        <v>7.4408166012771649E-11</v>
      </c>
      <c r="N24" s="4"/>
      <c r="P24" s="12"/>
      <c r="Q24" s="5">
        <v>400</v>
      </c>
      <c r="R24" s="5"/>
      <c r="S24" s="45">
        <f t="shared" si="1"/>
        <v>5.4503784850727862E-26</v>
      </c>
      <c r="T24" s="44">
        <v>4771695.7844651947</v>
      </c>
      <c r="U24" s="5"/>
      <c r="V24" s="16">
        <f t="shared" si="2"/>
        <v>2.9808063861893652</v>
      </c>
      <c r="W24" s="5"/>
      <c r="X24" s="43">
        <v>8.7547971164455236E+31</v>
      </c>
      <c r="Y24" s="43">
        <v>3.2822946431778931E-2</v>
      </c>
      <c r="Z24" s="13">
        <v>35.527659618272374</v>
      </c>
      <c r="AA24" s="37"/>
      <c r="AX24" s="5"/>
    </row>
    <row r="25" spans="3:50" x14ac:dyDescent="0.2">
      <c r="C25" s="12"/>
      <c r="D25" s="5">
        <v>500</v>
      </c>
      <c r="E25" s="5"/>
      <c r="F25" s="29">
        <v>0.7150918150419393</v>
      </c>
      <c r="G25" s="28">
        <v>0.12970991626621617</v>
      </c>
      <c r="H25" s="28">
        <v>0.12968579801920824</v>
      </c>
      <c r="I25" s="28">
        <v>1.0859314411726363E-2</v>
      </c>
      <c r="J25" s="28">
        <v>8.4487343784499479E-3</v>
      </c>
      <c r="K25" s="28">
        <v>8.4440881895672063E-3</v>
      </c>
      <c r="L25" s="62">
        <f t="shared" si="0"/>
        <v>9.3191055201675644E-9</v>
      </c>
      <c r="N25" s="4"/>
      <c r="P25" s="12"/>
      <c r="Q25" s="5">
        <v>500</v>
      </c>
      <c r="R25" s="5"/>
      <c r="S25" s="45">
        <f t="shared" si="1"/>
        <v>6.8129731063409828E-26</v>
      </c>
      <c r="T25" s="44">
        <v>8335809.4859478669</v>
      </c>
      <c r="U25" s="5"/>
      <c r="V25" s="16">
        <f t="shared" si="2"/>
        <v>2.9808063861893652</v>
      </c>
      <c r="W25" s="5"/>
      <c r="X25" s="43">
        <v>1.2235200925994478E+32</v>
      </c>
      <c r="Y25" s="43">
        <v>4.1028683039723658E-2</v>
      </c>
      <c r="Z25" s="13">
        <v>36.636239156262974</v>
      </c>
      <c r="AA25" s="37"/>
      <c r="AX25" s="5"/>
    </row>
    <row r="26" spans="3:50" x14ac:dyDescent="0.2">
      <c r="C26" s="12"/>
      <c r="D26" s="5">
        <v>600</v>
      </c>
      <c r="E26" s="5"/>
      <c r="F26" s="29">
        <v>0.87645044990489207</v>
      </c>
      <c r="G26" s="28">
        <v>0.18584347483021529</v>
      </c>
      <c r="H26" s="28">
        <v>0.18581373766345091</v>
      </c>
      <c r="I26" s="28">
        <v>2.3086457061560421E-2</v>
      </c>
      <c r="J26" s="28">
        <v>1.8726334032410339E-2</v>
      </c>
      <c r="K26" s="28">
        <v>1.8717747083922546E-2</v>
      </c>
      <c r="L26" s="62">
        <f t="shared" si="0"/>
        <v>2.4491542308476896E-7</v>
      </c>
      <c r="N26" s="4"/>
      <c r="P26" s="12"/>
      <c r="Q26" s="5">
        <v>600</v>
      </c>
      <c r="R26" s="5"/>
      <c r="S26" s="45">
        <f t="shared" si="1"/>
        <v>8.1755677276091782E-26</v>
      </c>
      <c r="T26" s="44">
        <v>13149247.36469548</v>
      </c>
      <c r="U26" s="5"/>
      <c r="V26" s="16">
        <f t="shared" si="2"/>
        <v>2.9808063861893652</v>
      </c>
      <c r="W26" s="5"/>
      <c r="X26" s="43">
        <v>1.6083589302660917E+32</v>
      </c>
      <c r="Y26" s="43">
        <v>4.92344196476684E-2</v>
      </c>
      <c r="Z26" s="13">
        <v>37.542014590982014</v>
      </c>
      <c r="AA26" s="37"/>
      <c r="AX26" s="5"/>
    </row>
    <row r="27" spans="3:50" x14ac:dyDescent="0.2">
      <c r="C27" s="12"/>
      <c r="D27" s="5">
        <v>700</v>
      </c>
      <c r="E27" s="5"/>
      <c r="F27" s="29">
        <v>1.0357361311227218</v>
      </c>
      <c r="G27" s="28">
        <v>0.24259149395756299</v>
      </c>
      <c r="H27" s="28">
        <v>0.24255682926612185</v>
      </c>
      <c r="I27" s="28">
        <v>3.9595372504158122E-2</v>
      </c>
      <c r="J27" s="28">
        <v>3.3081810752309815E-2</v>
      </c>
      <c r="K27" s="28">
        <v>3.3068788485860305E-2</v>
      </c>
      <c r="L27" s="62">
        <f t="shared" si="0"/>
        <v>2.6399165142352464E-6</v>
      </c>
      <c r="N27" s="4"/>
      <c r="P27" s="12"/>
      <c r="Q27" s="5">
        <v>700</v>
      </c>
      <c r="R27" s="5"/>
      <c r="S27" s="45">
        <f t="shared" si="1"/>
        <v>9.5381623488773759E-26</v>
      </c>
      <c r="T27" s="44">
        <v>19331603.078429826</v>
      </c>
      <c r="U27" s="5"/>
      <c r="V27" s="16">
        <f t="shared" si="2"/>
        <v>2.9808063861893652</v>
      </c>
      <c r="W27" s="5"/>
      <c r="X27" s="43">
        <v>2.0267638955322585E+32</v>
      </c>
      <c r="Y27" s="43">
        <v>5.7440156255613127E-2</v>
      </c>
      <c r="Z27" s="13">
        <v>38.30783680908953</v>
      </c>
      <c r="AA27" s="37"/>
      <c r="AX27" s="5"/>
    </row>
    <row r="28" spans="3:50" x14ac:dyDescent="0.2">
      <c r="C28" s="12"/>
      <c r="D28" s="5">
        <v>800</v>
      </c>
      <c r="E28" s="5"/>
      <c r="F28" s="29">
        <v>1.1936434683018058</v>
      </c>
      <c r="G28" s="28">
        <v>0.29895341193169522</v>
      </c>
      <c r="H28" s="28">
        <v>0.29891422973228315</v>
      </c>
      <c r="I28" s="28">
        <v>5.941134455035451E-2</v>
      </c>
      <c r="J28" s="28">
        <v>5.073868096184031E-2</v>
      </c>
      <c r="K28" s="28">
        <v>5.0721153026513033E-2</v>
      </c>
      <c r="L28" s="62">
        <f t="shared" si="0"/>
        <v>1.6308814831106296E-5</v>
      </c>
      <c r="N28" s="4"/>
      <c r="P28" s="12"/>
      <c r="Q28" s="5">
        <v>800</v>
      </c>
      <c r="R28" s="5"/>
      <c r="S28" s="45">
        <f t="shared" si="1"/>
        <v>1.0900756970145572E-25</v>
      </c>
      <c r="T28" s="44">
        <v>26992787.57563689</v>
      </c>
      <c r="U28" s="5"/>
      <c r="V28" s="16">
        <f t="shared" si="2"/>
        <v>2.9808063861893652</v>
      </c>
      <c r="W28" s="5"/>
      <c r="X28" s="43">
        <v>2.4762305635804316E+32</v>
      </c>
      <c r="Y28" s="43">
        <v>6.5645892863557861E-2</v>
      </c>
      <c r="Z28" s="13">
        <v>38.971222188909444</v>
      </c>
      <c r="AA28" s="37"/>
      <c r="AX28" s="5"/>
    </row>
    <row r="29" spans="3:50" x14ac:dyDescent="0.2">
      <c r="C29" s="12"/>
      <c r="D29" s="5">
        <v>900</v>
      </c>
      <c r="E29" s="5"/>
      <c r="F29" s="29">
        <v>1.3505954317802575</v>
      </c>
      <c r="G29" s="28">
        <v>0.35459429991140545</v>
      </c>
      <c r="H29" s="28">
        <v>0.35455083205064714</v>
      </c>
      <c r="I29" s="28">
        <v>8.1585498927527395E-2</v>
      </c>
      <c r="J29" s="28">
        <v>7.085400651984157E-2</v>
      </c>
      <c r="K29" s="28">
        <v>7.083214382814966E-2</v>
      </c>
      <c r="L29" s="62">
        <f t="shared" si="0"/>
        <v>6.9525369972953379E-5</v>
      </c>
      <c r="N29" s="4"/>
      <c r="P29" s="12"/>
      <c r="Q29" s="5">
        <v>900</v>
      </c>
      <c r="R29" s="5"/>
      <c r="S29" s="45">
        <f t="shared" si="1"/>
        <v>1.2263351591413768E-25</v>
      </c>
      <c r="T29" s="44">
        <v>36235064.863282628</v>
      </c>
      <c r="U29" s="5"/>
      <c r="V29" s="16">
        <f t="shared" si="2"/>
        <v>2.9808063861893652</v>
      </c>
      <c r="W29" s="5"/>
      <c r="X29" s="43">
        <v>2.9547440268003688E+32</v>
      </c>
      <c r="Y29" s="43">
        <v>7.3851629471502603E-2</v>
      </c>
      <c r="Z29" s="13">
        <v>39.556369563691639</v>
      </c>
      <c r="AA29" s="37"/>
      <c r="AX29" s="5"/>
    </row>
    <row r="30" spans="3:50" x14ac:dyDescent="0.2">
      <c r="C30" s="12"/>
      <c r="D30" s="5">
        <v>1000</v>
      </c>
      <c r="E30" s="5"/>
      <c r="F30" s="29">
        <v>1.5068609177989043</v>
      </c>
      <c r="G30" s="28">
        <v>0.40945430766030233</v>
      </c>
      <c r="H30" s="28">
        <v>0.40940668098501021</v>
      </c>
      <c r="I30" s="28">
        <v>0.10534573884003669</v>
      </c>
      <c r="J30" s="28">
        <v>9.2696832080068084E-2</v>
      </c>
      <c r="K30" s="28">
        <v>9.2670909813913599E-2</v>
      </c>
      <c r="L30" s="62">
        <f t="shared" si="0"/>
        <v>2.2859084425808754E-4</v>
      </c>
      <c r="N30" s="4"/>
      <c r="P30" s="12"/>
      <c r="Q30" s="5">
        <v>1000</v>
      </c>
      <c r="R30" s="5"/>
      <c r="S30" s="45">
        <f t="shared" si="1"/>
        <v>1.3625946212681966E-25</v>
      </c>
      <c r="T30" s="44">
        <v>47154459.313543215</v>
      </c>
      <c r="U30" s="5"/>
      <c r="V30" s="16">
        <f t="shared" si="2"/>
        <v>2.9808063861893652</v>
      </c>
      <c r="W30" s="5"/>
      <c r="X30" s="43">
        <v>3.4606374175802579E+32</v>
      </c>
      <c r="Y30" s="43">
        <v>8.2057366079447316E-2</v>
      </c>
      <c r="Z30" s="13">
        <v>40.079801726900044</v>
      </c>
      <c r="AA30" s="37"/>
      <c r="AX30" s="5"/>
    </row>
    <row r="31" spans="3:50" x14ac:dyDescent="0.2">
      <c r="C31" s="12"/>
      <c r="D31" s="5">
        <v>1100</v>
      </c>
      <c r="E31" s="5"/>
      <c r="F31" s="29">
        <v>1.6626178565882332</v>
      </c>
      <c r="G31" s="28">
        <v>0.46357952366667732</v>
      </c>
      <c r="H31" s="28">
        <v>0.46352780453763492</v>
      </c>
      <c r="I31" s="28">
        <v>0.13011650110283129</v>
      </c>
      <c r="J31" s="28">
        <v>0.11569601301008825</v>
      </c>
      <c r="K31" s="28">
        <v>0.11566632877699795</v>
      </c>
      <c r="L31" s="62">
        <f t="shared" si="0"/>
        <v>6.2208566881538207E-4</v>
      </c>
      <c r="N31" s="4"/>
      <c r="P31" s="12"/>
      <c r="Q31" s="5">
        <v>1100</v>
      </c>
      <c r="R31" s="5"/>
      <c r="S31" s="45">
        <f t="shared" si="1"/>
        <v>1.4988540833950161E-25</v>
      </c>
      <c r="T31" s="44">
        <v>59841777.132055871</v>
      </c>
      <c r="U31" s="5"/>
      <c r="V31" s="16">
        <f t="shared" si="2"/>
        <v>2.9808063861893652</v>
      </c>
      <c r="W31" s="5"/>
      <c r="X31" s="43">
        <v>3.9925018582535926E+32</v>
      </c>
      <c r="Y31" s="43">
        <v>9.0263102687392072E-2</v>
      </c>
      <c r="Z31" s="13">
        <v>40.553303714616042</v>
      </c>
      <c r="AA31" s="37"/>
      <c r="AX31" s="5"/>
    </row>
    <row r="32" spans="3:50" x14ac:dyDescent="0.2">
      <c r="C32" s="12"/>
      <c r="D32" s="5">
        <v>1200</v>
      </c>
      <c r="E32" s="5"/>
      <c r="F32" s="29">
        <v>1.8179881995142699</v>
      </c>
      <c r="G32" s="28">
        <v>0.51705044316606719</v>
      </c>
      <c r="H32" s="28">
        <v>0.51699466333978883</v>
      </c>
      <c r="I32" s="28">
        <v>0.15548962153761761</v>
      </c>
      <c r="J32" s="28">
        <v>0.13943032073001813</v>
      </c>
      <c r="K32" s="28">
        <v>0.13939715305923747</v>
      </c>
      <c r="L32" s="62">
        <f t="shared" si="0"/>
        <v>1.4686644132567205E-3</v>
      </c>
      <c r="N32" s="4"/>
      <c r="P32" s="12"/>
      <c r="Q32" s="5">
        <v>1200</v>
      </c>
      <c r="R32" s="5"/>
      <c r="S32" s="45">
        <f t="shared" si="1"/>
        <v>1.6351135455218356E-25</v>
      </c>
      <c r="T32" s="44">
        <v>74383375.832604319</v>
      </c>
      <c r="U32" s="5"/>
      <c r="V32" s="16">
        <f t="shared" si="2"/>
        <v>2.9808063861893652</v>
      </c>
      <c r="W32" s="5"/>
      <c r="X32" s="43">
        <v>4.5491260246923924E+32</v>
      </c>
      <c r="Y32" s="43">
        <v>9.8468839295336799E-2</v>
      </c>
      <c r="Z32" s="13">
        <v>40.985577161619091</v>
      </c>
      <c r="AA32" s="37"/>
      <c r="AX32" s="5"/>
    </row>
    <row r="33" spans="3:50" x14ac:dyDescent="0.2">
      <c r="C33" s="12"/>
      <c r="D33" s="5">
        <v>1300</v>
      </c>
      <c r="E33" s="5"/>
      <c r="F33" s="29">
        <v>1.9730581142670005</v>
      </c>
      <c r="G33" s="28">
        <v>0.56995258308015406</v>
      </c>
      <c r="H33" s="28">
        <v>0.56989275460427702</v>
      </c>
      <c r="I33" s="28">
        <v>0.18118482721914966</v>
      </c>
      <c r="J33" s="28">
        <v>0.1636000416796593</v>
      </c>
      <c r="K33" s="28">
        <v>0.16356363296836013</v>
      </c>
      <c r="L33" s="62">
        <f t="shared" si="0"/>
        <v>3.1071607580739082E-3</v>
      </c>
      <c r="N33" s="4"/>
      <c r="P33" s="12"/>
      <c r="Q33" s="5">
        <v>1300</v>
      </c>
      <c r="R33" s="5"/>
      <c r="S33" s="45">
        <f t="shared" si="1"/>
        <v>1.7713730076486554E-25</v>
      </c>
      <c r="T33" s="44">
        <v>90861761.121406704</v>
      </c>
      <c r="U33" s="5"/>
      <c r="V33" s="16">
        <f t="shared" si="2"/>
        <v>2.9808063861893652</v>
      </c>
      <c r="W33" s="5"/>
      <c r="X33" s="43">
        <v>5.1294538603147084E+32</v>
      </c>
      <c r="Y33" s="43">
        <v>0.10667457590328153</v>
      </c>
      <c r="Z33" s="13">
        <v>41.383230185287701</v>
      </c>
      <c r="AA33" s="37"/>
      <c r="AX33" s="5"/>
    </row>
    <row r="34" spans="3:50" x14ac:dyDescent="0.2">
      <c r="C34" s="12"/>
      <c r="D34" s="5">
        <v>1400</v>
      </c>
      <c r="E34" s="5"/>
      <c r="F34" s="29">
        <v>2.1278901092887144</v>
      </c>
      <c r="G34" s="28">
        <v>0.62236522099509406</v>
      </c>
      <c r="H34" s="28">
        <v>0.62230134480301713</v>
      </c>
      <c r="I34" s="28">
        <v>0.20701429962148238</v>
      </c>
      <c r="J34" s="28">
        <v>0.1879972179648928</v>
      </c>
      <c r="K34" s="28">
        <v>0.18795777055967841</v>
      </c>
      <c r="L34" s="62">
        <f t="shared" si="0"/>
        <v>6.0284727756926386E-3</v>
      </c>
      <c r="N34" s="4"/>
      <c r="P34" s="12"/>
      <c r="Q34" s="5">
        <v>1400</v>
      </c>
      <c r="R34" s="5"/>
      <c r="S34" s="45">
        <f t="shared" si="1"/>
        <v>1.9076324697754752E-25</v>
      </c>
      <c r="T34" s="44">
        <v>109356061.02371605</v>
      </c>
      <c r="U34" s="5"/>
      <c r="V34" s="16">
        <f t="shared" si="2"/>
        <v>2.9808063861893652</v>
      </c>
      <c r="W34" s="5"/>
      <c r="X34" s="43">
        <v>5.7325539775797094E+32</v>
      </c>
      <c r="Y34" s="43">
        <v>0.11488031251122625</v>
      </c>
      <c r="Z34" s="13">
        <v>41.7513993797266</v>
      </c>
      <c r="AA34" s="37"/>
      <c r="AX34" s="5"/>
    </row>
    <row r="35" spans="3:50" x14ac:dyDescent="0.2">
      <c r="C35" s="12"/>
      <c r="D35" s="5">
        <v>1500</v>
      </c>
      <c r="E35" s="5"/>
      <c r="F35" s="29">
        <v>2.28253057912625</v>
      </c>
      <c r="G35" s="28">
        <v>0.67435786190619307</v>
      </c>
      <c r="H35" s="28">
        <v>0.67428993280768701</v>
      </c>
      <c r="I35" s="28">
        <v>0.23285501211533896</v>
      </c>
      <c r="J35" s="28">
        <v>0.2124805167637516</v>
      </c>
      <c r="K35" s="28">
        <v>0.21243819531031571</v>
      </c>
      <c r="L35" s="62">
        <f t="shared" si="0"/>
        <v>1.0909152501492757E-2</v>
      </c>
      <c r="N35" s="4"/>
      <c r="P35" s="12"/>
      <c r="Q35" s="5">
        <v>1500</v>
      </c>
      <c r="R35" s="5"/>
      <c r="S35" s="45">
        <f t="shared" si="1"/>
        <v>2.0438919319022949E-25</v>
      </c>
      <c r="T35" s="44">
        <v>129942409.9668882</v>
      </c>
      <c r="U35" s="5"/>
      <c r="V35" s="16">
        <f t="shared" si="2"/>
        <v>2.9808063861893652</v>
      </c>
      <c r="W35" s="5"/>
      <c r="X35" s="43">
        <v>6.3575968933909318E+32</v>
      </c>
      <c r="Y35" s="43">
        <v>0.12308604911917098</v>
      </c>
      <c r="Z35" s="13">
        <v>42.094156699609691</v>
      </c>
      <c r="AA35" s="37"/>
      <c r="AX35" s="5"/>
    </row>
    <row r="36" spans="3:50" x14ac:dyDescent="0.2">
      <c r="C36" s="12"/>
      <c r="D36" s="5">
        <v>1600</v>
      </c>
      <c r="E36" s="5"/>
      <c r="F36" s="29">
        <v>2.4370146535605595</v>
      </c>
      <c r="G36" s="28">
        <v>0.72598990289717658</v>
      </c>
      <c r="H36" s="28">
        <v>0.72591791249248816</v>
      </c>
      <c r="I36" s="28">
        <v>0.25862849730750359</v>
      </c>
      <c r="J36" s="28">
        <v>0.23695586943035155</v>
      </c>
      <c r="K36" s="28">
        <v>0.2369108057065081</v>
      </c>
      <c r="L36" s="62">
        <f t="shared" si="0"/>
        <v>1.8646827406397566E-2</v>
      </c>
      <c r="N36" s="4"/>
      <c r="P36" s="12"/>
      <c r="Q36" s="5">
        <v>1600</v>
      </c>
      <c r="R36" s="5"/>
      <c r="S36" s="45">
        <f t="shared" si="1"/>
        <v>2.1801513940291145E-25</v>
      </c>
      <c r="T36" s="44">
        <v>152694265.10288709</v>
      </c>
      <c r="U36" s="5"/>
      <c r="V36" s="16">
        <f t="shared" si="2"/>
        <v>2.9808063861893652</v>
      </c>
      <c r="W36" s="5"/>
      <c r="X36" s="43">
        <v>7.0038376931564578E+32</v>
      </c>
      <c r="Y36" s="43">
        <v>0.13129178572711572</v>
      </c>
      <c r="Z36" s="13">
        <v>42.414784759546514</v>
      </c>
      <c r="AA36" s="37"/>
      <c r="AX36" s="5"/>
    </row>
    <row r="37" spans="3:50" x14ac:dyDescent="0.2">
      <c r="C37" s="12"/>
      <c r="D37" s="5">
        <v>1700</v>
      </c>
      <c r="E37" s="5"/>
      <c r="F37" s="29">
        <v>2.5913694044084585</v>
      </c>
      <c r="G37" s="28">
        <v>0.77731151658391495</v>
      </c>
      <c r="H37" s="28">
        <v>0.77723545496862467</v>
      </c>
      <c r="I37" s="28">
        <v>0.28428654860559416</v>
      </c>
      <c r="J37" s="28">
        <v>0.2613622429334222</v>
      </c>
      <c r="K37" s="28">
        <v>0.26131454124302961</v>
      </c>
      <c r="L37" s="62">
        <f t="shared" si="0"/>
        <v>3.0397633143991524E-2</v>
      </c>
      <c r="N37" s="4"/>
      <c r="P37" s="12"/>
      <c r="Q37" s="5">
        <v>1700</v>
      </c>
      <c r="R37" s="5"/>
      <c r="S37" s="45">
        <f t="shared" si="1"/>
        <v>2.316410856155934E-25</v>
      </c>
      <c r="T37" s="44">
        <v>177682670.52312618</v>
      </c>
      <c r="U37" s="5"/>
      <c r="V37" s="16">
        <f t="shared" si="2"/>
        <v>2.9808063861893652</v>
      </c>
      <c r="W37" s="5"/>
      <c r="X37" s="43">
        <v>7.6706025639160233E+32</v>
      </c>
      <c r="Y37" s="43">
        <v>0.13949752233506044</v>
      </c>
      <c r="Z37" s="13">
        <v>42.715968525997731</v>
      </c>
      <c r="AA37" s="37"/>
      <c r="AX37" s="5"/>
    </row>
    <row r="38" spans="3:50" x14ac:dyDescent="0.2">
      <c r="C38" s="12"/>
      <c r="D38" s="5">
        <v>1800</v>
      </c>
      <c r="E38" s="5"/>
      <c r="F38" s="29">
        <v>2.7456160208914948</v>
      </c>
      <c r="G38" s="28">
        <v>0.82836489768282651</v>
      </c>
      <c r="H38" s="28">
        <v>0.82828475444075023</v>
      </c>
      <c r="I38" s="28">
        <v>0.30980130623541763</v>
      </c>
      <c r="J38" s="28">
        <v>0.28566145392597164</v>
      </c>
      <c r="K38" s="28">
        <v>0.28561119616983505</v>
      </c>
      <c r="L38" s="62">
        <f t="shared" si="0"/>
        <v>4.7615820264814368E-2</v>
      </c>
      <c r="N38" s="4"/>
      <c r="P38" s="12"/>
      <c r="Q38" s="5">
        <v>1800</v>
      </c>
      <c r="R38" s="5"/>
      <c r="S38" s="45">
        <f t="shared" si="1"/>
        <v>2.4526703182827536E-25</v>
      </c>
      <c r="T38" s="44">
        <v>204976480.65249294</v>
      </c>
      <c r="U38" s="5"/>
      <c r="V38" s="16">
        <f t="shared" si="2"/>
        <v>2.9808063861893652</v>
      </c>
      <c r="W38" s="5"/>
      <c r="X38" s="43">
        <v>8.3572781520839706E+32</v>
      </c>
      <c r="Y38" s="43">
        <v>0.14770325894300521</v>
      </c>
      <c r="Z38" s="13">
        <v>42.999932134328702</v>
      </c>
      <c r="AA38" s="37"/>
      <c r="AX38" s="5"/>
    </row>
    <row r="39" spans="3:50" x14ac:dyDescent="0.2">
      <c r="C39" s="12"/>
      <c r="D39" s="5">
        <v>1900</v>
      </c>
      <c r="E39" s="5"/>
      <c r="F39" s="29">
        <v>2.8997713192013612</v>
      </c>
      <c r="G39" s="28">
        <v>0.87918551655666288</v>
      </c>
      <c r="H39" s="28">
        <v>0.87910128132960375</v>
      </c>
      <c r="I39" s="28">
        <v>0.33515845707754749</v>
      </c>
      <c r="J39" s="28">
        <v>0.30983098613497945</v>
      </c>
      <c r="K39" s="28">
        <v>0.30977823621929912</v>
      </c>
      <c r="L39" s="62">
        <f t="shared" si="0"/>
        <v>7.209566011184404E-2</v>
      </c>
      <c r="N39" s="4" t="s">
        <v>12</v>
      </c>
      <c r="P39" s="12"/>
      <c r="Q39" s="5">
        <v>1900</v>
      </c>
      <c r="R39" s="5"/>
      <c r="S39" s="45">
        <f t="shared" si="1"/>
        <v>2.5889297804095731E-25</v>
      </c>
      <c r="T39" s="44">
        <v>234642551.1463398</v>
      </c>
      <c r="U39" s="5"/>
      <c r="V39" s="16">
        <f t="shared" si="2"/>
        <v>2.9808063861893652</v>
      </c>
      <c r="W39" s="5"/>
      <c r="X39" s="43">
        <v>9.0633030266745576E+32</v>
      </c>
      <c r="Y39" s="43">
        <v>0.15590899555094992</v>
      </c>
      <c r="Z39" s="13">
        <v>43.268538665071958</v>
      </c>
      <c r="AA39" s="37"/>
      <c r="AX39" s="5"/>
    </row>
    <row r="40" spans="3:50" ht="17" thickBot="1" x14ac:dyDescent="0.25">
      <c r="C40" s="12"/>
      <c r="D40" s="5">
        <v>2000</v>
      </c>
      <c r="E40" s="5"/>
      <c r="F40" s="61">
        <v>3.0538488115475348</v>
      </c>
      <c r="G40" s="60">
        <v>0.92980324565078865</v>
      </c>
      <c r="H40" s="60">
        <v>0.92971490845510241</v>
      </c>
      <c r="I40" s="60">
        <v>0.36035259958213911</v>
      </c>
      <c r="J40" s="60">
        <v>0.33385897010697035</v>
      </c>
      <c r="K40" s="60">
        <v>0.33380377761750191</v>
      </c>
      <c r="L40" s="59">
        <f t="shared" si="0"/>
        <v>0.10601573810883014</v>
      </c>
      <c r="N40" s="4"/>
      <c r="P40" s="12"/>
      <c r="Q40" s="5">
        <v>2000</v>
      </c>
      <c r="R40" s="5"/>
      <c r="S40" s="41">
        <f t="shared" si="1"/>
        <v>2.7251892425363931E-25</v>
      </c>
      <c r="T40" s="40">
        <v>266745903.55033323</v>
      </c>
      <c r="U40" s="5"/>
      <c r="V40" s="10">
        <f t="shared" si="2"/>
        <v>2.9808063861893652</v>
      </c>
      <c r="W40" s="5"/>
      <c r="X40" s="39">
        <v>9.7881607407956376E+32</v>
      </c>
      <c r="Y40" s="39">
        <v>0.16411473215889463</v>
      </c>
      <c r="Z40" s="7">
        <v>43.523364297537114</v>
      </c>
      <c r="AA40" s="37"/>
      <c r="AX40" s="5"/>
    </row>
    <row r="41" spans="3:50" x14ac:dyDescent="0.2">
      <c r="C41" s="12"/>
      <c r="D41" s="5"/>
      <c r="E41" s="5"/>
      <c r="F41" s="28"/>
      <c r="G41" s="28"/>
      <c r="H41" s="28"/>
      <c r="I41" s="28"/>
      <c r="J41" s="28"/>
      <c r="K41" s="28"/>
      <c r="L41" s="28"/>
      <c r="M41" s="5"/>
      <c r="N41" s="37"/>
      <c r="O41" s="5"/>
      <c r="P41" s="12"/>
      <c r="Q41" s="5"/>
      <c r="R41" s="5"/>
      <c r="S41" s="5"/>
      <c r="T41" s="5"/>
      <c r="U41" s="5"/>
      <c r="V41" s="5"/>
      <c r="W41" s="5"/>
      <c r="X41" s="5"/>
      <c r="Y41" s="5"/>
      <c r="Z41" s="5"/>
      <c r="AA41" s="37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3:50" ht="17" thickBot="1" x14ac:dyDescent="0.25">
      <c r="C42" s="12"/>
      <c r="D42" s="5"/>
      <c r="E42" s="5"/>
      <c r="F42" s="28"/>
      <c r="G42" s="28"/>
      <c r="H42" s="28"/>
      <c r="I42" s="28"/>
      <c r="J42" s="28"/>
      <c r="K42" s="28"/>
      <c r="L42" s="28"/>
      <c r="M42" s="5"/>
      <c r="N42" s="37"/>
      <c r="O42" s="5"/>
      <c r="P42" s="36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1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3:50" ht="17" thickBot="1" x14ac:dyDescent="0.25">
      <c r="C43" s="12"/>
      <c r="D43" s="5"/>
      <c r="E43" s="5"/>
      <c r="L43" s="28"/>
      <c r="M43" s="5"/>
      <c r="N43" s="37"/>
      <c r="O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3:50" ht="17" thickBot="1" x14ac:dyDescent="0.25">
      <c r="C44" s="12"/>
      <c r="D44" s="27" t="s">
        <v>3</v>
      </c>
      <c r="E44" s="5"/>
      <c r="F44" s="158" t="s">
        <v>16</v>
      </c>
      <c r="G44" s="159"/>
      <c r="H44" s="159"/>
      <c r="I44" s="159"/>
      <c r="J44" s="159"/>
      <c r="K44" s="159"/>
      <c r="L44" s="58" t="s">
        <v>14</v>
      </c>
      <c r="M44" s="24" t="s">
        <v>1</v>
      </c>
      <c r="N44" s="37"/>
      <c r="O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3:50" ht="17" thickBot="1" x14ac:dyDescent="0.25">
      <c r="C45" s="12"/>
      <c r="D45" s="5">
        <v>298.14999999999998</v>
      </c>
      <c r="E45" s="5"/>
      <c r="F45" s="56" cm="1">
        <f t="array" ref="F45:K62">(I12:N12^2 * EXP(I12:N12/D23:D40)) / (D23:D40^2 * (EXP(I12:N12/D23:D40) - 1)^2)</f>
        <v>0.68129294865312762</v>
      </c>
      <c r="G45" s="32">
        <v>4.789009602479969E-2</v>
      </c>
      <c r="H45" s="32">
        <v>4.7869503476498841E-2</v>
      </c>
      <c r="I45" s="32">
        <v>5.9406260814662226E-5</v>
      </c>
      <c r="J45" s="32">
        <v>2.8522126876750726E-5</v>
      </c>
      <c r="K45" s="32">
        <v>2.8476120785204104E-5</v>
      </c>
      <c r="L45" s="56">
        <f t="array" ref="L45">SUM(F45:K45)</f>
        <v>0.77716895266290276</v>
      </c>
      <c r="M45" s="16">
        <f t="array" ref="M45">PRODUCT(L45,$J$8,$K$8)</f>
        <v>1.5443934514971207</v>
      </c>
      <c r="N45" s="4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3:50" x14ac:dyDescent="0.2">
      <c r="C46" s="12"/>
      <c r="D46" s="5">
        <v>400</v>
      </c>
      <c r="E46" s="5"/>
      <c r="F46" s="6">
        <v>0.80515848148627833</v>
      </c>
      <c r="G46" s="5">
        <v>0.15588863868293576</v>
      </c>
      <c r="H46" s="5">
        <v>0.15584493081482412</v>
      </c>
      <c r="I46" s="5">
        <v>1.5706993488011382E-3</v>
      </c>
      <c r="J46" s="5">
        <v>9.343672835315476E-4</v>
      </c>
      <c r="K46" s="5">
        <v>9.3329841167616489E-4</v>
      </c>
      <c r="L46" s="6">
        <f t="array" ref="L46">SUM(F46:K46)</f>
        <v>1.1203304160280472</v>
      </c>
      <c r="M46" s="16">
        <f t="array" ref="M46">PRODUCT(L46,$J$8,$K$8)</f>
        <v>2.2263253724923944</v>
      </c>
      <c r="N46" s="4"/>
      <c r="P46" s="34"/>
      <c r="Q46" s="33"/>
      <c r="R46" s="33"/>
      <c r="S46" s="33"/>
      <c r="T46" s="33"/>
      <c r="U46" s="33"/>
      <c r="V46" s="33"/>
      <c r="W46" s="33"/>
      <c r="X46" s="32"/>
      <c r="Y46" s="32"/>
      <c r="Z46" s="32"/>
      <c r="AA46" s="31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3:50" ht="17" thickBot="1" x14ac:dyDescent="0.25">
      <c r="C47" s="12"/>
      <c r="D47" s="5">
        <v>500</v>
      </c>
      <c r="E47" s="5"/>
      <c r="F47" s="6">
        <v>0.86957178642819388</v>
      </c>
      <c r="G47" s="5">
        <v>0.28527531940651973</v>
      </c>
      <c r="H47" s="5">
        <v>0.28521910608187512</v>
      </c>
      <c r="I47" s="5">
        <v>9.6491526195162051E-3</v>
      </c>
      <c r="J47" s="5">
        <v>6.5068914833975111E-3</v>
      </c>
      <c r="K47" s="5">
        <v>6.5012345990117506E-3</v>
      </c>
      <c r="L47" s="6">
        <f t="array" ref="L47">SUM(F47:K47)</f>
        <v>1.462723490618514</v>
      </c>
      <c r="M47" s="16">
        <f t="array" ref="M47">PRODUCT(L47,$J$8,$K$8)</f>
        <v>2.9067303480432445</v>
      </c>
      <c r="N47" s="4"/>
      <c r="P47" s="29"/>
      <c r="Q47" s="28"/>
      <c r="R47" s="28"/>
      <c r="S47" s="28"/>
      <c r="T47" s="28"/>
      <c r="U47" s="28"/>
      <c r="V47" s="28"/>
      <c r="W47" s="28"/>
      <c r="X47" s="5"/>
      <c r="Y47" s="5"/>
      <c r="Z47" s="5"/>
      <c r="AA47" s="4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3:50" ht="17" thickBot="1" x14ac:dyDescent="0.25">
      <c r="C48" s="12"/>
      <c r="D48" s="5">
        <v>600</v>
      </c>
      <c r="E48" s="5"/>
      <c r="F48" s="6">
        <v>0.90713948470889649</v>
      </c>
      <c r="G48" s="5">
        <v>0.40667734962056479</v>
      </c>
      <c r="H48" s="5">
        <v>0.40661830279261807</v>
      </c>
      <c r="I48" s="5">
        <v>3.0285618509924467E-2</v>
      </c>
      <c r="J48" s="5">
        <v>2.2198993843395676E-2</v>
      </c>
      <c r="K48" s="5">
        <v>2.2183750625743504E-2</v>
      </c>
      <c r="L48" s="6">
        <f t="array" ref="L48">SUM(F48:K48)</f>
        <v>1.7951035001011428</v>
      </c>
      <c r="M48" s="16">
        <f t="array" ref="M48">PRODUCT(L48,$J$8,$K$8)</f>
        <v>3.5672373179815788</v>
      </c>
      <c r="N48" s="4"/>
      <c r="P48" s="12"/>
      <c r="Q48" s="5"/>
      <c r="R48" s="5"/>
      <c r="S48" s="146" t="s">
        <v>4</v>
      </c>
      <c r="T48" s="147"/>
      <c r="U48" s="147"/>
      <c r="V48" s="147"/>
      <c r="W48" s="147"/>
      <c r="X48" s="147"/>
      <c r="Y48" s="147"/>
      <c r="Z48" s="148"/>
      <c r="AA48" s="4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3:50" x14ac:dyDescent="0.2">
      <c r="C49" s="12"/>
      <c r="D49" s="5">
        <v>700</v>
      </c>
      <c r="E49" s="5"/>
      <c r="F49" s="6">
        <v>0.93073063330699868</v>
      </c>
      <c r="G49" s="5">
        <v>0.50911150221678647</v>
      </c>
      <c r="H49" s="5">
        <v>0.50905501362384931</v>
      </c>
      <c r="I49" s="5">
        <v>6.5451130967813159E-2</v>
      </c>
      <c r="J49" s="5">
        <v>5.0899407336393226E-2</v>
      </c>
      <c r="K49" s="5">
        <v>5.0871063199156991E-2</v>
      </c>
      <c r="L49" s="6">
        <f t="array" ref="L49">SUM(F49:K49)</f>
        <v>2.1161187506509975</v>
      </c>
      <c r="M49" s="16">
        <f t="array" ref="M49">PRODUCT(L49,$J$8,$K$8)</f>
        <v>4.2051601905837037</v>
      </c>
      <c r="N49" s="4"/>
      <c r="P49" s="12"/>
      <c r="Q49" s="5"/>
      <c r="R49" s="5"/>
      <c r="S49" s="5"/>
      <c r="T49" s="5"/>
      <c r="U49" s="5"/>
      <c r="V49" s="5"/>
      <c r="W49" s="5"/>
      <c r="X49" s="5"/>
      <c r="Y49" s="5"/>
      <c r="AA49" s="4"/>
      <c r="AC49" s="132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3:50" ht="17" thickBot="1" x14ac:dyDescent="0.25">
      <c r="C50" s="12"/>
      <c r="D50" s="5">
        <v>800</v>
      </c>
      <c r="E50" s="5"/>
      <c r="F50" s="6">
        <v>0.9464356977669246</v>
      </c>
      <c r="G50" s="5">
        <v>0.59194983758607589</v>
      </c>
      <c r="H50" s="5">
        <v>0.59189816217123026</v>
      </c>
      <c r="I50" s="5">
        <v>0.1128192368007879</v>
      </c>
      <c r="J50" s="5">
        <v>9.1670295519134304E-2</v>
      </c>
      <c r="K50" s="5">
        <v>9.1628080172555346E-2</v>
      </c>
      <c r="L50" s="6">
        <f t="array" ref="L50">SUM(F50:K50)</f>
        <v>2.4264013100167081</v>
      </c>
      <c r="M50" s="16">
        <f t="array" ref="M50">PRODUCT(L50,$J$8,$K$8)</f>
        <v>4.821755013570697</v>
      </c>
      <c r="N50" s="4"/>
      <c r="P50" s="12"/>
      <c r="Q50" s="5"/>
      <c r="R50" s="5"/>
      <c r="S50" s="5"/>
      <c r="AA50" s="4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3:50" ht="17" thickBot="1" x14ac:dyDescent="0.25">
      <c r="C51" s="12"/>
      <c r="D51" s="5">
        <v>900</v>
      </c>
      <c r="E51" s="5"/>
      <c r="F51" s="6">
        <v>0.95738665351586716</v>
      </c>
      <c r="G51" s="5">
        <v>0.65801581577557822</v>
      </c>
      <c r="H51" s="5">
        <v>0.65796953321874052</v>
      </c>
      <c r="I51" s="5">
        <v>0.16809906504127917</v>
      </c>
      <c r="J51" s="5">
        <v>0.14124531996572218</v>
      </c>
      <c r="K51" s="5">
        <v>0.14119069627543218</v>
      </c>
      <c r="L51" s="6">
        <f t="array" ref="L51">SUM(F51:K51)</f>
        <v>2.7239070837926196</v>
      </c>
      <c r="M51" s="16">
        <f t="array" ref="M51">PRODUCT(L51,$J$8,$K$8)</f>
        <v>5.4129597538369936</v>
      </c>
      <c r="N51" s="4"/>
      <c r="P51" s="12"/>
      <c r="Q51" s="27" t="s">
        <v>3</v>
      </c>
      <c r="R51" s="26"/>
      <c r="T51" s="25" t="s">
        <v>2</v>
      </c>
      <c r="U51" s="5"/>
      <c r="V51" s="24" t="s">
        <v>1</v>
      </c>
      <c r="W51" s="5"/>
      <c r="X51" s="5"/>
      <c r="Y51" s="5"/>
      <c r="Z51" s="23" t="s">
        <v>0</v>
      </c>
      <c r="AA51" s="4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3:50" x14ac:dyDescent="0.2">
      <c r="C52" s="12"/>
      <c r="D52" s="5">
        <v>1000</v>
      </c>
      <c r="E52" s="5"/>
      <c r="F52" s="6">
        <v>0.96531304031161103</v>
      </c>
      <c r="G52" s="5">
        <v>0.7106712392095742</v>
      </c>
      <c r="H52" s="5">
        <v>0.71063016157381209</v>
      </c>
      <c r="I52" s="5">
        <v>0.22701696646262207</v>
      </c>
      <c r="J52" s="5">
        <v>0.19582135188883107</v>
      </c>
      <c r="K52" s="5">
        <v>0.19575694531071708</v>
      </c>
      <c r="L52" s="6">
        <f t="array" ref="L52">SUM(F52:K52)</f>
        <v>3.0052097047571675</v>
      </c>
      <c r="M52" s="16">
        <f t="array" ref="M52">PRODUCT(L52,$J$8,$K$8)</f>
        <v>5.9719655198522812</v>
      </c>
      <c r="N52" s="4"/>
      <c r="P52" s="12"/>
      <c r="Q52" s="5">
        <v>298.14999999999998</v>
      </c>
      <c r="R52" s="5"/>
      <c r="T52" s="132" cm="1">
        <f t="array" ref="T52:T69">( SQRT($X$10*$Y$10*$Z$10)*8 * (PI())^2* (2 * PI() *$E$8 * Q52:Q69)^(3/2))/($H$8*($F$8)^3)</f>
        <v>254.90602396961057</v>
      </c>
      <c r="U52" s="5"/>
      <c r="V52" s="21">
        <f t="shared" ref="V52:V69" si="3">$J$8*$K$8*3/2</f>
        <v>2.9808063861893652</v>
      </c>
      <c r="W52" s="5"/>
      <c r="X52" s="20" cm="1">
        <f t="array" ref="X52:X69">(SQRT(PI())/$H$8)*((Q52:Q69)^3/($X$12*$Y$12*$Z$12))^(1/2)</f>
        <v>254.90644924075232</v>
      </c>
      <c r="Y52" s="20">
        <f t="shared" ref="Y52:Y69" si="4">(LN(X52)+1.5)*$E$8</f>
        <v>9.7210068666326567E-23</v>
      </c>
      <c r="Z52" s="90">
        <f t="shared" ref="Z52:Z69" si="5">Y52*$G$8*$K$8</f>
        <v>13.991699724203784</v>
      </c>
      <c r="AA52" s="4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3:50" x14ac:dyDescent="0.2">
      <c r="C53" s="12"/>
      <c r="D53" s="5">
        <v>1100</v>
      </c>
      <c r="E53" s="5"/>
      <c r="F53" s="6">
        <v>0.97122833822475874</v>
      </c>
      <c r="G53" s="5">
        <v>0.75287169641462715</v>
      </c>
      <c r="H53" s="5">
        <v>0.7528353363192819</v>
      </c>
      <c r="I53" s="5">
        <v>0.28622248746355611</v>
      </c>
      <c r="J53" s="5">
        <v>0.25210512560044757</v>
      </c>
      <c r="K53" s="5">
        <v>0.25203384109570898</v>
      </c>
      <c r="L53" s="6">
        <f t="array" ref="L53">SUM(F53:K53)</f>
        <v>3.2672968251183807</v>
      </c>
      <c r="M53" s="16">
        <f t="array" ref="M53">PRODUCT(L53,$J$8,$K$8)</f>
        <v>6.4927861612594047</v>
      </c>
      <c r="N53" s="4"/>
      <c r="P53" s="12"/>
      <c r="Q53" s="5">
        <v>400</v>
      </c>
      <c r="R53" s="5"/>
      <c r="T53" s="18">
        <v>396.11187781536927</v>
      </c>
      <c r="U53" s="5"/>
      <c r="V53" s="16">
        <f t="shared" si="3"/>
        <v>2.9808063861893652</v>
      </c>
      <c r="W53" s="5"/>
      <c r="X53" s="14">
        <v>396.11253866656477</v>
      </c>
      <c r="Y53" s="14">
        <f t="shared" si="4"/>
        <v>1.0329599358252114E-22</v>
      </c>
      <c r="Z53" s="13">
        <f t="shared" si="5"/>
        <v>14.867662833166603</v>
      </c>
      <c r="AA53" s="4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3:50" x14ac:dyDescent="0.2">
      <c r="C54" s="12"/>
      <c r="D54" s="5">
        <v>1200</v>
      </c>
      <c r="E54" s="5"/>
      <c r="F54" s="6">
        <v>0.975756521555047</v>
      </c>
      <c r="G54" s="5">
        <v>0.78697545676270164</v>
      </c>
      <c r="H54" s="5">
        <v>0.78694324830454354</v>
      </c>
      <c r="I54" s="5">
        <v>0.34345092482282358</v>
      </c>
      <c r="J54" s="5">
        <v>0.30766792349368849</v>
      </c>
      <c r="K54" s="5">
        <v>0.30759242927934205</v>
      </c>
      <c r="L54" s="6">
        <f t="array" ref="L54">SUM(F54:K54)</f>
        <v>3.5083865042181461</v>
      </c>
      <c r="M54" s="16">
        <f t="array" ref="M54">PRODUCT(L54,$J$8,$K$8)</f>
        <v>6.9718805979960221</v>
      </c>
      <c r="N54" s="4"/>
      <c r="P54" s="12"/>
      <c r="Q54" s="5">
        <v>500</v>
      </c>
      <c r="R54" s="5"/>
      <c r="T54" s="18">
        <v>553.58317843141356</v>
      </c>
      <c r="U54" s="5"/>
      <c r="V54" s="16">
        <f t="shared" si="3"/>
        <v>2.9808063861893652</v>
      </c>
      <c r="W54" s="5"/>
      <c r="X54" s="14">
        <v>553.58410199903301</v>
      </c>
      <c r="Y54" s="14">
        <f t="shared" si="4"/>
        <v>1.0791723739719734E-22</v>
      </c>
      <c r="Z54" s="13">
        <f t="shared" si="5"/>
        <v>15.532810555973235</v>
      </c>
      <c r="AA54" s="4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3:50" x14ac:dyDescent="0.2">
      <c r="C55" s="12"/>
      <c r="D55" s="5">
        <v>1300</v>
      </c>
      <c r="E55" s="5"/>
      <c r="F55" s="6">
        <v>0.97929803819086192</v>
      </c>
      <c r="G55" s="5">
        <v>0.81479545711448298</v>
      </c>
      <c r="H55" s="5">
        <v>0.8147668522602266</v>
      </c>
      <c r="I55" s="5">
        <v>0.39735741070545816</v>
      </c>
      <c r="J55" s="5">
        <v>0.3609195233162516</v>
      </c>
      <c r="K55" s="5">
        <v>0.36084203028776862</v>
      </c>
      <c r="L55" s="6">
        <f t="array" ref="L55">SUM(F55:K55)</f>
        <v>3.7279793118750497</v>
      </c>
      <c r="M55" s="16">
        <f t="array" ref="M55">PRODUCT(L55,$J$8,$K$8)</f>
        <v>7.4082563602793225</v>
      </c>
      <c r="N55" s="4"/>
      <c r="P55" s="12"/>
      <c r="Q55" s="5">
        <v>600</v>
      </c>
      <c r="R55" s="5"/>
      <c r="T55" s="18">
        <v>727.70398627749319</v>
      </c>
      <c r="U55" s="5"/>
      <c r="V55" s="16">
        <f t="shared" si="3"/>
        <v>2.9808063861893652</v>
      </c>
      <c r="W55" s="5"/>
      <c r="X55" s="14">
        <v>727.7052003386666</v>
      </c>
      <c r="Y55" s="14">
        <f t="shared" si="4"/>
        <v>1.1169306852318756E-22</v>
      </c>
      <c r="Z55" s="13">
        <f t="shared" si="5"/>
        <v>16.076275816814654</v>
      </c>
      <c r="AA55" s="4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3:50" x14ac:dyDescent="0.2">
      <c r="C56" s="12"/>
      <c r="D56" s="5">
        <v>1400</v>
      </c>
      <c r="E56" s="5"/>
      <c r="F56" s="6">
        <v>0.9821190959078685</v>
      </c>
      <c r="G56" s="5">
        <v>0.83770751312013414</v>
      </c>
      <c r="H56" s="5">
        <v>0.83768201860186142</v>
      </c>
      <c r="I56" s="5">
        <v>0.44726919636961843</v>
      </c>
      <c r="J56" s="5">
        <v>0.41093869119437493</v>
      </c>
      <c r="K56" s="5">
        <v>0.41086091080128306</v>
      </c>
      <c r="L56" s="6">
        <f t="array" ref="L56">SUM(F56:K56)</f>
        <v>3.9265774259951405</v>
      </c>
      <c r="M56" s="16">
        <f t="array" ref="M56">PRODUCT(L56,$J$8,$K$8)</f>
        <v>7.8029113781822108</v>
      </c>
      <c r="N56" s="4"/>
      <c r="P56" s="12"/>
      <c r="Q56" s="5">
        <v>700</v>
      </c>
      <c r="R56" s="5"/>
      <c r="T56" s="18">
        <v>917.01183005098062</v>
      </c>
      <c r="U56" s="5"/>
      <c r="V56" s="16">
        <f t="shared" si="3"/>
        <v>2.9808063861893652</v>
      </c>
      <c r="W56" s="5"/>
      <c r="X56" s="14">
        <v>917.01335994291378</v>
      </c>
      <c r="Y56" s="14">
        <f t="shared" si="4"/>
        <v>1.1488548825247994E-22</v>
      </c>
      <c r="Z56" s="13">
        <f t="shared" si="5"/>
        <v>16.535769147687649</v>
      </c>
      <c r="AA56" s="4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3:50" x14ac:dyDescent="0.2">
      <c r="C57" s="12"/>
      <c r="D57" s="5">
        <v>1500</v>
      </c>
      <c r="E57" s="5"/>
      <c r="F57" s="6">
        <v>0.98440208702852228</v>
      </c>
      <c r="G57" s="5">
        <v>0.85675408331533365</v>
      </c>
      <c r="H57" s="5">
        <v>0.85673127026925588</v>
      </c>
      <c r="I57" s="5">
        <v>0.49296153347450106</v>
      </c>
      <c r="J57" s="5">
        <v>0.45728396151365952</v>
      </c>
      <c r="K57" s="5">
        <v>0.45720715106505433</v>
      </c>
      <c r="L57" s="6">
        <f t="array" ref="L57">SUM(F57:K57)</f>
        <v>4.1053400866663274</v>
      </c>
      <c r="M57" s="16">
        <f t="array" ref="M57">PRODUCT(L57,$J$8,$K$8)</f>
        <v>8.1581492985427939</v>
      </c>
      <c r="N57" s="4"/>
      <c r="P57" s="12"/>
      <c r="Q57" s="5">
        <v>800</v>
      </c>
      <c r="R57" s="5"/>
      <c r="T57" s="18">
        <v>1120.3735796471422</v>
      </c>
      <c r="U57" s="5"/>
      <c r="V57" s="16">
        <f t="shared" si="3"/>
        <v>2.9808063861893652</v>
      </c>
      <c r="W57" s="5"/>
      <c r="X57" s="14">
        <v>1120.375448816586</v>
      </c>
      <c r="Y57" s="14">
        <f t="shared" si="4"/>
        <v>1.1765088800791478E-22</v>
      </c>
      <c r="Z57" s="13">
        <f t="shared" si="5"/>
        <v>16.933800375586923</v>
      </c>
      <c r="AA57" s="4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3:50" x14ac:dyDescent="0.2">
      <c r="C58" s="12"/>
      <c r="D58" s="5">
        <v>1600</v>
      </c>
      <c r="E58" s="5"/>
      <c r="F58" s="6">
        <v>0.9862752859230266</v>
      </c>
      <c r="G58" s="5">
        <v>0.87272827534208797</v>
      </c>
      <c r="H58" s="5">
        <v>0.87270777719171833</v>
      </c>
      <c r="I58" s="5">
        <v>0.53448701268260046</v>
      </c>
      <c r="J58" s="5">
        <v>0.4998333569036818</v>
      </c>
      <c r="K58" s="5">
        <v>0.49975839704778097</v>
      </c>
      <c r="L58" s="6">
        <f t="array" ref="L58">SUM(F58:K58)</f>
        <v>4.265790105090896</v>
      </c>
      <c r="M58" s="16">
        <f t="array" ref="M58">PRODUCT(L58,$J$8,$K$8)</f>
        <v>8.4769962582655634</v>
      </c>
      <c r="N58" s="4"/>
      <c r="P58" s="12"/>
      <c r="Q58" s="5">
        <v>900</v>
      </c>
      <c r="R58" s="5"/>
      <c r="T58" s="18">
        <v>1336.8775876268733</v>
      </c>
      <c r="U58" s="5"/>
      <c r="V58" s="16">
        <f t="shared" si="3"/>
        <v>2.9808063861893652</v>
      </c>
      <c r="W58" s="5"/>
      <c r="X58" s="14">
        <v>1336.8798179996561</v>
      </c>
      <c r="Y58" s="14">
        <f t="shared" si="4"/>
        <v>1.2009014346385402E-22</v>
      </c>
      <c r="Z58" s="13">
        <f t="shared" si="5"/>
        <v>17.28488880046271</v>
      </c>
      <c r="AA58" s="4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3:50" x14ac:dyDescent="0.2">
      <c r="C59" s="12"/>
      <c r="D59" s="5">
        <v>1700</v>
      </c>
      <c r="E59" s="5"/>
      <c r="F59" s="6">
        <v>0.98783098826876381</v>
      </c>
      <c r="G59" s="5">
        <v>0.88623768368295397</v>
      </c>
      <c r="H59" s="5">
        <v>0.88621918955440515</v>
      </c>
      <c r="I59" s="5">
        <v>0.57205679478413352</v>
      </c>
      <c r="J59" s="5">
        <v>0.5386642011819085</v>
      </c>
      <c r="K59" s="5">
        <v>0.53859167695142363</v>
      </c>
      <c r="L59" s="6">
        <f t="array" ref="L59">SUM(F59:K59)</f>
        <v>4.4096005344235891</v>
      </c>
      <c r="M59" s="16">
        <f t="array" ref="M59">PRODUCT(L59,$J$8,$K$8)</f>
        <v>8.7627769557025825</v>
      </c>
      <c r="N59" s="4"/>
      <c r="P59" s="12"/>
      <c r="Q59" s="5">
        <v>1000</v>
      </c>
      <c r="R59" s="5"/>
      <c r="T59" s="18">
        <v>1565.7696776786022</v>
      </c>
      <c r="U59" s="5"/>
      <c r="V59" s="16">
        <f t="shared" si="3"/>
        <v>2.9808063861893652</v>
      </c>
      <c r="W59" s="5"/>
      <c r="X59" s="14">
        <v>1565.7722899223265</v>
      </c>
      <c r="Y59" s="14">
        <f t="shared" si="4"/>
        <v>1.2227213182259094E-22</v>
      </c>
      <c r="Z59" s="13">
        <f t="shared" si="5"/>
        <v>17.598948098393553</v>
      </c>
      <c r="AA59" s="4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 spans="3:50" x14ac:dyDescent="0.2">
      <c r="C60" s="12"/>
      <c r="D60" s="5">
        <v>1800</v>
      </c>
      <c r="E60" s="5"/>
      <c r="F60" s="6">
        <v>0.98913694940315111</v>
      </c>
      <c r="G60" s="5">
        <v>0.8977516566229844</v>
      </c>
      <c r="H60" s="5">
        <v>0.89773490361643393</v>
      </c>
      <c r="I60" s="5">
        <v>0.60596263888273727</v>
      </c>
      <c r="J60" s="5">
        <v>0.57396912857356264</v>
      </c>
      <c r="K60" s="5">
        <v>0.57389940148929408</v>
      </c>
      <c r="L60" s="6">
        <f t="array" ref="L60">SUM(F60:K60)</f>
        <v>4.5384546785881632</v>
      </c>
      <c r="M60" s="16">
        <f t="array" ref="M60">PRODUCT(L60,$J$8,$K$8)</f>
        <v>9.0188364595777326</v>
      </c>
      <c r="N60" s="92"/>
      <c r="P60" s="12"/>
      <c r="Q60" s="5">
        <v>1100</v>
      </c>
      <c r="R60" s="5"/>
      <c r="T60" s="18">
        <v>1806.4124013604405</v>
      </c>
      <c r="U60" s="5"/>
      <c r="V60" s="16">
        <f t="shared" si="3"/>
        <v>2.9808063861893652</v>
      </c>
      <c r="W60" s="5"/>
      <c r="X60" s="14">
        <v>1806.4154150791935</v>
      </c>
      <c r="Y60" s="14">
        <f t="shared" si="4"/>
        <v>1.2424598038914085E-22</v>
      </c>
      <c r="Z60" s="13">
        <f t="shared" si="5"/>
        <v>17.883049291028371</v>
      </c>
      <c r="AA60" s="4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 spans="3:50" x14ac:dyDescent="0.2">
      <c r="C61" s="12"/>
      <c r="D61" s="5">
        <v>1900</v>
      </c>
      <c r="E61" s="5"/>
      <c r="F61" s="6">
        <v>0.99024380268574275</v>
      </c>
      <c r="G61" s="5">
        <v>0.9076359707346292</v>
      </c>
      <c r="H61" s="5">
        <v>0.90762073648348029</v>
      </c>
      <c r="I61" s="5">
        <v>0.63652802908404493</v>
      </c>
      <c r="J61" s="5">
        <v>0.6060001845875157</v>
      </c>
      <c r="K61" s="5">
        <v>0.60593345186833303</v>
      </c>
      <c r="L61" s="6">
        <f t="array" ref="L61">SUM(F61:K61)</f>
        <v>4.6539621754437457</v>
      </c>
      <c r="M61" s="16">
        <f t="array" ref="M61">PRODUCT(L61,$J$8,$K$8)</f>
        <v>9.248373449097647</v>
      </c>
      <c r="N61" s="4"/>
      <c r="P61" s="12"/>
      <c r="Q61" s="5">
        <v>1200</v>
      </c>
      <c r="R61" s="5"/>
      <c r="T61" s="18">
        <v>2058.2576935731972</v>
      </c>
      <c r="U61" s="5"/>
      <c r="V61" s="16">
        <f t="shared" si="3"/>
        <v>2.9808063861893652</v>
      </c>
      <c r="W61" s="5"/>
      <c r="X61" s="14">
        <v>2058.2611274567448</v>
      </c>
      <c r="Y61" s="14">
        <f t="shared" si="4"/>
        <v>1.2604796294858121E-22</v>
      </c>
      <c r="Z61" s="13">
        <f t="shared" si="5"/>
        <v>18.142413359234979</v>
      </c>
      <c r="AA61" s="4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 spans="3:50" ht="17" thickBot="1" x14ac:dyDescent="0.25">
      <c r="C62" s="12"/>
      <c r="D62" s="5">
        <v>2000</v>
      </c>
      <c r="E62" s="5"/>
      <c r="F62" s="3">
        <v>0.99118999211349179</v>
      </c>
      <c r="G62" s="2">
        <v>0.91617824559843852</v>
      </c>
      <c r="H62" s="2">
        <v>0.91616434165717542</v>
      </c>
      <c r="I62" s="2">
        <v>0.66407892337355401</v>
      </c>
      <c r="J62" s="2">
        <v>0.63503310637704247</v>
      </c>
      <c r="K62" s="2">
        <v>0.63496944734313243</v>
      </c>
      <c r="L62" s="3">
        <f t="array" ref="L62">SUM(F62:K62)</f>
        <v>4.7576140564628346</v>
      </c>
      <c r="M62" s="10">
        <f t="array" ref="M62">PRODUCT(L62,$J$8,$K$8)</f>
        <v>9.4543509083524722</v>
      </c>
      <c r="N62" s="4"/>
      <c r="P62" s="12"/>
      <c r="Q62" s="5">
        <v>1300</v>
      </c>
      <c r="R62" s="5"/>
      <c r="T62" s="18">
        <v>2320.8277402109093</v>
      </c>
      <c r="U62" s="5"/>
      <c r="V62" s="16">
        <f t="shared" si="3"/>
        <v>2.9808063861893652</v>
      </c>
      <c r="W62" s="5"/>
      <c r="X62" s="14">
        <v>2320.831612151831</v>
      </c>
      <c r="Y62" s="14">
        <f t="shared" si="4"/>
        <v>1.2770562621318259E-22</v>
      </c>
      <c r="Z62" s="13">
        <f t="shared" si="5"/>
        <v>18.381005173440538</v>
      </c>
      <c r="AA62" s="4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 spans="3:50" x14ac:dyDescent="0.2">
      <c r="C63" s="12"/>
      <c r="D63" s="5"/>
      <c r="E63" s="5"/>
      <c r="F63" s="5"/>
      <c r="G63" s="5"/>
      <c r="H63" s="5"/>
      <c r="I63" s="5"/>
      <c r="J63" s="5"/>
      <c r="K63" s="5"/>
      <c r="L63" s="5"/>
      <c r="M63" s="5"/>
      <c r="N63" s="4"/>
      <c r="P63" s="12"/>
      <c r="Q63" s="5">
        <v>1400</v>
      </c>
      <c r="R63" s="5"/>
      <c r="T63" s="18">
        <v>2593.7011338293441</v>
      </c>
      <c r="U63" s="5"/>
      <c r="V63" s="16">
        <f t="shared" si="3"/>
        <v>2.9808063861893652</v>
      </c>
      <c r="W63" s="5"/>
      <c r="X63" s="14">
        <v>2593.705461017179</v>
      </c>
      <c r="Y63" s="14">
        <f t="shared" si="4"/>
        <v>1.2924038267787357E-22</v>
      </c>
      <c r="Z63" s="13">
        <f t="shared" si="5"/>
        <v>18.601906690107967</v>
      </c>
      <c r="AA63" s="4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 spans="3:50" x14ac:dyDescent="0.2">
      <c r="C64" s="12"/>
      <c r="D64" s="5"/>
      <c r="E64" s="5"/>
      <c r="F64" s="5"/>
      <c r="G64" s="5"/>
      <c r="H64" s="5"/>
      <c r="I64" s="5"/>
      <c r="J64" s="5"/>
      <c r="K64" s="5"/>
      <c r="L64" s="5"/>
      <c r="M64" s="5"/>
      <c r="N64" s="4"/>
      <c r="P64" s="12"/>
      <c r="Q64" s="5">
        <v>1500</v>
      </c>
      <c r="R64" s="5"/>
      <c r="T64" s="17">
        <v>2876.5025737760166</v>
      </c>
      <c r="V64" s="16">
        <f t="shared" si="3"/>
        <v>2.9808063861893652</v>
      </c>
      <c r="X64" s="15">
        <v>2876.5073727741506</v>
      </c>
      <c r="Y64" s="14">
        <f t="shared" si="4"/>
        <v>1.306692067632574E-22</v>
      </c>
      <c r="Z64" s="13">
        <f t="shared" si="5"/>
        <v>18.807561082041605</v>
      </c>
      <c r="AA64" s="4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 spans="3:50" ht="17" thickBot="1" x14ac:dyDescent="0.25">
      <c r="C65" s="12"/>
      <c r="D65" s="5"/>
      <c r="E65" s="5"/>
      <c r="F65" s="5"/>
      <c r="G65" s="5"/>
      <c r="H65" s="5"/>
      <c r="I65" s="5"/>
      <c r="J65" s="5"/>
      <c r="K65" s="5"/>
      <c r="L65" s="5"/>
      <c r="M65" s="5"/>
      <c r="N65" s="4"/>
      <c r="P65" s="12"/>
      <c r="Q65" s="5">
        <v>1600</v>
      </c>
      <c r="R65" s="5"/>
      <c r="T65" s="17">
        <v>3168.8950225229714</v>
      </c>
      <c r="V65" s="16">
        <f t="shared" si="3"/>
        <v>2.9808063861893652</v>
      </c>
      <c r="X65" s="15">
        <v>3168.9003093325182</v>
      </c>
      <c r="Y65" s="14">
        <f t="shared" si="4"/>
        <v>1.3200578243330838E-22</v>
      </c>
      <c r="Z65" s="13">
        <f t="shared" si="5"/>
        <v>18.999937918007237</v>
      </c>
      <c r="AA65" s="4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 spans="3:50" ht="17" thickBot="1" x14ac:dyDescent="0.25">
      <c r="C66" s="12"/>
      <c r="D66" s="27" t="s">
        <v>3</v>
      </c>
      <c r="E66" s="5"/>
      <c r="F66" s="160" t="s">
        <v>15</v>
      </c>
      <c r="G66" s="161"/>
      <c r="H66" s="161"/>
      <c r="I66" s="161"/>
      <c r="J66" s="161"/>
      <c r="K66" s="161"/>
      <c r="L66" s="57" t="s">
        <v>14</v>
      </c>
      <c r="M66" s="23" t="s">
        <v>13</v>
      </c>
      <c r="N66" s="4"/>
      <c r="P66" s="12"/>
      <c r="Q66" s="5">
        <v>1700</v>
      </c>
      <c r="R66" s="5"/>
      <c r="T66" s="17">
        <v>3470.5736125633593</v>
      </c>
      <c r="V66" s="16">
        <f t="shared" si="3"/>
        <v>2.9808063861893652</v>
      </c>
      <c r="X66" s="15">
        <v>3470.5794026768385</v>
      </c>
      <c r="Y66" s="14">
        <f t="shared" si="4"/>
        <v>1.3326130228560197E-22</v>
      </c>
      <c r="Z66" s="13">
        <f t="shared" si="5"/>
        <v>19.180648177881313</v>
      </c>
      <c r="AA66" s="4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  <row r="67" spans="3:50" x14ac:dyDescent="0.2">
      <c r="C67" s="12"/>
      <c r="D67" s="5">
        <v>298.14999999999998</v>
      </c>
      <c r="E67" s="5"/>
      <c r="F67" s="56" cm="1">
        <f t="array" ref="F67:K84">(I12:N12/D23:D40) / (EXP(I12:N12/D23:D40) - 1)-LN(1 - EXP(-I12:N12/D23:D40))</f>
        <v>0.39564379997371923</v>
      </c>
      <c r="G67" s="32">
        <v>7.9309077320581997E-3</v>
      </c>
      <c r="H67" s="32">
        <v>7.9267219470670683E-3</v>
      </c>
      <c r="I67" s="32">
        <v>4.174261746023666E-6</v>
      </c>
      <c r="J67" s="32">
        <v>1.8926147980958339E-6</v>
      </c>
      <c r="K67" s="32">
        <v>1.8893315480568282E-6</v>
      </c>
      <c r="L67" s="55">
        <f t="array" ref="L67">SUM(F67:K67)</f>
        <v>0.41150938586093666</v>
      </c>
      <c r="M67" s="42">
        <f t="array" ref="M67">PRODUCT(L67,$J$8,$K$8)</f>
        <v>0.8177532035674292</v>
      </c>
      <c r="N67" s="4"/>
      <c r="P67" s="12"/>
      <c r="Q67" s="5">
        <v>1800</v>
      </c>
      <c r="R67" s="5"/>
      <c r="T67" s="17">
        <v>3781.2608313091109</v>
      </c>
      <c r="V67" s="16">
        <f t="shared" si="3"/>
        <v>2.9808063861893652</v>
      </c>
      <c r="X67" s="15">
        <v>3781.267139755977</v>
      </c>
      <c r="Y67" s="14">
        <f t="shared" si="4"/>
        <v>1.3444503788924764E-22</v>
      </c>
      <c r="Z67" s="13">
        <f t="shared" si="5"/>
        <v>19.351026342883028</v>
      </c>
      <c r="AA67" s="4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</row>
    <row r="68" spans="3:50" x14ac:dyDescent="0.2">
      <c r="C68" s="12"/>
      <c r="D68" s="5">
        <v>400</v>
      </c>
      <c r="E68" s="5"/>
      <c r="F68" s="6">
        <v>0.61522933540877944</v>
      </c>
      <c r="G68" s="5">
        <v>3.5942901684707658E-2</v>
      </c>
      <c r="H68" s="5">
        <v>3.5929275377651539E-2</v>
      </c>
      <c r="I68" s="5">
        <v>1.5119580323431616E-4</v>
      </c>
      <c r="J68" s="5">
        <v>8.4850591031498105E-5</v>
      </c>
      <c r="K68" s="5">
        <v>8.474300852778194E-5</v>
      </c>
      <c r="L68" s="43">
        <f t="array" ref="L68">SUM(F68:K68)</f>
        <v>0.68742230187393227</v>
      </c>
      <c r="M68" s="42">
        <f t="array" ref="M68">PRODUCT(L68,$J$8,$K$8)</f>
        <v>1.3660485249565406</v>
      </c>
      <c r="N68" s="4"/>
      <c r="P68" s="12"/>
      <c r="Q68" s="5">
        <v>1900</v>
      </c>
      <c r="R68" s="5"/>
      <c r="T68" s="17">
        <v>4100.7026586166194</v>
      </c>
      <c r="V68" s="16">
        <f t="shared" si="3"/>
        <v>2.9808063861893652</v>
      </c>
      <c r="X68" s="15">
        <v>4100.7095000026457</v>
      </c>
      <c r="Y68" s="14">
        <f t="shared" si="4"/>
        <v>1.3556475571394141E-22</v>
      </c>
      <c r="Z68" s="13">
        <f t="shared" si="5"/>
        <v>19.512190261331952</v>
      </c>
      <c r="AA68" s="4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</row>
    <row r="69" spans="3:50" ht="17" thickBot="1" x14ac:dyDescent="0.25">
      <c r="C69" s="12"/>
      <c r="D69" s="5">
        <v>500</v>
      </c>
      <c r="E69" s="5"/>
      <c r="F69" s="6">
        <v>0.80250533605243435</v>
      </c>
      <c r="G69" s="5">
        <v>8.4566890550246437E-2</v>
      </c>
      <c r="H69" s="5">
        <v>8.4541953446912219E-2</v>
      </c>
      <c r="I69" s="5">
        <v>1.1844896382701593E-3</v>
      </c>
      <c r="J69" s="5">
        <v>7.5284456848064029E-4</v>
      </c>
      <c r="K69" s="5">
        <v>7.5209526584170871E-4</v>
      </c>
      <c r="L69" s="43">
        <f t="array" ref="L69">SUM(F69:K69)</f>
        <v>0.97430360952218553</v>
      </c>
      <c r="M69" s="42">
        <f t="array" ref="M69">PRODUCT(L69,$J$8,$K$8)</f>
        <v>1.9361402809007202</v>
      </c>
      <c r="N69" s="4"/>
      <c r="P69" s="12"/>
      <c r="Q69" s="5">
        <v>2000</v>
      </c>
      <c r="R69" s="5"/>
      <c r="T69" s="11">
        <v>4428.6654274512694</v>
      </c>
      <c r="V69" s="10">
        <f t="shared" si="3"/>
        <v>2.9808063861893652</v>
      </c>
      <c r="X69" s="9">
        <v>4428.6728159922641</v>
      </c>
      <c r="Y69" s="8">
        <f t="shared" si="4"/>
        <v>1.3662702624798457E-22</v>
      </c>
      <c r="Z69" s="7">
        <f t="shared" si="5"/>
        <v>19.665085640813871</v>
      </c>
      <c r="AA69" s="4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</row>
    <row r="70" spans="3:50" x14ac:dyDescent="0.2">
      <c r="C70" s="12"/>
      <c r="D70" s="5">
        <v>600</v>
      </c>
      <c r="E70" s="5"/>
      <c r="F70" s="6">
        <v>0.96465063599174117</v>
      </c>
      <c r="G70" s="5">
        <v>0.14755646345603168</v>
      </c>
      <c r="H70" s="5">
        <v>0.14752091317396301</v>
      </c>
      <c r="I70" s="5">
        <v>4.548101386283942E-3</v>
      </c>
      <c r="J70" s="5">
        <v>3.1396112373296764E-3</v>
      </c>
      <c r="K70" s="5">
        <v>3.1370546732196365E-3</v>
      </c>
      <c r="L70" s="43">
        <f t="array" ref="L70">SUM(F70:K70)</f>
        <v>1.2705527799185692</v>
      </c>
      <c r="M70" s="42">
        <f t="array" ref="M70">PRODUCT(L70,$J$8,$K$8)</f>
        <v>2.5248478935812813</v>
      </c>
      <c r="N70" s="4"/>
      <c r="P70" s="6"/>
      <c r="Q70" s="5"/>
      <c r="R70" s="5"/>
      <c r="S70" s="5"/>
      <c r="T70" s="5"/>
      <c r="U70" s="5"/>
      <c r="V70" s="5"/>
      <c r="W70" s="5"/>
      <c r="X70" s="5"/>
      <c r="Y70" s="5"/>
      <c r="Z70" s="5"/>
      <c r="AA70" s="4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</row>
    <row r="71" spans="3:50" ht="17" thickBot="1" x14ac:dyDescent="0.25">
      <c r="C71" s="12"/>
      <c r="D71" s="5">
        <v>700</v>
      </c>
      <c r="E71" s="5"/>
      <c r="F71" s="6">
        <v>1.1063890965800502</v>
      </c>
      <c r="G71" s="5">
        <v>0.21819971260318868</v>
      </c>
      <c r="H71" s="5">
        <v>0.21815520713124101</v>
      </c>
      <c r="I71" s="5">
        <v>1.1678137354755728E-2</v>
      </c>
      <c r="J71" s="5">
        <v>8.5480168918631166E-3</v>
      </c>
      <c r="K71" s="5">
        <v>8.5421546420470559E-3</v>
      </c>
      <c r="L71" s="43">
        <f t="array" ref="L71">SUM(F71:K71)</f>
        <v>1.5715123252031455</v>
      </c>
      <c r="M71" s="42">
        <f t="array" ref="M71">PRODUCT(L71,$J$8,$K$8)</f>
        <v>3.1229159832938902</v>
      </c>
      <c r="N71" s="4"/>
      <c r="P71" s="3"/>
      <c r="Q71" s="2"/>
      <c r="R71" s="2"/>
      <c r="S71" s="2"/>
      <c r="T71" s="2"/>
      <c r="U71" s="2"/>
      <c r="V71" s="2"/>
      <c r="W71" s="2"/>
      <c r="X71" s="2"/>
      <c r="Y71" s="2"/>
      <c r="Z71" s="2"/>
      <c r="AA71" s="1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</row>
    <row r="72" spans="3:50" x14ac:dyDescent="0.2">
      <c r="C72" s="12"/>
      <c r="D72" s="5">
        <v>800</v>
      </c>
      <c r="E72" s="5"/>
      <c r="F72" s="6">
        <v>1.2317625353910535</v>
      </c>
      <c r="G72" s="5">
        <v>0.29179495222886592</v>
      </c>
      <c r="H72" s="5">
        <v>0.29174320458923153</v>
      </c>
      <c r="I72" s="5">
        <v>2.3396644928623558E-2</v>
      </c>
      <c r="J72" s="5">
        <v>1.7887385096028711E-2</v>
      </c>
      <c r="K72" s="5">
        <v>1.7876826621932847E-2</v>
      </c>
      <c r="L72" s="43">
        <f t="array" ref="L72">SUM(F72:K72)</f>
        <v>1.8744615488557361</v>
      </c>
      <c r="M72" s="42">
        <f t="array" ref="M72">PRODUCT(L72,$J$8,$K$8)</f>
        <v>3.7249379703303913</v>
      </c>
      <c r="N72" s="4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</row>
    <row r="73" spans="3:50" x14ac:dyDescent="0.2">
      <c r="C73" s="12"/>
      <c r="D73" s="5">
        <v>900</v>
      </c>
      <c r="E73" s="5"/>
      <c r="F73" s="6">
        <v>1.3439053409518484</v>
      </c>
      <c r="G73" s="5">
        <v>0.36547878136035483</v>
      </c>
      <c r="H73" s="5">
        <v>0.36542125781373508</v>
      </c>
      <c r="I73" s="5">
        <v>3.9820930108809972E-2</v>
      </c>
      <c r="J73" s="5">
        <v>3.1479333778958264E-2</v>
      </c>
      <c r="K73" s="5">
        <v>3.1463064712944674E-2</v>
      </c>
      <c r="L73" s="43">
        <f t="array" ref="L73">SUM(F73:K73)</f>
        <v>2.1775687087266515</v>
      </c>
      <c r="M73" s="42">
        <f t="array" ref="M73">PRODUCT(L73,$J$8,$K$8)</f>
        <v>4.3272738088923548</v>
      </c>
      <c r="N73" s="4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</row>
    <row r="74" spans="3:50" x14ac:dyDescent="0.2">
      <c r="C74" s="12"/>
      <c r="D74" s="5">
        <v>1000</v>
      </c>
      <c r="E74" s="5"/>
      <c r="F74" s="6">
        <v>1.4452076238211902</v>
      </c>
      <c r="G74" s="5">
        <v>0.4376367054463397</v>
      </c>
      <c r="H74" s="5">
        <v>0.43757457838888469</v>
      </c>
      <c r="I74" s="5">
        <v>6.056575587810361E-2</v>
      </c>
      <c r="J74" s="5">
        <v>4.9157407324154523E-2</v>
      </c>
      <c r="K74" s="5">
        <v>4.9134851372300031E-2</v>
      </c>
      <c r="L74" s="43">
        <f t="array" ref="L74">SUM(F74:K74)</f>
        <v>2.479276922230973</v>
      </c>
      <c r="M74" s="42">
        <f t="array" ref="M74">PRODUCT(L74,$J$8,$K$8)</f>
        <v>4.9268296552786657</v>
      </c>
      <c r="N74" s="4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</row>
    <row r="75" spans="3:50" x14ac:dyDescent="0.2">
      <c r="C75" s="12"/>
      <c r="D75" s="5">
        <v>1100</v>
      </c>
      <c r="E75" s="5"/>
      <c r="F75" s="6">
        <v>1.5375022839829831</v>
      </c>
      <c r="G75" s="5">
        <v>0.50742285103640317</v>
      </c>
      <c r="H75" s="5">
        <v>0.50735703449159586</v>
      </c>
      <c r="I75" s="5">
        <v>8.4987605085984158E-2</v>
      </c>
      <c r="J75" s="5">
        <v>7.0458145405012385E-2</v>
      </c>
      <c r="K75" s="5">
        <v>7.0429105659034652E-2</v>
      </c>
      <c r="L75" s="43">
        <f t="array" ref="L75">SUM(F75:K75)</f>
        <v>2.7781570256610135</v>
      </c>
      <c r="M75" s="42">
        <f t="array" ref="M75">PRODUCT(L75,$J$8,$K$8)</f>
        <v>5.5207654692848012</v>
      </c>
      <c r="N75" s="4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</row>
    <row r="76" spans="3:50" x14ac:dyDescent="0.2">
      <c r="C76" s="12"/>
      <c r="D76" s="5">
        <v>1200</v>
      </c>
      <c r="E76" s="5"/>
      <c r="F76" s="6">
        <v>1.6222127287633459</v>
      </c>
      <c r="G76" s="5">
        <v>0.5744449336982439</v>
      </c>
      <c r="H76" s="5">
        <v>0.57437613552654199</v>
      </c>
      <c r="I76" s="5">
        <v>0.11236613106615734</v>
      </c>
      <c r="J76" s="5">
        <v>9.4788398389451967E-2</v>
      </c>
      <c r="K76" s="5">
        <v>9.4752957755904699E-2</v>
      </c>
      <c r="L76" s="43">
        <f t="array" ref="L76">SUM(F76:K76)</f>
        <v>3.0729412851996454</v>
      </c>
      <c r="M76" s="42">
        <f t="array" ref="M76">PRODUCT(L76,$J$8,$K$8)</f>
        <v>6.106562004872039</v>
      </c>
      <c r="N76" s="4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</row>
    <row r="77" spans="3:50" x14ac:dyDescent="0.2">
      <c r="C77" s="12"/>
      <c r="D77" s="5">
        <v>1300</v>
      </c>
      <c r="E77" s="5"/>
      <c r="F77" s="6">
        <v>1.7004603365594324</v>
      </c>
      <c r="G77" s="5">
        <v>0.63857198574380891</v>
      </c>
      <c r="H77" s="5">
        <v>0.6385007553129145</v>
      </c>
      <c r="I77" s="5">
        <v>0.14201056909267706</v>
      </c>
      <c r="J77" s="5">
        <v>0.12153691985489767</v>
      </c>
      <c r="K77" s="5">
        <v>0.12149534446874777</v>
      </c>
      <c r="L77" s="43">
        <f t="array" ref="L77">SUM(F77:K77)</f>
        <v>3.362575911032478</v>
      </c>
      <c r="M77" s="42">
        <f t="array" ref="M77">PRODUCT(L77,$J$8,$K$8)</f>
        <v>6.6821251664347558</v>
      </c>
      <c r="N77" s="4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</row>
    <row r="78" spans="3:50" x14ac:dyDescent="0.2">
      <c r="C78" s="12"/>
      <c r="D78" s="5">
        <v>1400</v>
      </c>
      <c r="E78" s="5"/>
      <c r="F78" s="6">
        <v>1.7731411809352466</v>
      </c>
      <c r="G78" s="5">
        <v>0.69982009170756865</v>
      </c>
      <c r="H78" s="5">
        <v>0.69974685810516535</v>
      </c>
      <c r="I78" s="5">
        <v>0.17331026586046192</v>
      </c>
      <c r="J78" s="5">
        <v>0.15013621498734364</v>
      </c>
      <c r="K78" s="5">
        <v>0.15008887714337371</v>
      </c>
      <c r="L78" s="43">
        <f t="array" ref="L78">SUM(F78:K78)</f>
        <v>3.6462434887391599</v>
      </c>
      <c r="M78" s="42">
        <f t="array" ref="M78">PRODUCT(L78,$J$8,$K$8)</f>
        <v>7.2458305845567192</v>
      </c>
      <c r="N78" s="4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</row>
    <row r="79" spans="3:50" x14ac:dyDescent="0.2">
      <c r="C79" s="12"/>
      <c r="D79" s="5">
        <v>1500</v>
      </c>
      <c r="E79" s="5"/>
      <c r="F79" s="6">
        <v>1.8409809266341672</v>
      </c>
      <c r="G79" s="5">
        <v>0.75828514396986901</v>
      </c>
      <c r="H79" s="5">
        <v>0.75821024514620583</v>
      </c>
      <c r="I79" s="5">
        <v>0.20575107576577925</v>
      </c>
      <c r="J79" s="5">
        <v>0.18009015365567901</v>
      </c>
      <c r="K79" s="5">
        <v>0.18003747653402052</v>
      </c>
      <c r="L79" s="43">
        <f t="array" ref="L79">SUM(F79:K79)</f>
        <v>3.9233550217057211</v>
      </c>
      <c r="M79" s="42">
        <f t="array" ref="M79">PRODUCT(L79,$J$8,$K$8)</f>
        <v>7.7965078026590193</v>
      </c>
      <c r="N79" s="4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</row>
    <row r="80" spans="3:50" x14ac:dyDescent="0.2">
      <c r="C80" s="12"/>
      <c r="D80" s="5">
        <v>1600</v>
      </c>
      <c r="E80" s="5"/>
      <c r="F80" s="6">
        <v>1.9045745053387253</v>
      </c>
      <c r="G80" s="5">
        <v>0.81410345135463991</v>
      </c>
      <c r="H80" s="5">
        <v>0.81402715592157016</v>
      </c>
      <c r="I80" s="5">
        <v>0.23891361954204182</v>
      </c>
      <c r="J80" s="5">
        <v>0.21098120711450385</v>
      </c>
      <c r="K80" s="5">
        <v>0.2109236279694269</v>
      </c>
      <c r="L80" s="43">
        <f t="array" ref="L80">SUM(F80:K80)</f>
        <v>4.1935235672409075</v>
      </c>
      <c r="M80" s="42">
        <f t="array" ref="M80">PRODUCT(L80,$J$8,$K$8)</f>
        <v>8.3333878865782047</v>
      </c>
      <c r="N80" s="4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</row>
    <row r="81" spans="3:50" x14ac:dyDescent="0.2">
      <c r="C81" s="12"/>
      <c r="D81" s="5">
        <v>1700</v>
      </c>
      <c r="E81" s="5"/>
      <c r="F81" s="6">
        <v>1.9644151663594065</v>
      </c>
      <c r="G81" s="5">
        <v>0.86742879470088829</v>
      </c>
      <c r="H81" s="5">
        <v>0.86735131815023414</v>
      </c>
      <c r="I81" s="5">
        <v>0.27246330736032731</v>
      </c>
      <c r="J81" s="5">
        <v>0.2424669504623064</v>
      </c>
      <c r="K81" s="5">
        <v>0.24240489765699358</v>
      </c>
      <c r="L81" s="43">
        <f t="array" ref="L81">SUM(F81:K81)</f>
        <v>4.4565304346901566</v>
      </c>
      <c r="M81" s="42">
        <f t="array" ref="M81">PRODUCT(L81,$J$8,$K$8)</f>
        <v>8.8560362533144588</v>
      </c>
      <c r="N81" s="4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</row>
    <row r="82" spans="3:50" x14ac:dyDescent="0.2">
      <c r="C82" s="12"/>
      <c r="D82" s="5">
        <v>1800</v>
      </c>
      <c r="E82" s="5"/>
      <c r="F82" s="6">
        <v>2.0209160432290099</v>
      </c>
      <c r="G82" s="5">
        <v>0.91841921691841166</v>
      </c>
      <c r="H82" s="5">
        <v>0.91834073370816816</v>
      </c>
      <c r="I82" s="5">
        <v>0.3061376313443121</v>
      </c>
      <c r="J82" s="5">
        <v>0.27427174418668127</v>
      </c>
      <c r="K82" s="5">
        <v>0.27420562390470182</v>
      </c>
      <c r="L82" s="43">
        <f t="array" ref="L82">SUM(F82:K82)</f>
        <v>4.7122909932912842</v>
      </c>
      <c r="M82" s="42">
        <f t="array" ref="M82">PRODUCT(L82,$J$8,$K$8)</f>
        <v>9.3642847242568585</v>
      </c>
      <c r="N82" s="4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</row>
    <row r="83" spans="3:50" x14ac:dyDescent="0.2">
      <c r="C83" s="12"/>
      <c r="D83" s="5">
        <v>1900</v>
      </c>
      <c r="E83" s="5"/>
      <c r="F83" s="6">
        <v>2.0744263842570629</v>
      </c>
      <c r="G83" s="5">
        <v>0.96722959461201818</v>
      </c>
      <c r="H83" s="5">
        <v>0.96715024722120457</v>
      </c>
      <c r="I83" s="5">
        <v>0.33973350464323987</v>
      </c>
      <c r="J83" s="5">
        <v>0.30617691055820007</v>
      </c>
      <c r="K83" s="5">
        <v>0.30610709995560298</v>
      </c>
      <c r="L83" s="43">
        <f t="array" ref="L83">SUM(F83:K83)</f>
        <v>4.9608237412473288</v>
      </c>
      <c r="M83" s="42">
        <f t="array" ref="M83">PRODUCT(L83,$J$8,$K$8)</f>
        <v>9.8581700591132382</v>
      </c>
      <c r="N83" s="4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</row>
    <row r="84" spans="3:50" ht="17" thickBot="1" x14ac:dyDescent="0.25">
      <c r="C84" s="12"/>
      <c r="D84" s="5">
        <v>2000</v>
      </c>
      <c r="E84" s="5"/>
      <c r="F84" s="3">
        <v>2.1252439279293949</v>
      </c>
      <c r="G84" s="2">
        <v>1.0140076502553486</v>
      </c>
      <c r="H84" s="2">
        <v>1.0139275560169996</v>
      </c>
      <c r="I84" s="2">
        <v>0.37309587540566702</v>
      </c>
      <c r="J84" s="2">
        <v>0.33801110571731052</v>
      </c>
      <c r="K84" s="2">
        <v>0.33793795019054784</v>
      </c>
      <c r="L84" s="39">
        <f t="array" ref="L84">SUM(F84:K84)</f>
        <v>5.2022240655152681</v>
      </c>
      <c r="M84" s="38">
        <f t="array" ref="M84">PRODUCT(L84,$J$8,$K$8)</f>
        <v>10.337881811250609</v>
      </c>
      <c r="N84" s="4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</row>
    <row r="85" spans="3:50" x14ac:dyDescent="0.2">
      <c r="C85" s="12"/>
      <c r="D85" s="5"/>
      <c r="E85" s="5"/>
      <c r="F85" s="5"/>
      <c r="G85" s="5"/>
      <c r="H85" s="5"/>
      <c r="I85" s="5"/>
      <c r="J85" s="5"/>
      <c r="K85" s="5"/>
      <c r="N85" s="4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</row>
    <row r="86" spans="3:50" ht="17" thickBot="1" x14ac:dyDescent="0.25">
      <c r="C86" s="36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</row>
    <row r="87" spans="3:50" x14ac:dyDescent="0.2">
      <c r="D87" s="5"/>
      <c r="E87" s="5"/>
      <c r="F87" s="28"/>
      <c r="G87" s="28"/>
      <c r="H87" s="28"/>
      <c r="I87" s="28"/>
      <c r="J87" s="28"/>
      <c r="K87" s="28"/>
      <c r="L87" s="28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</row>
    <row r="88" spans="3:50" x14ac:dyDescent="0.2">
      <c r="D88" s="5"/>
      <c r="E88" s="5"/>
      <c r="F88" s="28"/>
      <c r="G88" s="28"/>
      <c r="H88" s="28"/>
      <c r="I88" s="28"/>
      <c r="J88" s="28"/>
      <c r="K88" s="28"/>
      <c r="L88" s="28"/>
      <c r="AG88" s="28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</row>
    <row r="89" spans="3:50" x14ac:dyDescent="0.2">
      <c r="O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</row>
    <row r="90" spans="3:50" x14ac:dyDescent="0.2">
      <c r="O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</row>
    <row r="91" spans="3:50" x14ac:dyDescent="0.2">
      <c r="O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</row>
    <row r="92" spans="3:50" x14ac:dyDescent="0.2">
      <c r="O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</row>
    <row r="93" spans="3:50" x14ac:dyDescent="0.2">
      <c r="O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</row>
    <row r="94" spans="3:50" x14ac:dyDescent="0.2">
      <c r="O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</row>
    <row r="95" spans="3:50" x14ac:dyDescent="0.2">
      <c r="O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</row>
    <row r="96" spans="3:50" x14ac:dyDescent="0.2">
      <c r="AD96" s="47"/>
      <c r="AE96" s="47"/>
      <c r="AF96" s="47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</row>
    <row r="97" spans="20:50" x14ac:dyDescent="0.2"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</row>
    <row r="98" spans="20:50" x14ac:dyDescent="0.2"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</row>
    <row r="99" spans="20:50" x14ac:dyDescent="0.2">
      <c r="AG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X99" s="5"/>
    </row>
    <row r="100" spans="20:50" x14ac:dyDescent="0.2">
      <c r="AG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</row>
    <row r="101" spans="20:50" x14ac:dyDescent="0.2">
      <c r="AG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</row>
    <row r="102" spans="20:50" x14ac:dyDescent="0.2">
      <c r="AG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</row>
    <row r="103" spans="20:50" x14ac:dyDescent="0.2">
      <c r="AG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</row>
    <row r="104" spans="20:50" x14ac:dyDescent="0.2">
      <c r="AG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</row>
    <row r="105" spans="20:50" x14ac:dyDescent="0.2">
      <c r="AG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</row>
    <row r="106" spans="20:50" x14ac:dyDescent="0.2">
      <c r="AG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</row>
    <row r="107" spans="20:50" x14ac:dyDescent="0.2">
      <c r="AG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</row>
    <row r="108" spans="20:50" x14ac:dyDescent="0.2">
      <c r="T108" s="30"/>
      <c r="U108" s="30"/>
      <c r="V108" s="30"/>
      <c r="X108" s="30"/>
      <c r="Y108" s="30"/>
      <c r="Z108" s="30"/>
      <c r="AA108" s="30"/>
      <c r="AB108" s="30"/>
      <c r="AC108" s="30"/>
      <c r="AG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</row>
    <row r="109" spans="20:50" x14ac:dyDescent="0.2">
      <c r="T109" s="30"/>
      <c r="U109" s="30"/>
      <c r="V109" s="30"/>
      <c r="X109" s="30"/>
      <c r="Y109" s="30"/>
      <c r="Z109" s="30"/>
      <c r="AA109" s="30"/>
      <c r="AB109" s="30"/>
      <c r="AC109" s="30"/>
      <c r="AG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</row>
    <row r="110" spans="20:50" x14ac:dyDescent="0.2">
      <c r="T110" s="30"/>
      <c r="U110" s="30"/>
      <c r="V110" s="30"/>
      <c r="X110" s="30"/>
      <c r="Y110" s="30"/>
      <c r="Z110" s="30"/>
      <c r="AA110" s="30"/>
      <c r="AB110" s="30"/>
      <c r="AC110" s="30"/>
      <c r="AG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</row>
    <row r="111" spans="20:50" x14ac:dyDescent="0.2">
      <c r="T111" s="30"/>
      <c r="U111" s="30"/>
      <c r="V111" s="30"/>
      <c r="X111" s="30"/>
      <c r="Y111" s="30"/>
      <c r="Z111" s="30"/>
      <c r="AA111" s="30"/>
      <c r="AB111" s="30"/>
      <c r="AC111" s="30"/>
      <c r="AG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</row>
    <row r="112" spans="20:50" x14ac:dyDescent="0.2">
      <c r="T112" s="30"/>
      <c r="U112" s="30"/>
      <c r="V112" s="30"/>
      <c r="X112" s="30"/>
      <c r="Y112" s="30"/>
      <c r="Z112" s="30"/>
      <c r="AA112" s="30"/>
      <c r="AB112" s="30"/>
      <c r="AC112" s="30"/>
      <c r="AG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</row>
    <row r="113" spans="14:50" x14ac:dyDescent="0.2">
      <c r="AG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</row>
    <row r="114" spans="14:50" x14ac:dyDescent="0.2">
      <c r="AG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</row>
    <row r="115" spans="14:50" x14ac:dyDescent="0.2">
      <c r="AG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</row>
    <row r="116" spans="14:50" x14ac:dyDescent="0.2">
      <c r="AG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</row>
    <row r="117" spans="14:50" x14ac:dyDescent="0.2">
      <c r="AG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</row>
    <row r="118" spans="14:50" x14ac:dyDescent="0.2">
      <c r="O118" s="5"/>
      <c r="P118" s="5"/>
      <c r="Q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</row>
    <row r="119" spans="14:50" x14ac:dyDescent="0.2">
      <c r="O119" s="5"/>
      <c r="P119" s="5"/>
      <c r="Q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</row>
    <row r="120" spans="14:50" x14ac:dyDescent="0.2">
      <c r="N120" s="5"/>
      <c r="O120" s="5"/>
      <c r="P120" s="5"/>
      <c r="Q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</row>
    <row r="121" spans="14:50" x14ac:dyDescent="0.2">
      <c r="N121" s="5"/>
      <c r="O121" s="5"/>
      <c r="P121" s="5"/>
      <c r="Q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</row>
    <row r="122" spans="14:50" x14ac:dyDescent="0.2">
      <c r="N122" s="5"/>
      <c r="O122" s="5"/>
      <c r="P122" s="5"/>
      <c r="Q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</row>
    <row r="123" spans="14:50" x14ac:dyDescent="0.2">
      <c r="N123" s="5"/>
      <c r="O123" s="5"/>
      <c r="P123" s="5"/>
      <c r="Q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</row>
    <row r="124" spans="14:50" x14ac:dyDescent="0.2">
      <c r="N124" s="5"/>
      <c r="O124" s="5"/>
      <c r="P124" s="5"/>
      <c r="Q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</row>
    <row r="125" spans="14:50" x14ac:dyDescent="0.2">
      <c r="N125" s="5"/>
      <c r="O125" s="5"/>
      <c r="P125" s="5"/>
      <c r="Q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</row>
    <row r="126" spans="14:50" x14ac:dyDescent="0.2">
      <c r="N126" s="5"/>
      <c r="O126" s="5"/>
      <c r="P126" s="5"/>
      <c r="Q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</row>
    <row r="127" spans="14:50" x14ac:dyDescent="0.2">
      <c r="N127" s="5"/>
      <c r="O127" s="5"/>
      <c r="P127" s="5"/>
      <c r="Q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</row>
    <row r="128" spans="14:50" x14ac:dyDescent="0.2">
      <c r="N128" s="5"/>
      <c r="O128" s="5"/>
      <c r="P128" s="5"/>
      <c r="Q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</row>
    <row r="129" spans="14:50" x14ac:dyDescent="0.2">
      <c r="N129" s="5"/>
      <c r="O129" s="5"/>
      <c r="P129" s="5"/>
      <c r="Q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</row>
    <row r="130" spans="14:50" x14ac:dyDescent="0.2">
      <c r="N130" s="5"/>
      <c r="O130" s="5"/>
      <c r="P130" s="5"/>
      <c r="Q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</row>
    <row r="131" spans="14:50" x14ac:dyDescent="0.2">
      <c r="N131" s="5"/>
      <c r="O131" s="5"/>
      <c r="P131" s="5"/>
      <c r="Q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</row>
  </sheetData>
  <mergeCells count="11">
    <mergeCell ref="F66:K66"/>
    <mergeCell ref="S19:Z19"/>
    <mergeCell ref="U5:Z5"/>
    <mergeCell ref="U7:V7"/>
    <mergeCell ref="U9:V9"/>
    <mergeCell ref="U10:V10"/>
    <mergeCell ref="S48:Z48"/>
    <mergeCell ref="U12:V12"/>
    <mergeCell ref="F19:M19"/>
    <mergeCell ref="F22:K22"/>
    <mergeCell ref="F44:K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6D04-A299-0847-8FE2-186C19F3D9E2}">
  <dimension ref="D3:AA131"/>
  <sheetViews>
    <sheetView zoomScaleNormal="32" workbookViewId="0">
      <selection activeCell="H19" sqref="H19"/>
    </sheetView>
  </sheetViews>
  <sheetFormatPr baseColWidth="10" defaultRowHeight="16" x14ac:dyDescent="0.2"/>
  <cols>
    <col min="2" max="3" width="11" bestFit="1" customWidth="1"/>
    <col min="4" max="4" width="13.5" customWidth="1"/>
    <col min="5" max="5" width="11.33203125" bestFit="1" customWidth="1"/>
    <col min="6" max="6" width="12.33203125" customWidth="1"/>
    <col min="7" max="7" width="14.6640625" bestFit="1" customWidth="1"/>
    <col min="8" max="8" width="13" bestFit="1" customWidth="1"/>
    <col min="9" max="9" width="12.1640625" bestFit="1" customWidth="1"/>
    <col min="10" max="10" width="14.33203125" bestFit="1" customWidth="1"/>
    <col min="11" max="11" width="13.5" customWidth="1"/>
    <col min="12" max="12" width="12" bestFit="1" customWidth="1"/>
    <col min="13" max="13" width="13" bestFit="1" customWidth="1"/>
    <col min="14" max="14" width="14.1640625" bestFit="1" customWidth="1"/>
    <col min="15" max="15" width="12.5" bestFit="1" customWidth="1"/>
    <col min="16" max="16" width="12.6640625" bestFit="1" customWidth="1"/>
    <col min="17" max="17" width="12.5" bestFit="1" customWidth="1"/>
    <col min="18" max="18" width="12.6640625" bestFit="1" customWidth="1"/>
    <col min="19" max="19" width="12.5" bestFit="1" customWidth="1"/>
    <col min="20" max="27" width="11.5" customWidth="1"/>
  </cols>
  <sheetData>
    <row r="3" spans="4:15" ht="17" customHeight="1" thickBot="1" x14ac:dyDescent="0.25"/>
    <row r="4" spans="4:15" ht="17" customHeight="1" thickBot="1" x14ac:dyDescent="0.25">
      <c r="E4" s="162" t="s">
        <v>56</v>
      </c>
      <c r="F4" s="163"/>
      <c r="G4" s="163"/>
      <c r="H4" s="163"/>
      <c r="I4" s="163"/>
      <c r="J4" s="163"/>
      <c r="K4" s="163"/>
      <c r="L4" s="163"/>
      <c r="M4" s="164"/>
    </row>
    <row r="5" spans="4:15" ht="35" thickBot="1" x14ac:dyDescent="0.25">
      <c r="E5" s="88" t="s">
        <v>55</v>
      </c>
      <c r="F5" s="88" t="s">
        <v>54</v>
      </c>
      <c r="G5" s="88" t="s">
        <v>53</v>
      </c>
      <c r="H5" s="88" t="s">
        <v>51</v>
      </c>
      <c r="I5" s="88" t="s">
        <v>50</v>
      </c>
      <c r="J5" s="50" t="s">
        <v>49</v>
      </c>
      <c r="K5" s="89" t="s">
        <v>48</v>
      </c>
      <c r="L5" s="88" t="s">
        <v>47</v>
      </c>
      <c r="M5" s="88" t="s">
        <v>47</v>
      </c>
      <c r="O5" t="s">
        <v>57</v>
      </c>
    </row>
    <row r="6" spans="4:15" ht="17" thickBot="1" x14ac:dyDescent="0.25">
      <c r="E6" s="87" t="s">
        <v>45</v>
      </c>
      <c r="F6" s="87" t="s">
        <v>44</v>
      </c>
      <c r="G6" s="87" t="s">
        <v>43</v>
      </c>
      <c r="H6" s="87" t="s">
        <v>41</v>
      </c>
      <c r="I6" s="87" t="s">
        <v>40</v>
      </c>
      <c r="J6" s="87" t="s">
        <v>39</v>
      </c>
      <c r="K6" s="87"/>
      <c r="L6" s="87"/>
      <c r="M6" s="87"/>
      <c r="O6" t="s">
        <v>58</v>
      </c>
    </row>
    <row r="7" spans="4:15" ht="17" thickBot="1" x14ac:dyDescent="0.25">
      <c r="E7" s="86" t="s">
        <v>38</v>
      </c>
      <c r="F7" s="74" t="s">
        <v>37</v>
      </c>
      <c r="G7" s="74" t="s">
        <v>36</v>
      </c>
      <c r="H7" s="74" t="s">
        <v>35</v>
      </c>
      <c r="I7" s="74" t="s">
        <v>34</v>
      </c>
      <c r="J7" s="74" t="s">
        <v>33</v>
      </c>
      <c r="K7" s="74" t="s">
        <v>32</v>
      </c>
      <c r="L7" s="74" t="s">
        <v>31</v>
      </c>
      <c r="M7" s="74" t="s">
        <v>30</v>
      </c>
      <c r="O7" s="98" t="s">
        <v>59</v>
      </c>
    </row>
    <row r="8" spans="4:15" ht="17" thickBot="1" x14ac:dyDescent="0.25">
      <c r="E8" s="84">
        <v>1.3806490000000001E-23</v>
      </c>
      <c r="F8" s="84">
        <v>6.6260701499999998E-34</v>
      </c>
      <c r="G8" s="84">
        <v>6.0221407599999999E+23</v>
      </c>
      <c r="H8" s="84">
        <v>29979245800</v>
      </c>
      <c r="I8" s="83">
        <v>8.3144626180000003</v>
      </c>
      <c r="J8" s="83">
        <v>0.239005736</v>
      </c>
      <c r="K8" s="83">
        <v>1.6605390666E-27</v>
      </c>
      <c r="L8" s="83">
        <v>1.00783</v>
      </c>
      <c r="M8" s="83">
        <f>L8*K8</f>
        <v>1.673541087491478E-27</v>
      </c>
    </row>
    <row r="12" spans="4:15" ht="17" thickBot="1" x14ac:dyDescent="0.25"/>
    <row r="13" spans="4:15" x14ac:dyDescent="0.2">
      <c r="D13" s="54"/>
      <c r="E13" s="32"/>
      <c r="F13" s="32"/>
      <c r="G13" s="33"/>
      <c r="H13" s="33"/>
      <c r="I13" s="33"/>
      <c r="J13" s="33"/>
      <c r="K13" s="33"/>
      <c r="L13" s="33"/>
      <c r="M13" s="33"/>
      <c r="N13" s="33"/>
      <c r="O13" s="53"/>
    </row>
    <row r="14" spans="4:15" ht="17" thickBot="1" x14ac:dyDescent="0.25">
      <c r="D14" s="12"/>
      <c r="E14" s="5"/>
      <c r="F14" s="5"/>
      <c r="G14" s="28"/>
      <c r="H14" s="28"/>
      <c r="I14" s="28"/>
      <c r="J14" s="28"/>
      <c r="K14" s="28"/>
      <c r="L14" s="28"/>
      <c r="M14" s="28"/>
      <c r="N14" s="28"/>
      <c r="O14" s="52"/>
    </row>
    <row r="15" spans="4:15" ht="17" thickBot="1" x14ac:dyDescent="0.25">
      <c r="D15" s="12"/>
      <c r="E15" s="5"/>
      <c r="F15" s="5"/>
      <c r="G15" s="165" t="s">
        <v>11</v>
      </c>
      <c r="H15" s="166"/>
      <c r="I15" s="166"/>
      <c r="J15" s="166"/>
      <c r="K15" s="166"/>
      <c r="L15" s="166"/>
      <c r="M15" s="166"/>
      <c r="N15" s="167"/>
      <c r="O15" s="37"/>
    </row>
    <row r="16" spans="4:15" x14ac:dyDescent="0.2">
      <c r="D16" s="12"/>
      <c r="E16" s="5"/>
      <c r="F16" s="5"/>
      <c r="G16" s="47" t="s">
        <v>10</v>
      </c>
      <c r="H16" s="5"/>
      <c r="I16" s="5"/>
      <c r="J16" s="5"/>
      <c r="K16" s="5"/>
      <c r="L16" s="5"/>
      <c r="M16" s="5"/>
      <c r="N16" s="5"/>
      <c r="O16" s="37"/>
    </row>
    <row r="17" spans="4:27" ht="17" thickBot="1" x14ac:dyDescent="0.25">
      <c r="D17" s="12"/>
      <c r="E17" s="5"/>
      <c r="F17" s="5"/>
      <c r="G17" s="5"/>
      <c r="H17" s="5"/>
      <c r="I17" s="5"/>
      <c r="J17" s="5"/>
      <c r="K17" s="5"/>
      <c r="L17" s="5"/>
      <c r="M17" s="5"/>
      <c r="N17" s="5"/>
      <c r="O17" s="37"/>
      <c r="AA17" s="5"/>
    </row>
    <row r="18" spans="4:27" ht="17" thickBot="1" x14ac:dyDescent="0.25">
      <c r="D18" s="12"/>
      <c r="E18" s="27" t="s">
        <v>3</v>
      </c>
      <c r="F18" s="5"/>
      <c r="G18" s="50" t="s">
        <v>9</v>
      </c>
      <c r="H18" s="25" t="s">
        <v>8</v>
      </c>
      <c r="I18" s="5"/>
      <c r="J18" s="24" t="s">
        <v>1</v>
      </c>
      <c r="K18" s="5"/>
      <c r="L18" s="50" t="s">
        <v>7</v>
      </c>
      <c r="M18" s="50" t="s">
        <v>6</v>
      </c>
      <c r="N18" s="23" t="s">
        <v>5</v>
      </c>
      <c r="O18" s="37"/>
      <c r="AA18" s="5"/>
    </row>
    <row r="19" spans="4:27" x14ac:dyDescent="0.2">
      <c r="D19" s="12"/>
      <c r="E19" s="5">
        <v>298.14999999999998</v>
      </c>
      <c r="F19" s="5"/>
      <c r="G19" s="45">
        <f t="shared" ref="G19:G36" si="0">$E$8*E19/101325</f>
        <v>4.0625758633111278E-26</v>
      </c>
      <c r="H19" s="18" cm="1">
        <f t="array" ref="H19:H36">G19:G36*(2*PI()*$M$8*$E$8*E19:E36/($F$8)^2)^(3/2)</f>
        <v>39768.106360261299</v>
      </c>
      <c r="I19" s="5"/>
      <c r="J19" s="21">
        <f t="shared" ref="J19:J36" si="1">$I$8*$J$8*3/2</f>
        <v>2.9808063861893652</v>
      </c>
      <c r="K19" s="5"/>
      <c r="L19" s="45" cm="1">
        <f t="array" ref="L19:L36" xml:space="preserve"> (2 * PI() * $M$8 * $E$8 * E19:E36/ (($F$8)^2))^(3/2)</f>
        <v>9.7888895366618536E+29</v>
      </c>
      <c r="M19" s="43" cm="1">
        <f t="array" ref="M19:M36">$I$8*E19:E36/101325</f>
        <v>2.4465403696587219E-2</v>
      </c>
      <c r="N19" s="13" cm="1">
        <f t="array" ref="N19:N36">LN(L19:L36 * M19:M36*EXP(5/2) / $G$8)*$I$8*$J$8</f>
        <v>26.014134275496613</v>
      </c>
      <c r="O19" s="37"/>
      <c r="AA19" s="46"/>
    </row>
    <row r="20" spans="4:27" x14ac:dyDescent="0.2">
      <c r="D20" s="12"/>
      <c r="E20" s="5">
        <v>400</v>
      </c>
      <c r="F20" s="5"/>
      <c r="G20" s="45">
        <f t="shared" si="0"/>
        <v>5.4503784850727862E-26</v>
      </c>
      <c r="H20" s="44">
        <v>82908.270517641882</v>
      </c>
      <c r="I20" s="5"/>
      <c r="J20" s="16">
        <f t="shared" si="1"/>
        <v>2.9808063861893652</v>
      </c>
      <c r="K20" s="5"/>
      <c r="L20" s="43">
        <v>1.5211470312512562E+30</v>
      </c>
      <c r="M20" s="43">
        <v>3.2822946431778931E-2</v>
      </c>
      <c r="N20" s="13">
        <v>27.474072790407739</v>
      </c>
      <c r="O20" s="37"/>
      <c r="AA20" s="5"/>
    </row>
    <row r="21" spans="4:27" x14ac:dyDescent="0.2">
      <c r="D21" s="12"/>
      <c r="E21" s="5">
        <v>500</v>
      </c>
      <c r="F21" s="5"/>
      <c r="G21" s="45">
        <f t="shared" si="0"/>
        <v>6.8129731063409828E-26</v>
      </c>
      <c r="H21" s="44">
        <v>144834.78810499219</v>
      </c>
      <c r="I21" s="5"/>
      <c r="J21" s="16">
        <f t="shared" si="1"/>
        <v>2.9808063861893652</v>
      </c>
      <c r="K21" s="5"/>
      <c r="L21" s="43">
        <v>2.1258676035311408E+30</v>
      </c>
      <c r="M21" s="43">
        <v>4.1028683039723658E-2</v>
      </c>
      <c r="N21" s="13">
        <v>28.582652328398368</v>
      </c>
      <c r="O21" s="37"/>
      <c r="AA21" s="5"/>
    </row>
    <row r="22" spans="4:27" x14ac:dyDescent="0.2">
      <c r="D22" s="12"/>
      <c r="E22" s="5">
        <v>600</v>
      </c>
      <c r="F22" s="5"/>
      <c r="G22" s="45">
        <f t="shared" si="0"/>
        <v>8.1755677276091782E-26</v>
      </c>
      <c r="H22" s="44">
        <v>228468.3280029656</v>
      </c>
      <c r="I22" s="5"/>
      <c r="J22" s="16">
        <f t="shared" si="1"/>
        <v>2.9808063861893652</v>
      </c>
      <c r="K22" s="5"/>
      <c r="L22" s="43">
        <v>2.7945255377362976E+30</v>
      </c>
      <c r="M22" s="43">
        <v>4.92344196476684E-2</v>
      </c>
      <c r="N22" s="13">
        <v>29.488427763117386</v>
      </c>
      <c r="O22" s="37"/>
    </row>
    <row r="23" spans="4:27" x14ac:dyDescent="0.2">
      <c r="D23" s="12"/>
      <c r="E23" s="5">
        <v>700</v>
      </c>
      <c r="F23" s="5"/>
      <c r="G23" s="45">
        <f t="shared" si="0"/>
        <v>9.5381623488773759E-26</v>
      </c>
      <c r="H23" s="44">
        <v>335886.83142460545</v>
      </c>
      <c r="I23" s="5"/>
      <c r="J23" s="16">
        <f t="shared" si="1"/>
        <v>2.9808063861893652</v>
      </c>
      <c r="K23" s="5"/>
      <c r="L23" s="43">
        <v>3.5215046582231714E+30</v>
      </c>
      <c r="M23" s="43">
        <v>5.7440156255613127E-2</v>
      </c>
      <c r="N23" s="13">
        <v>30.254249981224923</v>
      </c>
      <c r="O23" s="37"/>
    </row>
    <row r="24" spans="4:27" x14ac:dyDescent="0.2">
      <c r="D24" s="12"/>
      <c r="E24" s="5">
        <v>800</v>
      </c>
      <c r="F24" s="5"/>
      <c r="G24" s="45">
        <f t="shared" si="0"/>
        <v>1.0900756970145572E-25</v>
      </c>
      <c r="H24" s="44">
        <v>469000.00239578757</v>
      </c>
      <c r="I24" s="5"/>
      <c r="J24" s="16">
        <f t="shared" si="1"/>
        <v>2.9808063861893652</v>
      </c>
      <c r="K24" s="5"/>
      <c r="L24" s="43">
        <v>4.3024535239182053E+30</v>
      </c>
      <c r="M24" s="43">
        <v>6.5645892863557861E-2</v>
      </c>
      <c r="N24" s="13">
        <v>30.917635361044802</v>
      </c>
      <c r="O24" s="37"/>
    </row>
    <row r="25" spans="4:27" x14ac:dyDescent="0.2">
      <c r="D25" s="12"/>
      <c r="E25" s="5">
        <v>900</v>
      </c>
      <c r="F25" s="5"/>
      <c r="G25" s="45">
        <f t="shared" si="0"/>
        <v>1.2263351591413768E-25</v>
      </c>
      <c r="H25" s="44">
        <v>629584.67924334388</v>
      </c>
      <c r="I25" s="5"/>
      <c r="J25" s="16">
        <f t="shared" si="1"/>
        <v>2.9808063861893652</v>
      </c>
      <c r="K25" s="5"/>
      <c r="L25" s="43">
        <v>5.1338712304729971E+30</v>
      </c>
      <c r="M25" s="43">
        <v>7.3851629471502603E-2</v>
      </c>
      <c r="N25" s="13">
        <v>31.502782735827001</v>
      </c>
      <c r="O25" s="37"/>
    </row>
    <row r="26" spans="4:27" x14ac:dyDescent="0.2">
      <c r="D26" s="12"/>
      <c r="E26" s="5">
        <v>1000</v>
      </c>
      <c r="F26" s="5"/>
      <c r="G26" s="45">
        <f t="shared" si="0"/>
        <v>1.3625946212681966E-25</v>
      </c>
      <c r="H26" s="44">
        <v>819309.28656605561</v>
      </c>
      <c r="I26" s="5"/>
      <c r="J26" s="16">
        <f t="shared" si="1"/>
        <v>2.9808063861893652</v>
      </c>
      <c r="K26" s="5"/>
      <c r="L26" s="43">
        <v>6.0128615934466742E+30</v>
      </c>
      <c r="M26" s="43">
        <v>8.2057366079447316E-2</v>
      </c>
      <c r="N26" s="13">
        <v>32.026214899035438</v>
      </c>
      <c r="O26" s="37"/>
    </row>
    <row r="27" spans="4:27" x14ac:dyDescent="0.2">
      <c r="D27" s="12"/>
      <c r="E27" s="5">
        <v>1100</v>
      </c>
      <c r="F27" s="5"/>
      <c r="G27" s="45">
        <f t="shared" si="0"/>
        <v>1.4988540833950161E-25</v>
      </c>
      <c r="H27" s="44">
        <v>1039751.5832575355</v>
      </c>
      <c r="I27" s="5"/>
      <c r="J27" s="16">
        <f t="shared" si="1"/>
        <v>2.9808063861893652</v>
      </c>
      <c r="K27" s="5"/>
      <c r="L27" s="43">
        <v>6.9369766862323296E+30</v>
      </c>
      <c r="M27" s="43">
        <v>9.0263102687392072E-2</v>
      </c>
      <c r="N27" s="13">
        <v>32.499716886751429</v>
      </c>
      <c r="O27" s="37"/>
    </row>
    <row r="28" spans="4:27" x14ac:dyDescent="0.2">
      <c r="D28" s="12"/>
      <c r="E28" s="5">
        <v>1200</v>
      </c>
      <c r="F28" s="5"/>
      <c r="G28" s="45">
        <f t="shared" si="0"/>
        <v>1.6351135455218356E-25</v>
      </c>
      <c r="H28" s="44">
        <v>1292412.0321379986</v>
      </c>
      <c r="I28" s="5"/>
      <c r="J28" s="16">
        <f t="shared" si="1"/>
        <v>2.9808063861893652</v>
      </c>
      <c r="K28" s="5"/>
      <c r="L28" s="43">
        <v>7.9041118317293002E+30</v>
      </c>
      <c r="M28" s="43">
        <v>9.8468839295336799E-2</v>
      </c>
      <c r="N28" s="13">
        <v>32.931990333754449</v>
      </c>
      <c r="O28" s="37"/>
    </row>
    <row r="29" spans="4:27" x14ac:dyDescent="0.2">
      <c r="D29" s="12"/>
      <c r="E29" s="5">
        <v>1300</v>
      </c>
      <c r="F29" s="5"/>
      <c r="G29" s="45">
        <f t="shared" si="0"/>
        <v>1.7713730076486554E-25</v>
      </c>
      <c r="H29" s="44">
        <v>1578724.1708258342</v>
      </c>
      <c r="I29" s="5"/>
      <c r="J29" s="16">
        <f t="shared" si="1"/>
        <v>2.9808063861893652</v>
      </c>
      <c r="K29" s="5"/>
      <c r="L29" s="43">
        <v>8.9124321303814717E+30</v>
      </c>
      <c r="M29" s="43">
        <v>0.10667457590328153</v>
      </c>
      <c r="N29" s="13">
        <v>33.329643357423066</v>
      </c>
      <c r="O29" s="37"/>
    </row>
    <row r="30" spans="4:27" x14ac:dyDescent="0.2">
      <c r="D30" s="12"/>
      <c r="E30" s="5">
        <v>1400</v>
      </c>
      <c r="F30" s="5"/>
      <c r="G30" s="45">
        <f t="shared" si="0"/>
        <v>1.9076324697754752E-25</v>
      </c>
      <c r="H30" s="44">
        <v>1900062.8496928152</v>
      </c>
      <c r="I30" s="5"/>
      <c r="J30" s="16">
        <f t="shared" si="1"/>
        <v>2.9808063861893652</v>
      </c>
      <c r="K30" s="5"/>
      <c r="L30" s="43">
        <v>9.9603192952385067E+30</v>
      </c>
      <c r="M30" s="43">
        <v>0.11488031251122625</v>
      </c>
      <c r="N30" s="13">
        <v>33.697812551861993</v>
      </c>
      <c r="O30" s="37"/>
    </row>
    <row r="31" spans="4:27" x14ac:dyDescent="0.2">
      <c r="D31" s="12"/>
      <c r="E31" s="5">
        <v>1500</v>
      </c>
      <c r="F31" s="5"/>
      <c r="G31" s="45">
        <f t="shared" si="0"/>
        <v>2.0438919319022949E-25</v>
      </c>
      <c r="H31" s="44">
        <v>2257750.9053118941</v>
      </c>
      <c r="I31" s="5"/>
      <c r="J31" s="16">
        <f t="shared" si="1"/>
        <v>2.9808063861893652</v>
      </c>
      <c r="K31" s="5"/>
      <c r="L31" s="43">
        <v>1.1046332098441996E+31</v>
      </c>
      <c r="M31" s="43">
        <v>0.12308604911917098</v>
      </c>
      <c r="N31" s="13">
        <v>34.040569871745085</v>
      </c>
      <c r="O31" s="37"/>
    </row>
    <row r="32" spans="4:27" x14ac:dyDescent="0.2">
      <c r="D32" s="12"/>
      <c r="E32" s="5">
        <v>1600</v>
      </c>
      <c r="F32" s="5"/>
      <c r="G32" s="45">
        <f t="shared" si="0"/>
        <v>2.1801513940291145E-25</v>
      </c>
      <c r="H32" s="44">
        <v>2653064.6565645547</v>
      </c>
      <c r="I32" s="5"/>
      <c r="J32" s="16">
        <f t="shared" si="1"/>
        <v>2.9808063861893652</v>
      </c>
      <c r="K32" s="5"/>
      <c r="L32" s="43">
        <v>1.2169176250010117E+31</v>
      </c>
      <c r="M32" s="43">
        <v>0.13129178572711572</v>
      </c>
      <c r="N32" s="13">
        <v>34.361197931681872</v>
      </c>
      <c r="O32" s="37"/>
    </row>
    <row r="33" spans="4:27" x14ac:dyDescent="0.2">
      <c r="D33" s="12"/>
      <c r="E33" s="5">
        <v>1700</v>
      </c>
      <c r="F33" s="5"/>
      <c r="G33" s="45">
        <f t="shared" si="0"/>
        <v>2.316410856155934E-25</v>
      </c>
      <c r="H33" s="44">
        <v>3087238.4953768482</v>
      </c>
      <c r="I33" s="5"/>
      <c r="J33" s="16">
        <f t="shared" si="1"/>
        <v>2.9808063861893652</v>
      </c>
      <c r="K33" s="5"/>
      <c r="L33" s="43">
        <v>1.3327680999130253E+31</v>
      </c>
      <c r="M33" s="43">
        <v>0.13949752233506044</v>
      </c>
      <c r="N33" s="13">
        <v>34.662381698133096</v>
      </c>
      <c r="O33" s="37"/>
    </row>
    <row r="34" spans="4:27" x14ac:dyDescent="0.2">
      <c r="D34" s="12"/>
      <c r="E34" s="5">
        <v>1800</v>
      </c>
      <c r="F34" s="5"/>
      <c r="G34" s="45">
        <f t="shared" si="0"/>
        <v>2.4526703182827536E-25</v>
      </c>
      <c r="H34" s="44">
        <v>3561468.7681930172</v>
      </c>
      <c r="I34" s="5"/>
      <c r="J34" s="16">
        <f t="shared" si="1"/>
        <v>2.9808063861893652</v>
      </c>
      <c r="K34" s="5"/>
      <c r="L34" s="43">
        <v>1.4520780643223966E+31</v>
      </c>
      <c r="M34" s="43">
        <v>0.14770325894300521</v>
      </c>
      <c r="N34" s="13">
        <v>34.946345306464075</v>
      </c>
      <c r="O34" s="37"/>
    </row>
    <row r="35" spans="4:27" x14ac:dyDescent="0.2">
      <c r="D35" s="12"/>
      <c r="E35" s="5">
        <v>1900</v>
      </c>
      <c r="F35" s="5"/>
      <c r="G35" s="45">
        <f t="shared" si="0"/>
        <v>2.5889297804095731E-25</v>
      </c>
      <c r="H35" s="44">
        <v>4076917.0928130988</v>
      </c>
      <c r="I35" s="5"/>
      <c r="J35" s="16">
        <f t="shared" si="1"/>
        <v>2.9808063861893652</v>
      </c>
      <c r="K35" s="5"/>
      <c r="L35" s="43">
        <v>1.5747499695291556E+31</v>
      </c>
      <c r="M35" s="43">
        <v>0.15590899555094992</v>
      </c>
      <c r="N35" s="13">
        <v>35.21495183720733</v>
      </c>
      <c r="O35" s="37"/>
    </row>
    <row r="36" spans="4:27" ht="17" thickBot="1" x14ac:dyDescent="0.25">
      <c r="D36" s="12"/>
      <c r="E36" s="5">
        <v>2000</v>
      </c>
      <c r="F36" s="5"/>
      <c r="G36" s="41">
        <f t="shared" si="0"/>
        <v>2.7251892425363931E-25</v>
      </c>
      <c r="H36" s="40">
        <v>4634713.2193597751</v>
      </c>
      <c r="I36" s="5"/>
      <c r="J36" s="10">
        <f t="shared" si="1"/>
        <v>2.9808063861893652</v>
      </c>
      <c r="K36" s="5"/>
      <c r="L36" s="39">
        <v>1.7006940828249221E+31</v>
      </c>
      <c r="M36" s="39">
        <v>0.16411473215889463</v>
      </c>
      <c r="N36" s="7">
        <v>35.469777469672508</v>
      </c>
      <c r="O36" s="37"/>
    </row>
    <row r="37" spans="4:27" x14ac:dyDescent="0.2">
      <c r="D37" s="12"/>
      <c r="E37" s="5"/>
      <c r="F37" s="5"/>
      <c r="G37" s="5"/>
      <c r="H37" s="5"/>
      <c r="I37" s="5"/>
      <c r="J37" s="5"/>
      <c r="K37" s="5"/>
      <c r="L37" s="5"/>
      <c r="M37" s="5"/>
      <c r="N37" s="5"/>
      <c r="O37" s="37"/>
    </row>
    <row r="38" spans="4:27" ht="17" thickBot="1" x14ac:dyDescent="0.25">
      <c r="D38" s="36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1"/>
    </row>
    <row r="41" spans="4:27" x14ac:dyDescent="0.2">
      <c r="N41" s="5"/>
      <c r="AA41" s="5"/>
    </row>
    <row r="42" spans="4:27" x14ac:dyDescent="0.2">
      <c r="N42" s="5"/>
      <c r="AA42" s="5"/>
    </row>
    <row r="43" spans="4:27" x14ac:dyDescent="0.2">
      <c r="N43" s="5"/>
      <c r="AA43" s="5"/>
    </row>
    <row r="44" spans="4:27" x14ac:dyDescent="0.2">
      <c r="N44" s="5"/>
      <c r="AA44" s="5"/>
    </row>
    <row r="87" spans="4:14" x14ac:dyDescent="0.2">
      <c r="D87" s="5"/>
      <c r="E87" s="5"/>
      <c r="F87" s="28"/>
      <c r="G87" s="28"/>
      <c r="H87" s="28"/>
      <c r="I87" s="28"/>
      <c r="J87" s="28"/>
      <c r="K87" s="28"/>
    </row>
    <row r="88" spans="4:14" x14ac:dyDescent="0.2">
      <c r="D88" s="5"/>
      <c r="E88" s="5"/>
      <c r="F88" s="28"/>
      <c r="G88" s="28"/>
      <c r="H88" s="28"/>
      <c r="I88" s="28"/>
      <c r="J88" s="28"/>
      <c r="K88" s="28"/>
    </row>
    <row r="89" spans="4:14" x14ac:dyDescent="0.2">
      <c r="N89" s="5"/>
    </row>
    <row r="90" spans="4:14" x14ac:dyDescent="0.2">
      <c r="N90" s="5"/>
    </row>
    <row r="91" spans="4:14" x14ac:dyDescent="0.2">
      <c r="N91" s="5"/>
    </row>
    <row r="92" spans="4:14" x14ac:dyDescent="0.2">
      <c r="N92" s="5"/>
    </row>
    <row r="93" spans="4:14" x14ac:dyDescent="0.2">
      <c r="N93" s="5"/>
    </row>
    <row r="94" spans="4:14" x14ac:dyDescent="0.2">
      <c r="N94" s="5"/>
    </row>
    <row r="95" spans="4:14" x14ac:dyDescent="0.2">
      <c r="N95" s="5"/>
    </row>
    <row r="108" spans="19:27" x14ac:dyDescent="0.2">
      <c r="S108" s="30"/>
      <c r="T108" s="30"/>
      <c r="U108" s="30"/>
      <c r="W108" s="30"/>
      <c r="X108" s="30"/>
      <c r="Y108" s="30"/>
      <c r="Z108" s="30"/>
      <c r="AA108" s="30"/>
    </row>
    <row r="109" spans="19:27" x14ac:dyDescent="0.2">
      <c r="S109" s="30"/>
      <c r="T109" s="30"/>
      <c r="U109" s="30"/>
      <c r="W109" s="30"/>
      <c r="X109" s="30"/>
      <c r="Y109" s="30"/>
      <c r="Z109" s="30"/>
      <c r="AA109" s="30"/>
    </row>
    <row r="110" spans="19:27" x14ac:dyDescent="0.2">
      <c r="S110" s="30"/>
      <c r="T110" s="30"/>
      <c r="U110" s="30"/>
      <c r="W110" s="30"/>
      <c r="X110" s="30"/>
      <c r="Y110" s="30"/>
      <c r="Z110" s="30"/>
      <c r="AA110" s="30"/>
    </row>
    <row r="111" spans="19:27" x14ac:dyDescent="0.2">
      <c r="S111" s="30"/>
      <c r="T111" s="30"/>
      <c r="U111" s="30"/>
      <c r="W111" s="30"/>
      <c r="X111" s="30"/>
      <c r="Y111" s="30"/>
      <c r="Z111" s="30"/>
      <c r="AA111" s="30"/>
    </row>
    <row r="112" spans="19:27" x14ac:dyDescent="0.2">
      <c r="S112" s="30"/>
      <c r="T112" s="30"/>
      <c r="U112" s="30"/>
      <c r="W112" s="30"/>
      <c r="X112" s="30"/>
      <c r="Y112" s="30"/>
      <c r="Z112" s="30"/>
      <c r="AA112" s="30"/>
    </row>
    <row r="118" spans="13:16" x14ac:dyDescent="0.2">
      <c r="N118" s="5"/>
      <c r="O118" s="5"/>
      <c r="P118" s="5"/>
    </row>
    <row r="119" spans="13:16" x14ac:dyDescent="0.2">
      <c r="N119" s="5"/>
      <c r="O119" s="5"/>
      <c r="P119" s="5"/>
    </row>
    <row r="120" spans="13:16" x14ac:dyDescent="0.2">
      <c r="M120" s="5"/>
      <c r="N120" s="5"/>
      <c r="O120" s="5"/>
      <c r="P120" s="5"/>
    </row>
    <row r="121" spans="13:16" x14ac:dyDescent="0.2">
      <c r="M121" s="5"/>
      <c r="N121" s="5"/>
      <c r="O121" s="5"/>
      <c r="P121" s="5"/>
    </row>
    <row r="122" spans="13:16" x14ac:dyDescent="0.2">
      <c r="M122" s="5"/>
      <c r="N122" s="5"/>
      <c r="O122" s="5"/>
      <c r="P122" s="5"/>
    </row>
    <row r="123" spans="13:16" x14ac:dyDescent="0.2">
      <c r="M123" s="5"/>
      <c r="N123" s="5"/>
      <c r="O123" s="5"/>
      <c r="P123" s="5"/>
    </row>
    <row r="124" spans="13:16" x14ac:dyDescent="0.2">
      <c r="M124" s="5"/>
      <c r="N124" s="5"/>
      <c r="O124" s="5"/>
      <c r="P124" s="5"/>
    </row>
    <row r="125" spans="13:16" x14ac:dyDescent="0.2">
      <c r="M125" s="5"/>
      <c r="N125" s="5"/>
      <c r="O125" s="5"/>
      <c r="P125" s="5"/>
    </row>
    <row r="126" spans="13:16" x14ac:dyDescent="0.2">
      <c r="M126" s="5"/>
      <c r="N126" s="5"/>
      <c r="O126" s="5"/>
      <c r="P126" s="5"/>
    </row>
    <row r="127" spans="13:16" x14ac:dyDescent="0.2">
      <c r="M127" s="5"/>
      <c r="N127" s="5"/>
      <c r="O127" s="5"/>
      <c r="P127" s="5"/>
    </row>
    <row r="128" spans="13:16" x14ac:dyDescent="0.2">
      <c r="M128" s="5"/>
      <c r="N128" s="5"/>
      <c r="O128" s="5"/>
      <c r="P128" s="5"/>
    </row>
    <row r="129" spans="13:16" x14ac:dyDescent="0.2">
      <c r="M129" s="5"/>
      <c r="N129" s="5"/>
      <c r="O129" s="5"/>
      <c r="P129" s="5"/>
    </row>
    <row r="130" spans="13:16" x14ac:dyDescent="0.2">
      <c r="M130" s="5"/>
      <c r="N130" s="5"/>
      <c r="O130" s="5"/>
      <c r="P130" s="5"/>
    </row>
    <row r="131" spans="13:16" x14ac:dyDescent="0.2">
      <c r="M131" s="5"/>
      <c r="N131" s="5"/>
      <c r="O131" s="5"/>
      <c r="P131" s="5"/>
    </row>
  </sheetData>
  <mergeCells count="2">
    <mergeCell ref="E4:M4"/>
    <mergeCell ref="G15:N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1FB31-757C-DD40-BC33-4E04C226C71B}">
  <dimension ref="B2:S54"/>
  <sheetViews>
    <sheetView tabSelected="1" topLeftCell="A24" zoomScale="113" workbookViewId="0">
      <selection activeCell="B39" sqref="B39"/>
    </sheetView>
  </sheetViews>
  <sheetFormatPr baseColWidth="10" defaultRowHeight="16" x14ac:dyDescent="0.2"/>
  <cols>
    <col min="2" max="2" width="9.1640625" customWidth="1"/>
    <col min="4" max="4" width="12.5" customWidth="1"/>
    <col min="5" max="5" width="14" customWidth="1"/>
    <col min="6" max="6" width="11.6640625" bestFit="1" customWidth="1"/>
    <col min="7" max="7" width="12.1640625" customWidth="1"/>
    <col min="9" max="9" width="12.83203125" bestFit="1" customWidth="1"/>
    <col min="13" max="14" width="12.83203125" bestFit="1" customWidth="1"/>
  </cols>
  <sheetData>
    <row r="2" spans="3:19" x14ac:dyDescent="0.2">
      <c r="L2" s="168" t="s">
        <v>74</v>
      </c>
      <c r="M2" s="168"/>
      <c r="N2" s="168"/>
      <c r="O2" s="168"/>
      <c r="P2" s="168"/>
      <c r="Q2" s="168"/>
      <c r="R2" s="168"/>
      <c r="S2" s="168"/>
    </row>
    <row r="3" spans="3:19" ht="17" thickBot="1" x14ac:dyDescent="0.25">
      <c r="G3" s="145"/>
      <c r="H3" s="145"/>
      <c r="I3" s="46"/>
    </row>
    <row r="4" spans="3:19" ht="17" thickBot="1" x14ac:dyDescent="0.25">
      <c r="G4" s="165" t="s">
        <v>73</v>
      </c>
      <c r="H4" s="167"/>
      <c r="I4" s="51" t="s">
        <v>75</v>
      </c>
      <c r="L4" s="171" t="s">
        <v>72</v>
      </c>
      <c r="M4" s="171"/>
      <c r="N4" s="171"/>
      <c r="O4" s="171"/>
      <c r="P4" s="171"/>
      <c r="Q4" s="171"/>
      <c r="R4" s="171"/>
      <c r="S4" s="171"/>
    </row>
    <row r="5" spans="3:19" ht="17" thickBot="1" x14ac:dyDescent="0.25">
      <c r="G5" s="100" t="s">
        <v>60</v>
      </c>
      <c r="H5" s="101" t="s">
        <v>71</v>
      </c>
      <c r="I5" s="130" t="s">
        <v>72</v>
      </c>
    </row>
    <row r="6" spans="3:19" ht="17" thickBot="1" x14ac:dyDescent="0.25"/>
    <row r="7" spans="3:19" ht="17" thickBot="1" x14ac:dyDescent="0.25">
      <c r="C7" s="175" t="s">
        <v>77</v>
      </c>
      <c r="D7" s="176"/>
      <c r="E7" s="177"/>
      <c r="F7" s="102" t="s">
        <v>63</v>
      </c>
      <c r="G7" s="85">
        <v>-38.6015573711</v>
      </c>
      <c r="H7" s="68">
        <v>-0.50027278419099996</v>
      </c>
      <c r="I7" s="68">
        <v>-40.5183821643</v>
      </c>
    </row>
    <row r="8" spans="3:19" x14ac:dyDescent="0.2">
      <c r="C8" s="169" t="s">
        <v>76</v>
      </c>
      <c r="D8" s="145"/>
      <c r="E8" s="170"/>
      <c r="F8" s="103" t="s">
        <v>64</v>
      </c>
      <c r="G8" s="54">
        <v>1.8672000000000001E-2</v>
      </c>
      <c r="H8" s="106">
        <v>0</v>
      </c>
      <c r="I8" s="31">
        <v>4.5217E-2</v>
      </c>
    </row>
    <row r="9" spans="3:19" x14ac:dyDescent="0.2">
      <c r="C9" s="169" t="s">
        <v>78</v>
      </c>
      <c r="D9" s="145"/>
      <c r="E9" s="170"/>
      <c r="F9" s="104" t="s">
        <v>61</v>
      </c>
      <c r="G9" s="12">
        <v>2.1572999999999998E-2</v>
      </c>
      <c r="H9" s="4">
        <v>1.4159999999999999E-3</v>
      </c>
      <c r="I9" s="4">
        <v>4.8082E-2</v>
      </c>
    </row>
    <row r="10" spans="3:19" x14ac:dyDescent="0.2">
      <c r="C10" s="169" t="s">
        <v>79</v>
      </c>
      <c r="D10" s="145"/>
      <c r="E10" s="170"/>
      <c r="F10" s="104" t="s">
        <v>62</v>
      </c>
      <c r="G10" s="12">
        <v>2.2516999999999999E-2</v>
      </c>
      <c r="H10" s="4">
        <v>2.3600000000000001E-3</v>
      </c>
      <c r="I10" s="4">
        <v>4.9026E-2</v>
      </c>
    </row>
    <row r="11" spans="3:19" ht="17" thickBot="1" x14ac:dyDescent="0.25">
      <c r="C11" s="172" t="s">
        <v>80</v>
      </c>
      <c r="D11" s="173"/>
      <c r="E11" s="174"/>
      <c r="F11" s="105" t="s">
        <v>65</v>
      </c>
      <c r="G11" s="36">
        <v>-1.3600000000000001E-3</v>
      </c>
      <c r="H11" s="1">
        <v>-1.0654E-2</v>
      </c>
      <c r="I11" s="1">
        <v>2.5548000000000001E-2</v>
      </c>
    </row>
    <row r="12" spans="3:19" x14ac:dyDescent="0.2">
      <c r="C12" s="82"/>
      <c r="D12" s="82"/>
      <c r="E12" s="110"/>
      <c r="F12" s="103" t="s">
        <v>66</v>
      </c>
      <c r="G12" s="54">
        <v>-38.582884999999997</v>
      </c>
      <c r="H12" s="31">
        <v>-0.50027299999999997</v>
      </c>
      <c r="I12" s="31">
        <v>-40.473165000000002</v>
      </c>
    </row>
    <row r="13" spans="3:19" x14ac:dyDescent="0.2">
      <c r="C13" s="82"/>
      <c r="D13" s="82"/>
      <c r="E13" s="110"/>
      <c r="F13" s="104" t="s">
        <v>67</v>
      </c>
      <c r="G13" s="12">
        <v>-38.579984000000003</v>
      </c>
      <c r="H13" s="4">
        <v>-0.49885699999999999</v>
      </c>
      <c r="I13" s="4">
        <v>-40.470300999999999</v>
      </c>
      <c r="L13" s="171" t="s">
        <v>71</v>
      </c>
      <c r="M13" s="171"/>
      <c r="N13" s="171"/>
      <c r="O13" s="171"/>
      <c r="P13" s="171"/>
      <c r="Q13" s="171"/>
      <c r="R13" s="171"/>
      <c r="S13" s="171"/>
    </row>
    <row r="14" spans="3:19" ht="17" thickBot="1" x14ac:dyDescent="0.25">
      <c r="C14" s="82"/>
      <c r="D14" s="82"/>
      <c r="E14" s="110"/>
      <c r="F14" s="104" t="s">
        <v>68</v>
      </c>
      <c r="G14" s="12">
        <v>-38.579039999999999</v>
      </c>
      <c r="H14" s="4">
        <v>-0.49791200000000002</v>
      </c>
      <c r="I14" s="4">
        <v>-40.469355999999998</v>
      </c>
    </row>
    <row r="15" spans="3:19" ht="17" thickBot="1" x14ac:dyDescent="0.25">
      <c r="C15" s="82"/>
      <c r="D15" s="82"/>
      <c r="E15" s="82"/>
      <c r="F15" s="102" t="s">
        <v>69</v>
      </c>
      <c r="G15" s="107">
        <v>-38.602918000000003</v>
      </c>
      <c r="H15" s="108">
        <v>-0.51092700000000002</v>
      </c>
      <c r="I15" s="109">
        <v>-40.492834000000002</v>
      </c>
    </row>
    <row r="17" spans="2:19" x14ac:dyDescent="0.2">
      <c r="G17" s="82"/>
      <c r="H17" s="82"/>
    </row>
    <row r="18" spans="2:19" x14ac:dyDescent="0.2">
      <c r="F18" s="118"/>
      <c r="G18" s="118"/>
      <c r="H18" s="118"/>
    </row>
    <row r="20" spans="2:19" ht="17" thickBot="1" x14ac:dyDescent="0.25"/>
    <row r="21" spans="2:19" x14ac:dyDescent="0.2">
      <c r="B21" s="111" t="s">
        <v>83</v>
      </c>
      <c r="C21" s="112" t="s">
        <v>81</v>
      </c>
      <c r="D21" s="123"/>
      <c r="E21" s="125">
        <v>-40.492834000000002</v>
      </c>
    </row>
    <row r="22" spans="2:19" ht="17" thickBot="1" x14ac:dyDescent="0.25">
      <c r="B22" s="113" t="s">
        <v>82</v>
      </c>
      <c r="C22" s="114" t="s">
        <v>81</v>
      </c>
      <c r="D22" s="122"/>
      <c r="E22" s="124">
        <f>SUM(G15,H15)</f>
        <v>-39.113845000000005</v>
      </c>
      <c r="L22" s="171" t="s">
        <v>60</v>
      </c>
      <c r="M22" s="171"/>
      <c r="N22" s="171"/>
      <c r="O22" s="171"/>
      <c r="P22" s="171"/>
      <c r="Q22" s="171"/>
      <c r="R22" s="171"/>
      <c r="S22" s="171"/>
    </row>
    <row r="23" spans="2:19" ht="17" thickBot="1" x14ac:dyDescent="0.25">
      <c r="B23" s="121"/>
      <c r="C23" s="121"/>
      <c r="D23" s="121"/>
    </row>
    <row r="24" spans="2:19" ht="17" thickBot="1" x14ac:dyDescent="0.25">
      <c r="B24" s="115" t="s">
        <v>85</v>
      </c>
      <c r="C24" s="116"/>
      <c r="D24" s="117"/>
      <c r="E24" s="68">
        <f>E21-E22</f>
        <v>-1.3789889999999971</v>
      </c>
    </row>
    <row r="25" spans="2:19" ht="17" thickBot="1" x14ac:dyDescent="0.25">
      <c r="B25" s="5" t="s">
        <v>84</v>
      </c>
      <c r="C25" s="5"/>
      <c r="D25" s="5"/>
      <c r="E25">
        <v>627.5095</v>
      </c>
    </row>
    <row r="26" spans="2:19" ht="17" thickBot="1" x14ac:dyDescent="0.25">
      <c r="B26" s="119" t="s">
        <v>86</v>
      </c>
      <c r="C26" s="120"/>
      <c r="D26" s="120"/>
      <c r="E26" s="99">
        <f>PRODUCT(E24,E25)</f>
        <v>-865.32869789549818</v>
      </c>
    </row>
    <row r="27" spans="2:19" ht="17" thickBot="1" x14ac:dyDescent="0.25"/>
    <row r="28" spans="2:19" ht="17" thickBot="1" x14ac:dyDescent="0.25">
      <c r="B28" s="126" t="s">
        <v>87</v>
      </c>
      <c r="C28" s="127"/>
      <c r="D28" s="128"/>
      <c r="E28" s="129" t="e">
        <f>EXP(-E26*1000/(1.987*298.15))</f>
        <v>#NUM!</v>
      </c>
    </row>
    <row r="32" spans="2:19" ht="17" thickBot="1" x14ac:dyDescent="0.25">
      <c r="E32" s="135" t="s">
        <v>60</v>
      </c>
    </row>
    <row r="33" spans="2:12" ht="17" x14ac:dyDescent="0.2">
      <c r="D33" s="136" t="s">
        <v>2</v>
      </c>
      <c r="E33" s="131" t="s">
        <v>17</v>
      </c>
      <c r="F33" s="137" t="s">
        <v>8</v>
      </c>
    </row>
    <row r="34" spans="2:12" ht="17" thickBot="1" x14ac:dyDescent="0.25">
      <c r="B34">
        <v>3</v>
      </c>
      <c r="C34">
        <v>2</v>
      </c>
      <c r="D34" s="138">
        <v>254.90602396961057</v>
      </c>
      <c r="E34" s="139">
        <v>2.1400622538116175E-14</v>
      </c>
      <c r="F34" s="79">
        <v>2288810.3236340387</v>
      </c>
      <c r="G34">
        <f>PRODUCT(D34,E34,F34,2)</f>
        <v>2.497159629527952E-5</v>
      </c>
    </row>
    <row r="35" spans="2:12" x14ac:dyDescent="0.2">
      <c r="D35" s="82"/>
      <c r="E35" s="82"/>
    </row>
    <row r="36" spans="2:12" x14ac:dyDescent="0.2">
      <c r="D36" s="82"/>
      <c r="E36" s="82"/>
    </row>
    <row r="37" spans="2:12" ht="17" thickBot="1" x14ac:dyDescent="0.25">
      <c r="E37" s="135" t="s">
        <v>71</v>
      </c>
      <c r="I37" s="134">
        <f>G43/(G39*G34)</f>
        <v>1.7832163247717935E-12</v>
      </c>
      <c r="J37" s="134">
        <f>I37*4</f>
        <v>7.1328652990871741E-12</v>
      </c>
    </row>
    <row r="38" spans="2:12" ht="17" x14ac:dyDescent="0.2">
      <c r="D38" s="136" t="s">
        <v>2</v>
      </c>
      <c r="E38" s="131" t="s">
        <v>17</v>
      </c>
      <c r="F38" s="137" t="s">
        <v>8</v>
      </c>
      <c r="I38" t="s">
        <v>12</v>
      </c>
    </row>
    <row r="39" spans="2:12" ht="17" thickBot="1" x14ac:dyDescent="0.25">
      <c r="C39">
        <v>2</v>
      </c>
      <c r="D39" s="36">
        <v>1</v>
      </c>
      <c r="E39" s="35">
        <v>1</v>
      </c>
      <c r="F39" s="79">
        <v>39768.106360261299</v>
      </c>
      <c r="G39" s="134">
        <f>F39</f>
        <v>39768.106360261299</v>
      </c>
      <c r="I39" s="134"/>
    </row>
    <row r="41" spans="2:12" ht="17" thickBot="1" x14ac:dyDescent="0.25">
      <c r="E41" s="135" t="s">
        <v>72</v>
      </c>
    </row>
    <row r="42" spans="2:12" ht="17" x14ac:dyDescent="0.2">
      <c r="D42" s="136" t="s">
        <v>2</v>
      </c>
      <c r="E42" s="131" t="s">
        <v>17</v>
      </c>
      <c r="F42" s="137" t="s">
        <v>8</v>
      </c>
    </row>
    <row r="43" spans="2:12" ht="17" thickBot="1" x14ac:dyDescent="0.25">
      <c r="B43">
        <v>12</v>
      </c>
      <c r="C43">
        <v>1</v>
      </c>
      <c r="D43" s="141">
        <v>439.22745752723785</v>
      </c>
      <c r="E43" s="35">
        <v>1.5980886119228089E-21</v>
      </c>
      <c r="F43" s="140">
        <v>2522870.2183995163</v>
      </c>
      <c r="G43">
        <f>PRODUCT(D43,E43,F43)</f>
        <v>1.7708641590755558E-12</v>
      </c>
      <c r="K43" s="143"/>
      <c r="L43" s="143"/>
    </row>
    <row r="44" spans="2:12" x14ac:dyDescent="0.2">
      <c r="D44">
        <v>146</v>
      </c>
      <c r="E44">
        <v>2.48</v>
      </c>
      <c r="K44" s="82"/>
      <c r="L44" s="82"/>
    </row>
    <row r="45" spans="2:12" x14ac:dyDescent="0.2">
      <c r="K45" s="82"/>
      <c r="L45" s="144"/>
    </row>
    <row r="46" spans="2:12" x14ac:dyDescent="0.2">
      <c r="K46" s="144"/>
      <c r="L46" s="144"/>
    </row>
    <row r="47" spans="2:12" x14ac:dyDescent="0.2">
      <c r="D47" t="s">
        <v>88</v>
      </c>
      <c r="E47" t="s">
        <v>89</v>
      </c>
      <c r="F47" t="s">
        <v>90</v>
      </c>
    </row>
    <row r="48" spans="2:12" x14ac:dyDescent="0.2">
      <c r="D48">
        <v>-39.808458999999999</v>
      </c>
      <c r="E48">
        <v>-0.50027299999999997</v>
      </c>
      <c r="F48">
        <v>-40.473165000000002</v>
      </c>
    </row>
    <row r="53" spans="4:8" x14ac:dyDescent="0.2">
      <c r="D53" s="133"/>
    </row>
    <row r="54" spans="4:8" x14ac:dyDescent="0.2">
      <c r="H54" s="142"/>
    </row>
  </sheetData>
  <mergeCells count="11">
    <mergeCell ref="L22:S22"/>
    <mergeCell ref="C11:E11"/>
    <mergeCell ref="C7:E7"/>
    <mergeCell ref="G3:H3"/>
    <mergeCell ref="L4:S4"/>
    <mergeCell ref="L13:S13"/>
    <mergeCell ref="L2:S2"/>
    <mergeCell ref="G4:H4"/>
    <mergeCell ref="C8:E8"/>
    <mergeCell ref="C9:E9"/>
    <mergeCell ref="C10:E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CH4</vt:lpstr>
      <vt:lpstr>CH3</vt:lpstr>
      <vt:lpstr>H</vt:lpstr>
      <vt:lpstr>Costante equilibrio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Valgoi</dc:creator>
  <cp:lastModifiedBy>Alessia Valgoi</cp:lastModifiedBy>
  <dcterms:created xsi:type="dcterms:W3CDTF">2024-05-03T12:09:12Z</dcterms:created>
  <dcterms:modified xsi:type="dcterms:W3CDTF">2024-05-17T12:43:26Z</dcterms:modified>
</cp:coreProperties>
</file>