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useppe\Documents\.magistrale\secondo anno\Process\Final\project 9\"/>
    </mc:Choice>
  </mc:AlternateContent>
  <xr:revisionPtr revIDLastSave="0" documentId="13_ncr:1_{A2351DBF-A849-49AA-B3DA-E0D3D4518A86}" xr6:coauthVersionLast="47" xr6:coauthVersionMax="47" xr10:uidLastSave="{00000000-0000-0000-0000-000000000000}"/>
  <bookViews>
    <workbookView xWindow="-110" yWindow="-110" windowWidth="25820" windowHeight="16220" activeTab="6" xr2:uid="{95A3C49D-62D7-4399-8090-8506A2A22D63}"/>
  </bookViews>
  <sheets>
    <sheet name="Q TST1 " sheetId="2" r:id="rId1"/>
    <sheet name="Q H" sheetId="3" r:id="rId2"/>
    <sheet name="Q CH4" sheetId="7" r:id="rId3"/>
    <sheet name="CH4+H=CH3+H2" sheetId="1" r:id="rId4"/>
    <sheet name="Q TST2" sheetId="4" r:id="rId5"/>
    <sheet name="Q NH3" sheetId="5" r:id="rId6"/>
    <sheet name="NH3+H=NH2+H2" sheetId="6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6" l="1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12" i="6"/>
  <c r="M5" i="6"/>
  <c r="J5" i="6"/>
  <c r="D36" i="4"/>
  <c r="J15" i="4" a="1"/>
  <c r="J15" i="4"/>
  <c r="J16" i="4" a="1"/>
  <c r="J16" i="4" s="1"/>
  <c r="J17" i="4" a="1"/>
  <c r="J17" i="4" s="1"/>
  <c r="J18" i="4" a="1"/>
  <c r="J18" i="4" s="1"/>
  <c r="J19" i="4" a="1"/>
  <c r="J19" i="4" s="1"/>
  <c r="J20" i="4" a="1"/>
  <c r="J20" i="4" s="1"/>
  <c r="J21" i="4" a="1"/>
  <c r="J21" i="4" s="1"/>
  <c r="J22" i="4" a="1"/>
  <c r="J22" i="4"/>
  <c r="J23" i="4" a="1"/>
  <c r="J23" i="4"/>
  <c r="J24" i="4" a="1"/>
  <c r="J24" i="4"/>
  <c r="J25" i="4" a="1"/>
  <c r="J25" i="4"/>
  <c r="J26" i="4" a="1"/>
  <c r="J26" i="4"/>
  <c r="J27" i="4" a="1"/>
  <c r="J27" i="4"/>
  <c r="J28" i="4" a="1"/>
  <c r="J28" i="4"/>
  <c r="J29" i="4" a="1"/>
  <c r="J29" i="4"/>
  <c r="J30" i="4" a="1"/>
  <c r="J30" i="4"/>
  <c r="J31" i="4" a="1"/>
  <c r="J31" i="4"/>
  <c r="J32" i="4" a="1"/>
  <c r="J32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/>
  <c r="I22" i="4" a="1"/>
  <c r="I22" i="4"/>
  <c r="I23" i="4" a="1"/>
  <c r="I23" i="4"/>
  <c r="I24" i="4" a="1"/>
  <c r="I24" i="4"/>
  <c r="I25" i="4" a="1"/>
  <c r="I25" i="4"/>
  <c r="I26" i="4" a="1"/>
  <c r="I26" i="4"/>
  <c r="I27" i="4" a="1"/>
  <c r="I27" i="4"/>
  <c r="I28" i="4" a="1"/>
  <c r="I28" i="4"/>
  <c r="I29" i="4" a="1"/>
  <c r="I29" i="4" s="1"/>
  <c r="I30" i="4" a="1"/>
  <c r="I30" i="4"/>
  <c r="I31" i="4" a="1"/>
  <c r="I31" i="4" s="1"/>
  <c r="I32" i="4" a="1"/>
  <c r="I32" i="4" s="1"/>
  <c r="H15" i="4" a="1"/>
  <c r="H15" i="4"/>
  <c r="H16" i="4" a="1"/>
  <c r="H16" i="4"/>
  <c r="H17" i="4" a="1"/>
  <c r="H17" i="4" s="1"/>
  <c r="H18" i="4" a="1"/>
  <c r="H18" i="4" s="1"/>
  <c r="H19" i="4" a="1"/>
  <c r="H19" i="4" s="1"/>
  <c r="H20" i="4" a="1"/>
  <c r="H20" i="4" s="1"/>
  <c r="H21" i="4" a="1"/>
  <c r="H21" i="4"/>
  <c r="H22" i="4" a="1"/>
  <c r="H22" i="4"/>
  <c r="H23" i="4" a="1"/>
  <c r="H23" i="4"/>
  <c r="H24" i="4" a="1"/>
  <c r="H24" i="4"/>
  <c r="H25" i="4" a="1"/>
  <c r="H25" i="4"/>
  <c r="H26" i="4" a="1"/>
  <c r="H26" i="4"/>
  <c r="H27" i="4" a="1"/>
  <c r="H27" i="4"/>
  <c r="H28" i="4" a="1"/>
  <c r="H28" i="4"/>
  <c r="H29" i="4" a="1"/>
  <c r="H29" i="4"/>
  <c r="H30" i="4" a="1"/>
  <c r="H30" i="4"/>
  <c r="H31" i="4" a="1"/>
  <c r="H31" i="4"/>
  <c r="H32" i="4" a="1"/>
  <c r="H32" i="4" s="1"/>
  <c r="G15" i="4" a="1"/>
  <c r="G15" i="4"/>
  <c r="G16" i="4" a="1"/>
  <c r="G16" i="4"/>
  <c r="G17" i="4" a="1"/>
  <c r="G17" i="4"/>
  <c r="G18" i="4" a="1"/>
  <c r="G18" i="4"/>
  <c r="G19" i="4" a="1"/>
  <c r="G19" i="4"/>
  <c r="G20" i="4" a="1"/>
  <c r="G20" i="4"/>
  <c r="G21" i="4" a="1"/>
  <c r="G21" i="4"/>
  <c r="G22" i="4" a="1"/>
  <c r="G22" i="4"/>
  <c r="G23" i="4" a="1"/>
  <c r="G23" i="4" s="1"/>
  <c r="G24" i="4" a="1"/>
  <c r="G24" i="4"/>
  <c r="G25" i="4" a="1"/>
  <c r="G25" i="4"/>
  <c r="G26" i="4" a="1"/>
  <c r="G26" i="4"/>
  <c r="G27" i="4" a="1"/>
  <c r="G27" i="4"/>
  <c r="G28" i="4" a="1"/>
  <c r="G28" i="4"/>
  <c r="G29" i="4" a="1"/>
  <c r="G29" i="4"/>
  <c r="G30" i="4" a="1"/>
  <c r="G30" i="4"/>
  <c r="G31" i="4" a="1"/>
  <c r="G31" i="4"/>
  <c r="G32" i="4" a="1"/>
  <c r="G32" i="4"/>
  <c r="F15" i="4" a="1"/>
  <c r="F15" i="4"/>
  <c r="F16" i="4" a="1"/>
  <c r="F16" i="4"/>
  <c r="F17" i="4" a="1"/>
  <c r="F17" i="4"/>
  <c r="F18" i="4" a="1"/>
  <c r="F18" i="4"/>
  <c r="F19" i="4" a="1"/>
  <c r="F19" i="4"/>
  <c r="F20" i="4" a="1"/>
  <c r="F20" i="4"/>
  <c r="F21" i="4" a="1"/>
  <c r="F21" i="4"/>
  <c r="F22" i="4" a="1"/>
  <c r="F22" i="4"/>
  <c r="F23" i="4" a="1"/>
  <c r="F23" i="4"/>
  <c r="F24" i="4" a="1"/>
  <c r="F24" i="4"/>
  <c r="F25" i="4" a="1"/>
  <c r="F25" i="4"/>
  <c r="F26" i="4" a="1"/>
  <c r="F26" i="4"/>
  <c r="F27" i="4" a="1"/>
  <c r="F27" i="4"/>
  <c r="F28" i="4" a="1"/>
  <c r="F28" i="4"/>
  <c r="F29" i="4" a="1"/>
  <c r="F29" i="4"/>
  <c r="F30" i="4" a="1"/>
  <c r="F30" i="4"/>
  <c r="F31" i="4" a="1"/>
  <c r="F31" i="4"/>
  <c r="F32" i="4" a="1"/>
  <c r="F32" i="4"/>
  <c r="E15" i="4" a="1"/>
  <c r="E15" i="4" s="1"/>
  <c r="E16" i="4" a="1"/>
  <c r="E16" i="4"/>
  <c r="E17" i="4" a="1"/>
  <c r="E17" i="4"/>
  <c r="E18" i="4" a="1"/>
  <c r="E18" i="4"/>
  <c r="E19" i="4" a="1"/>
  <c r="E19" i="4"/>
  <c r="E20" i="4" a="1"/>
  <c r="E20" i="4"/>
  <c r="E21" i="4" a="1"/>
  <c r="E21" i="4"/>
  <c r="E22" i="4" a="1"/>
  <c r="E22" i="4"/>
  <c r="E23" i="4" a="1"/>
  <c r="E23" i="4"/>
  <c r="E24" i="4" a="1"/>
  <c r="E24" i="4"/>
  <c r="E25" i="4" a="1"/>
  <c r="E25" i="4"/>
  <c r="E26" i="4" a="1"/>
  <c r="E26" i="4"/>
  <c r="E27" i="4" a="1"/>
  <c r="E27" i="4"/>
  <c r="E28" i="4" a="1"/>
  <c r="E28" i="4"/>
  <c r="E29" i="4" a="1"/>
  <c r="E29" i="4"/>
  <c r="E30" i="4" a="1"/>
  <c r="E30" i="4"/>
  <c r="E31" i="4" a="1"/>
  <c r="E31" i="4" s="1"/>
  <c r="E32" i="4" a="1"/>
  <c r="E32" i="4"/>
  <c r="D15" i="4" a="1"/>
  <c r="D15" i="4" s="1"/>
  <c r="D16" i="4" a="1"/>
  <c r="D16" i="4"/>
  <c r="D17" i="4" a="1"/>
  <c r="D17" i="4"/>
  <c r="D18" i="4" a="1"/>
  <c r="D18" i="4"/>
  <c r="D19" i="4" a="1"/>
  <c r="D19" i="4"/>
  <c r="D20" i="4" a="1"/>
  <c r="D20" i="4"/>
  <c r="D21" i="4" a="1"/>
  <c r="D21" i="4"/>
  <c r="D22" i="4" a="1"/>
  <c r="D22" i="4"/>
  <c r="D23" i="4" a="1"/>
  <c r="D23" i="4"/>
  <c r="D24" i="4" a="1"/>
  <c r="D24" i="4"/>
  <c r="D25" i="4" a="1"/>
  <c r="D25" i="4"/>
  <c r="D26" i="4" a="1"/>
  <c r="D26" i="4"/>
  <c r="D27" i="4" a="1"/>
  <c r="D27" i="4"/>
  <c r="D28" i="4" a="1"/>
  <c r="D28" i="4"/>
  <c r="D29" i="4" a="1"/>
  <c r="D29" i="4"/>
  <c r="D30" i="4" a="1"/>
  <c r="D30" i="4"/>
  <c r="D31" i="4" a="1"/>
  <c r="D31" i="4" s="1"/>
  <c r="D32" i="4" a="1"/>
  <c r="D32" i="4"/>
  <c r="C15" i="4" a="1"/>
  <c r="C15" i="4"/>
  <c r="C16" i="4" a="1"/>
  <c r="C16" i="4"/>
  <c r="C17" i="4" a="1"/>
  <c r="C17" i="4"/>
  <c r="C18" i="4" a="1"/>
  <c r="C18" i="4"/>
  <c r="C19" i="4" a="1"/>
  <c r="C19" i="4"/>
  <c r="C20" i="4" a="1"/>
  <c r="C20" i="4"/>
  <c r="C21" i="4" a="1"/>
  <c r="C21" i="4"/>
  <c r="C22" i="4" a="1"/>
  <c r="C22" i="4"/>
  <c r="C23" i="4" a="1"/>
  <c r="C23" i="4" s="1"/>
  <c r="C24" i="4" a="1"/>
  <c r="C24" i="4"/>
  <c r="C25" i="4" a="1"/>
  <c r="C25" i="4"/>
  <c r="C26" i="4" a="1"/>
  <c r="C26" i="4"/>
  <c r="C27" i="4" a="1"/>
  <c r="C27" i="4"/>
  <c r="C28" i="4" a="1"/>
  <c r="C28" i="4"/>
  <c r="C29" i="4" a="1"/>
  <c r="C29" i="4"/>
  <c r="C30" i="4" a="1"/>
  <c r="C30" i="4"/>
  <c r="C31" i="4" a="1"/>
  <c r="C31" i="4"/>
  <c r="C32" i="4" a="1"/>
  <c r="C32" i="4"/>
  <c r="B15" i="4" a="1"/>
  <c r="B15" i="4"/>
  <c r="B16" i="4" a="1"/>
  <c r="B16" i="4"/>
  <c r="B17" i="4" a="1"/>
  <c r="B17" i="4"/>
  <c r="B18" i="4" a="1"/>
  <c r="B18" i="4"/>
  <c r="B19" i="4" a="1"/>
  <c r="B19" i="4"/>
  <c r="B20" i="4" a="1"/>
  <c r="B20" i="4"/>
  <c r="B21" i="4" a="1"/>
  <c r="B21" i="4"/>
  <c r="B22" i="4" a="1"/>
  <c r="B22" i="4"/>
  <c r="B23" i="4" a="1"/>
  <c r="B23" i="4"/>
  <c r="B24" i="4" a="1"/>
  <c r="B24" i="4"/>
  <c r="B25" i="4" a="1"/>
  <c r="B25" i="4"/>
  <c r="B26" i="4" a="1"/>
  <c r="B26" i="4"/>
  <c r="B27" i="4" a="1"/>
  <c r="B27" i="4"/>
  <c r="B28" i="4" a="1"/>
  <c r="B28" i="4"/>
  <c r="B29" i="4" a="1"/>
  <c r="B29" i="4"/>
  <c r="B30" i="4" a="1"/>
  <c r="B30" i="4"/>
  <c r="B31" i="4" a="1"/>
  <c r="B31" i="4"/>
  <c r="B32" i="4" a="1"/>
  <c r="B32" i="4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37" i="5"/>
  <c r="G15" i="5" a="1"/>
  <c r="G15" i="5"/>
  <c r="G16" i="5" a="1"/>
  <c r="G16" i="5" s="1"/>
  <c r="G17" i="5" a="1"/>
  <c r="G17" i="5" s="1"/>
  <c r="G18" i="5" a="1"/>
  <c r="G18" i="5" s="1"/>
  <c r="G19" i="5" a="1"/>
  <c r="G19" i="5" s="1"/>
  <c r="G20" i="5" a="1"/>
  <c r="G20" i="5" s="1"/>
  <c r="G21" i="5" a="1"/>
  <c r="G21" i="5" s="1"/>
  <c r="G22" i="5" a="1"/>
  <c r="G22" i="5"/>
  <c r="G23" i="5" a="1"/>
  <c r="G23" i="5" s="1"/>
  <c r="G24" i="5" a="1"/>
  <c r="G24" i="5"/>
  <c r="G25" i="5" a="1"/>
  <c r="G25" i="5"/>
  <c r="G26" i="5" a="1"/>
  <c r="G26" i="5"/>
  <c r="G27" i="5" a="1"/>
  <c r="G27" i="5"/>
  <c r="G28" i="5" a="1"/>
  <c r="G28" i="5"/>
  <c r="G29" i="5" a="1"/>
  <c r="G29" i="5"/>
  <c r="G30" i="5" a="1"/>
  <c r="G30" i="5"/>
  <c r="G31" i="5" a="1"/>
  <c r="G31" i="5"/>
  <c r="G32" i="5" a="1"/>
  <c r="G32" i="5" s="1"/>
  <c r="F15" i="5" a="1"/>
  <c r="F15" i="5"/>
  <c r="F16" i="5" a="1"/>
  <c r="F16" i="5" s="1"/>
  <c r="F17" i="5" a="1"/>
  <c r="F17" i="5"/>
  <c r="F18" i="5" a="1"/>
  <c r="F18" i="5" s="1"/>
  <c r="F19" i="5" a="1"/>
  <c r="F19" i="5" s="1"/>
  <c r="F20" i="5" a="1"/>
  <c r="F20" i="5" s="1"/>
  <c r="F21" i="5" a="1"/>
  <c r="F21" i="5"/>
  <c r="F22" i="5" a="1"/>
  <c r="F22" i="5" s="1"/>
  <c r="F23" i="5" a="1"/>
  <c r="F23" i="5"/>
  <c r="F24" i="5" a="1"/>
  <c r="F24" i="5"/>
  <c r="F25" i="5" a="1"/>
  <c r="F25" i="5"/>
  <c r="F26" i="5" a="1"/>
  <c r="F26" i="5"/>
  <c r="F27" i="5" a="1"/>
  <c r="F27" i="5"/>
  <c r="F28" i="5" a="1"/>
  <c r="F28" i="5"/>
  <c r="F29" i="5" a="1"/>
  <c r="F29" i="5"/>
  <c r="F30" i="5" a="1"/>
  <c r="F30" i="5"/>
  <c r="F31" i="5" a="1"/>
  <c r="F31" i="5" s="1"/>
  <c r="F32" i="5" a="1"/>
  <c r="F32" i="5" s="1"/>
  <c r="E15" i="5" a="1"/>
  <c r="E15" i="5"/>
  <c r="E16" i="5" a="1"/>
  <c r="E16" i="5"/>
  <c r="E17" i="5" a="1"/>
  <c r="E17" i="5" s="1"/>
  <c r="E18" i="5" a="1"/>
  <c r="E18" i="5" s="1"/>
  <c r="E19" i="5" a="1"/>
  <c r="E19" i="5" s="1"/>
  <c r="E20" i="5" a="1"/>
  <c r="E20" i="5" s="1"/>
  <c r="E21" i="5" a="1"/>
  <c r="E21" i="5" s="1"/>
  <c r="E22" i="5" a="1"/>
  <c r="E22" i="5"/>
  <c r="E23" i="5" a="1"/>
  <c r="E23" i="5"/>
  <c r="E24" i="5" a="1"/>
  <c r="E24" i="5"/>
  <c r="E25" i="5" a="1"/>
  <c r="E25" i="5"/>
  <c r="E26" i="5" a="1"/>
  <c r="E26" i="5"/>
  <c r="E27" i="5" a="1"/>
  <c r="E27" i="5"/>
  <c r="E28" i="5" a="1"/>
  <c r="E28" i="5"/>
  <c r="E29" i="5" a="1"/>
  <c r="E29" i="5"/>
  <c r="E30" i="5" a="1"/>
  <c r="E30" i="5" s="1"/>
  <c r="E31" i="5" a="1"/>
  <c r="E31" i="5"/>
  <c r="E32" i="5" a="1"/>
  <c r="E32" i="5"/>
  <c r="D15" i="5" a="1"/>
  <c r="D15" i="5" s="1"/>
  <c r="D16" i="5" a="1"/>
  <c r="D16" i="5" s="1"/>
  <c r="D17" i="5" a="1"/>
  <c r="D17" i="5"/>
  <c r="D18" i="5" a="1"/>
  <c r="D18" i="5"/>
  <c r="D19" i="5" a="1"/>
  <c r="D19" i="5" s="1"/>
  <c r="D20" i="5" a="1"/>
  <c r="D20" i="5" s="1"/>
  <c r="D21" i="5" a="1"/>
  <c r="D21" i="5"/>
  <c r="D22" i="5" a="1"/>
  <c r="D22" i="5"/>
  <c r="D23" i="5" a="1"/>
  <c r="D23" i="5" s="1"/>
  <c r="D24" i="5" a="1"/>
  <c r="D24" i="5"/>
  <c r="D25" i="5" a="1"/>
  <c r="D25" i="5"/>
  <c r="D26" i="5" a="1"/>
  <c r="D26" i="5"/>
  <c r="D27" i="5" a="1"/>
  <c r="D27" i="5"/>
  <c r="D28" i="5" a="1"/>
  <c r="D28" i="5"/>
  <c r="D29" i="5" a="1"/>
  <c r="D29" i="5"/>
  <c r="D30" i="5" a="1"/>
  <c r="D30" i="5"/>
  <c r="D31" i="5" a="1"/>
  <c r="D31" i="5" s="1"/>
  <c r="D32" i="5" a="1"/>
  <c r="D32" i="5" s="1"/>
  <c r="C15" i="5" a="1"/>
  <c r="C15" i="5"/>
  <c r="C16" i="5" a="1"/>
  <c r="C16" i="5" s="1"/>
  <c r="C17" i="5" a="1"/>
  <c r="C17" i="5"/>
  <c r="C18" i="5" a="1"/>
  <c r="C18" i="5" s="1"/>
  <c r="C19" i="5" a="1"/>
  <c r="C19" i="5" s="1"/>
  <c r="C20" i="5" a="1"/>
  <c r="C20" i="5" s="1"/>
  <c r="C21" i="5" a="1"/>
  <c r="C21" i="5"/>
  <c r="C22" i="5" a="1"/>
  <c r="C22" i="5"/>
  <c r="C23" i="5" a="1"/>
  <c r="C23" i="5" s="1"/>
  <c r="C24" i="5" a="1"/>
  <c r="C24" i="5"/>
  <c r="C25" i="5" a="1"/>
  <c r="C25" i="5"/>
  <c r="C26" i="5" a="1"/>
  <c r="C26" i="5"/>
  <c r="C27" i="5" a="1"/>
  <c r="C27" i="5"/>
  <c r="C28" i="5" a="1"/>
  <c r="C28" i="5" s="1"/>
  <c r="C29" i="5" a="1"/>
  <c r="C29" i="5" s="1"/>
  <c r="C30" i="5" a="1"/>
  <c r="C30" i="5" s="1"/>
  <c r="C31" i="5" a="1"/>
  <c r="C31" i="5"/>
  <c r="C32" i="5" a="1"/>
  <c r="C32" i="5" s="1"/>
  <c r="B15" i="5" a="1"/>
  <c r="B15" i="5" s="1"/>
  <c r="B16" i="5" a="1"/>
  <c r="B16" i="5"/>
  <c r="B17" i="5" a="1"/>
  <c r="B17" i="5" s="1"/>
  <c r="B18" i="5" a="1"/>
  <c r="B18" i="5"/>
  <c r="B19" i="5" a="1"/>
  <c r="B19" i="5"/>
  <c r="B20" i="5" a="1"/>
  <c r="B20" i="5"/>
  <c r="B21" i="5" a="1"/>
  <c r="B21" i="5"/>
  <c r="B22" i="5" a="1"/>
  <c r="B22" i="5"/>
  <c r="B23" i="5" a="1"/>
  <c r="B23" i="5" s="1"/>
  <c r="B24" i="5" a="1"/>
  <c r="B24" i="5"/>
  <c r="B25" i="5" a="1"/>
  <c r="B25" i="5"/>
  <c r="B26" i="5" a="1"/>
  <c r="B26" i="5"/>
  <c r="B27" i="5" a="1"/>
  <c r="B27" i="5"/>
  <c r="B28" i="5" a="1"/>
  <c r="B28" i="5"/>
  <c r="B29" i="5" a="1"/>
  <c r="B29" i="5" s="1"/>
  <c r="B30" i="5" a="1"/>
  <c r="B30" i="5" s="1"/>
  <c r="B31" i="5" a="1"/>
  <c r="B31" i="5" s="1"/>
  <c r="B32" i="5" a="1"/>
  <c r="B32" i="5"/>
  <c r="G25" i="1"/>
  <c r="G26" i="1"/>
  <c r="G27" i="1"/>
  <c r="G28" i="1"/>
  <c r="G29" i="1"/>
  <c r="G12" i="1"/>
  <c r="H12" i="1" s="1"/>
  <c r="F13" i="1"/>
  <c r="F14" i="1"/>
  <c r="F15" i="1"/>
  <c r="F16" i="1"/>
  <c r="F17" i="1"/>
  <c r="F18" i="1"/>
  <c r="F19" i="1"/>
  <c r="G19" i="1" s="1"/>
  <c r="F20" i="1"/>
  <c r="G20" i="1" s="1"/>
  <c r="F21" i="1"/>
  <c r="G21" i="1" s="1"/>
  <c r="F22" i="1"/>
  <c r="G22" i="1" s="1"/>
  <c r="F23" i="1"/>
  <c r="G23" i="1" s="1"/>
  <c r="F24" i="1"/>
  <c r="F25" i="1"/>
  <c r="F26" i="1"/>
  <c r="F27" i="1"/>
  <c r="F28" i="1"/>
  <c r="F29" i="1"/>
  <c r="F12" i="1"/>
  <c r="H5" i="1"/>
  <c r="J5" i="1" s="1"/>
  <c r="G13" i="1" s="1"/>
  <c r="C37" i="7" a="1"/>
  <c r="C37" i="7"/>
  <c r="N15" i="2"/>
  <c r="M15" i="2" a="1"/>
  <c r="M15" i="2" s="1"/>
  <c r="M16" i="2" a="1"/>
  <c r="M16" i="2" s="1"/>
  <c r="M17" i="2" a="1"/>
  <c r="M17" i="2"/>
  <c r="M18" i="2" a="1"/>
  <c r="M18" i="2" s="1"/>
  <c r="M19" i="2" a="1"/>
  <c r="M19" i="2" s="1"/>
  <c r="M20" i="2" a="1"/>
  <c r="M20" i="2"/>
  <c r="M21" i="2" a="1"/>
  <c r="M21" i="2"/>
  <c r="M22" i="2" a="1"/>
  <c r="M22" i="2"/>
  <c r="M23" i="2" a="1"/>
  <c r="M23" i="2" s="1"/>
  <c r="M24" i="2" a="1"/>
  <c r="M24" i="2" s="1"/>
  <c r="M25" i="2" a="1"/>
  <c r="M25" i="2"/>
  <c r="M26" i="2" a="1"/>
  <c r="M26" i="2" s="1"/>
  <c r="M27" i="2" a="1"/>
  <c r="M27" i="2"/>
  <c r="M28" i="2" a="1"/>
  <c r="M28" i="2"/>
  <c r="M29" i="2" a="1"/>
  <c r="M29" i="2"/>
  <c r="M30" i="2" a="1"/>
  <c r="M30" i="2"/>
  <c r="M31" i="2" a="1"/>
  <c r="M31" i="2" s="1"/>
  <c r="M32" i="2" a="1"/>
  <c r="M32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/>
  <c r="L23" i="2" a="1"/>
  <c r="L23" i="2"/>
  <c r="L24" i="2" a="1"/>
  <c r="L24" i="2"/>
  <c r="L25" i="2" a="1"/>
  <c r="L25" i="2"/>
  <c r="L26" i="2" a="1"/>
  <c r="L26" i="2"/>
  <c r="L27" i="2" a="1"/>
  <c r="L27" i="2"/>
  <c r="L28" i="2" a="1"/>
  <c r="L28" i="2"/>
  <c r="L29" i="2" a="1"/>
  <c r="L29" i="2"/>
  <c r="L30" i="2" a="1"/>
  <c r="L30" i="2" s="1"/>
  <c r="L31" i="2" a="1"/>
  <c r="L31" i="2" s="1"/>
  <c r="L32" i="2" a="1"/>
  <c r="L32" i="2" s="1"/>
  <c r="K15" i="2" a="1"/>
  <c r="K15" i="2"/>
  <c r="K16" i="2" a="1"/>
  <c r="K16" i="2" s="1"/>
  <c r="K17" i="2" a="1"/>
  <c r="K17" i="2"/>
  <c r="K18" i="2" a="1"/>
  <c r="K18" i="2"/>
  <c r="K19" i="2" a="1"/>
  <c r="K19" i="2"/>
  <c r="K20" i="2" a="1"/>
  <c r="K20" i="2"/>
  <c r="K21" i="2" a="1"/>
  <c r="K21" i="2" s="1"/>
  <c r="K22" i="2" a="1"/>
  <c r="K22" i="2"/>
  <c r="K23" i="2" a="1"/>
  <c r="K23" i="2" s="1"/>
  <c r="K24" i="2" a="1"/>
  <c r="K24" i="2"/>
  <c r="K25" i="2" a="1"/>
  <c r="K25" i="2" s="1"/>
  <c r="K26" i="2" a="1"/>
  <c r="K26" i="2" s="1"/>
  <c r="K27" i="2" a="1"/>
  <c r="K27" i="2"/>
  <c r="K28" i="2" a="1"/>
  <c r="K28" i="2"/>
  <c r="K29" i="2" a="1"/>
  <c r="K29" i="2" s="1"/>
  <c r="K30" i="2" a="1"/>
  <c r="K30" i="2" s="1"/>
  <c r="K31" i="2" a="1"/>
  <c r="K31" i="2"/>
  <c r="K32" i="2" a="1"/>
  <c r="K32" i="2" s="1"/>
  <c r="J15" i="2" a="1"/>
  <c r="J15" i="2" s="1"/>
  <c r="J16" i="2" a="1"/>
  <c r="J16" i="2" s="1"/>
  <c r="J17" i="2" a="1"/>
  <c r="J17" i="2" s="1"/>
  <c r="J18" i="2" a="1"/>
  <c r="J18" i="2" s="1"/>
  <c r="J19" i="2" a="1"/>
  <c r="J19" i="2" s="1"/>
  <c r="J20" i="2" a="1"/>
  <c r="J20" i="2"/>
  <c r="J21" i="2" a="1"/>
  <c r="J21" i="2" s="1"/>
  <c r="J22" i="2" a="1"/>
  <c r="J22" i="2"/>
  <c r="J23" i="2" a="1"/>
  <c r="J23" i="2"/>
  <c r="J24" i="2" a="1"/>
  <c r="J24" i="2"/>
  <c r="J25" i="2" a="1"/>
  <c r="J25" i="2"/>
  <c r="J26" i="2" a="1"/>
  <c r="J26" i="2" s="1"/>
  <c r="J27" i="2" a="1"/>
  <c r="J27" i="2"/>
  <c r="J28" i="2" a="1"/>
  <c r="J28" i="2"/>
  <c r="J29" i="2" a="1"/>
  <c r="J29" i="2"/>
  <c r="J30" i="2" a="1"/>
  <c r="J30" i="2"/>
  <c r="J31" i="2" a="1"/>
  <c r="J31" i="2" s="1"/>
  <c r="J32" i="2" a="1"/>
  <c r="J32" i="2" s="1"/>
  <c r="I15" i="2" a="1"/>
  <c r="I15" i="2" s="1"/>
  <c r="I16" i="2" a="1"/>
  <c r="I16" i="2" s="1"/>
  <c r="I17" i="2" a="1"/>
  <c r="I17" i="2"/>
  <c r="I18" i="2" a="1"/>
  <c r="I18" i="2" s="1"/>
  <c r="I19" i="2" a="1"/>
  <c r="I19" i="2" s="1"/>
  <c r="I20" i="2" a="1"/>
  <c r="I20" i="2" s="1"/>
  <c r="I21" i="2" a="1"/>
  <c r="I21" i="2" s="1"/>
  <c r="I22" i="2" a="1"/>
  <c r="I22" i="2"/>
  <c r="I23" i="2" a="1"/>
  <c r="I23" i="2" s="1"/>
  <c r="I24" i="2" a="1"/>
  <c r="I24" i="2"/>
  <c r="I25" i="2" a="1"/>
  <c r="I25" i="2"/>
  <c r="I26" i="2" a="1"/>
  <c r="I26" i="2" s="1"/>
  <c r="I27" i="2" a="1"/>
  <c r="I27" i="2"/>
  <c r="I28" i="2" a="1"/>
  <c r="I28" i="2"/>
  <c r="I29" i="2" a="1"/>
  <c r="I29" i="2"/>
  <c r="I30" i="2" a="1"/>
  <c r="I30" i="2"/>
  <c r="I31" i="2" a="1"/>
  <c r="I31" i="2" s="1"/>
  <c r="I32" i="2" a="1"/>
  <c r="I32" i="2" s="1"/>
  <c r="H15" i="2" a="1"/>
  <c r="H15" i="2" s="1"/>
  <c r="H16" i="2" a="1"/>
  <c r="H16" i="2"/>
  <c r="H17" i="2" a="1"/>
  <c r="H17" i="2"/>
  <c r="H18" i="2" a="1"/>
  <c r="H18" i="2"/>
  <c r="H19" i="2" a="1"/>
  <c r="H19" i="2"/>
  <c r="H20" i="2" a="1"/>
  <c r="H20" i="2"/>
  <c r="H21" i="2" a="1"/>
  <c r="H21" i="2"/>
  <c r="H22" i="2" a="1"/>
  <c r="H22" i="2"/>
  <c r="H23" i="2" a="1"/>
  <c r="H23" i="2" s="1"/>
  <c r="H24" i="2" a="1"/>
  <c r="H24" i="2"/>
  <c r="H25" i="2" a="1"/>
  <c r="H25" i="2"/>
  <c r="H26" i="2" a="1"/>
  <c r="H26" i="2"/>
  <c r="H27" i="2" a="1"/>
  <c r="H27" i="2"/>
  <c r="H28" i="2" a="1"/>
  <c r="H28" i="2"/>
  <c r="H29" i="2" a="1"/>
  <c r="H29" i="2"/>
  <c r="H30" i="2" a="1"/>
  <c r="H30" i="2"/>
  <c r="H31" i="2" a="1"/>
  <c r="H31" i="2" s="1"/>
  <c r="H32" i="2" a="1"/>
  <c r="H32" i="2"/>
  <c r="G15" i="2" a="1"/>
  <c r="G15" i="2" s="1"/>
  <c r="G16" i="2" a="1"/>
  <c r="G16" i="2"/>
  <c r="G17" i="2" a="1"/>
  <c r="G17" i="2"/>
  <c r="G18" i="2" a="1"/>
  <c r="G18" i="2"/>
  <c r="G19" i="2" a="1"/>
  <c r="G19" i="2" s="1"/>
  <c r="G20" i="2" a="1"/>
  <c r="G20" i="2" s="1"/>
  <c r="G21" i="2" a="1"/>
  <c r="G21" i="2" s="1"/>
  <c r="G22" i="2" a="1"/>
  <c r="G22" i="2"/>
  <c r="G23" i="2" a="1"/>
  <c r="G23" i="2" s="1"/>
  <c r="G24" i="2" a="1"/>
  <c r="G24" i="2"/>
  <c r="G25" i="2" a="1"/>
  <c r="G25" i="2"/>
  <c r="G26" i="2" a="1"/>
  <c r="G26" i="2"/>
  <c r="G27" i="2" a="1"/>
  <c r="G27" i="2"/>
  <c r="G28" i="2" a="1"/>
  <c r="G28" i="2"/>
  <c r="G29" i="2" a="1"/>
  <c r="G29" i="2" s="1"/>
  <c r="G30" i="2" a="1"/>
  <c r="G30" i="2" s="1"/>
  <c r="G31" i="2" a="1"/>
  <c r="G31" i="2" s="1"/>
  <c r="G32" i="2" a="1"/>
  <c r="G32" i="2" s="1"/>
  <c r="F15" i="2" a="1"/>
  <c r="F15" i="2"/>
  <c r="F16" i="2" a="1"/>
  <c r="F16" i="2" s="1"/>
  <c r="F17" i="2" a="1"/>
  <c r="F17" i="2"/>
  <c r="F18" i="2" a="1"/>
  <c r="F18" i="2" s="1"/>
  <c r="F19" i="2" a="1"/>
  <c r="F19" i="2" s="1"/>
  <c r="F20" i="2" a="1"/>
  <c r="F20" i="2" s="1"/>
  <c r="F21" i="2" a="1"/>
  <c r="F21" i="2"/>
  <c r="F22" i="2" a="1"/>
  <c r="F22" i="2" s="1"/>
  <c r="F23" i="2" a="1"/>
  <c r="F23" i="2"/>
  <c r="F24" i="2" a="1"/>
  <c r="F24" i="2" s="1"/>
  <c r="F25" i="2" a="1"/>
  <c r="F25" i="2" s="1"/>
  <c r="F26" i="2" a="1"/>
  <c r="F26" i="2"/>
  <c r="F27" i="2" a="1"/>
  <c r="F27" i="2"/>
  <c r="F28" i="2" a="1"/>
  <c r="F28" i="2"/>
  <c r="F29" i="2" a="1"/>
  <c r="F29" i="2"/>
  <c r="F30" i="2" a="1"/>
  <c r="F30" i="2"/>
  <c r="F31" i="2" a="1"/>
  <c r="F31" i="2"/>
  <c r="F32" i="2" a="1"/>
  <c r="F32" i="2" s="1"/>
  <c r="E15" i="2" a="1"/>
  <c r="E15" i="2" s="1"/>
  <c r="E16" i="2" a="1"/>
  <c r="E16" i="2" s="1"/>
  <c r="E17" i="2" a="1"/>
  <c r="E17" i="2"/>
  <c r="E18" i="2" a="1"/>
  <c r="E18" i="2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/>
  <c r="E25" i="2" a="1"/>
  <c r="E25" i="2" s="1"/>
  <c r="E26" i="2" a="1"/>
  <c r="E26" i="2"/>
  <c r="E27" i="2" a="1"/>
  <c r="E27" i="2"/>
  <c r="E28" i="2" a="1"/>
  <c r="E28" i="2"/>
  <c r="E29" i="2" a="1"/>
  <c r="E29" i="2"/>
  <c r="E30" i="2" a="1"/>
  <c r="E30" i="2"/>
  <c r="E31" i="2" a="1"/>
  <c r="E31" i="2" s="1"/>
  <c r="E32" i="2" a="1"/>
  <c r="E32" i="2" s="1"/>
  <c r="D15" i="2" a="1"/>
  <c r="D15" i="2" s="1"/>
  <c r="D16" i="2" a="1"/>
  <c r="D16" i="2"/>
  <c r="D17" i="2" a="1"/>
  <c r="D17" i="2" s="1"/>
  <c r="D18" i="2" a="1"/>
  <c r="D18" i="2" s="1"/>
  <c r="D19" i="2" a="1"/>
  <c r="D19" i="2" s="1"/>
  <c r="D20" i="2" a="1"/>
  <c r="D20" i="2" s="1"/>
  <c r="D21" i="2" a="1"/>
  <c r="D21" i="2"/>
  <c r="D22" i="2" a="1"/>
  <c r="D22" i="2" s="1"/>
  <c r="D23" i="2" a="1"/>
  <c r="D23" i="2" s="1"/>
  <c r="D24" i="2" a="1"/>
  <c r="D24" i="2"/>
  <c r="D25" i="2" a="1"/>
  <c r="D25" i="2"/>
  <c r="D26" i="2" a="1"/>
  <c r="D26" i="2"/>
  <c r="D27" i="2" a="1"/>
  <c r="D27" i="2" s="1"/>
  <c r="D28" i="2" a="1"/>
  <c r="D28" i="2" s="1"/>
  <c r="D29" i="2" a="1"/>
  <c r="D29" i="2"/>
  <c r="D30" i="2" a="1"/>
  <c r="D30" i="2" s="1"/>
  <c r="D31" i="2" a="1"/>
  <c r="D31" i="2" s="1"/>
  <c r="D32" i="2" a="1"/>
  <c r="D32" i="2"/>
  <c r="C15" i="2" a="1"/>
  <c r="C15" i="2"/>
  <c r="C16" i="2" a="1"/>
  <c r="C16" i="2"/>
  <c r="C17" i="2" a="1"/>
  <c r="C17" i="2"/>
  <c r="C18" i="2" a="1"/>
  <c r="C18" i="2"/>
  <c r="C19" i="2" a="1"/>
  <c r="C19" i="2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/>
  <c r="C27" i="2" a="1"/>
  <c r="C27" i="2"/>
  <c r="C28" i="2" a="1"/>
  <c r="C28" i="2"/>
  <c r="C29" i="2" a="1"/>
  <c r="C29" i="2"/>
  <c r="C30" i="2" a="1"/>
  <c r="C30" i="2"/>
  <c r="C31" i="2" a="1"/>
  <c r="C31" i="2"/>
  <c r="C32" i="2" a="1"/>
  <c r="C32" i="2"/>
  <c r="B15" i="2" a="1"/>
  <c r="B15" i="2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/>
  <c r="B22" i="2" a="1"/>
  <c r="B22" i="2" s="1"/>
  <c r="B23" i="2" a="1"/>
  <c r="B23" i="2"/>
  <c r="B24" i="2" a="1"/>
  <c r="B24" i="2"/>
  <c r="B25" i="2" a="1"/>
  <c r="B25" i="2"/>
  <c r="B26" i="2" a="1"/>
  <c r="B26" i="2"/>
  <c r="B27" i="2" a="1"/>
  <c r="B27" i="2"/>
  <c r="B28" i="2" a="1"/>
  <c r="B28" i="2"/>
  <c r="B29" i="2" a="1"/>
  <c r="B29" i="2"/>
  <c r="B30" i="2" a="1"/>
  <c r="B30" i="2"/>
  <c r="B31" i="2" a="1"/>
  <c r="B31" i="2"/>
  <c r="B32" i="2" a="1"/>
  <c r="B32" i="2" s="1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H54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37" i="7"/>
  <c r="C38" i="7" a="1"/>
  <c r="C38" i="7" s="1"/>
  <c r="C39" i="7" a="1"/>
  <c r="C39" i="7"/>
  <c r="C40" i="7" a="1"/>
  <c r="C40" i="7" s="1"/>
  <c r="C41" i="7" a="1"/>
  <c r="C41" i="7"/>
  <c r="C42" i="7" a="1"/>
  <c r="C42" i="7"/>
  <c r="C43" i="7" a="1"/>
  <c r="C43" i="7"/>
  <c r="C44" i="7" a="1"/>
  <c r="C44" i="7"/>
  <c r="C45" i="7" a="1"/>
  <c r="C45" i="7"/>
  <c r="C46" i="7" a="1"/>
  <c r="C46" i="7"/>
  <c r="C47" i="7" a="1"/>
  <c r="C47" i="7"/>
  <c r="C48" i="7" a="1"/>
  <c r="C48" i="7" s="1"/>
  <c r="C49" i="7" a="1"/>
  <c r="C49" i="7"/>
  <c r="C50" i="7" a="1"/>
  <c r="C50" i="7"/>
  <c r="C51" i="7" a="1"/>
  <c r="C51" i="7"/>
  <c r="C52" i="7" a="1"/>
  <c r="C52" i="7"/>
  <c r="C53" i="7" a="1"/>
  <c r="C53" i="7"/>
  <c r="C54" i="7" a="1"/>
  <c r="C54" i="7" s="1"/>
  <c r="E38" i="7" a="1"/>
  <c r="E38" i="7" s="1"/>
  <c r="E39" i="7" a="1"/>
  <c r="E39" i="7" s="1"/>
  <c r="E40" i="7" a="1"/>
  <c r="E40" i="7" s="1"/>
  <c r="E41" i="7" a="1"/>
  <c r="E41" i="7" s="1"/>
  <c r="E42" i="7" a="1"/>
  <c r="E42" i="7" s="1"/>
  <c r="E43" i="7" a="1"/>
  <c r="E43" i="7" s="1"/>
  <c r="E44" i="7" a="1"/>
  <c r="E44" i="7"/>
  <c r="E45" i="7" a="1"/>
  <c r="E45" i="7"/>
  <c r="E46" i="7" a="1"/>
  <c r="E46" i="7" s="1"/>
  <c r="E47" i="7" a="1"/>
  <c r="E47" i="7"/>
  <c r="E48" i="7" a="1"/>
  <c r="E48" i="7"/>
  <c r="E49" i="7" a="1"/>
  <c r="E49" i="7"/>
  <c r="E50" i="7" a="1"/>
  <c r="E50" i="7"/>
  <c r="E51" i="7" a="1"/>
  <c r="E51" i="7"/>
  <c r="E52" i="7" a="1"/>
  <c r="E52" i="7" s="1"/>
  <c r="E53" i="7" a="1"/>
  <c r="E53" i="7"/>
  <c r="E54" i="7" a="1"/>
  <c r="E54" i="7" s="1"/>
  <c r="E37" i="7" a="1"/>
  <c r="E37" i="7" s="1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37" i="7"/>
  <c r="B38" i="7" a="1"/>
  <c r="B38" i="7" s="1"/>
  <c r="B39" i="7" a="1"/>
  <c r="B39" i="7" s="1"/>
  <c r="B40" i="7" a="1"/>
  <c r="B40" i="7"/>
  <c r="B41" i="7" a="1"/>
  <c r="B41" i="7"/>
  <c r="B42" i="7" a="1"/>
  <c r="B42" i="7" s="1"/>
  <c r="B43" i="7" a="1"/>
  <c r="B43" i="7" s="1"/>
  <c r="B44" i="7" a="1"/>
  <c r="B44" i="7"/>
  <c r="B45" i="7" a="1"/>
  <c r="B45" i="7"/>
  <c r="B46" i="7" a="1"/>
  <c r="B46" i="7"/>
  <c r="B47" i="7" a="1"/>
  <c r="B47" i="7"/>
  <c r="B48" i="7" a="1"/>
  <c r="B48" i="7"/>
  <c r="B49" i="7" a="1"/>
  <c r="B49" i="7"/>
  <c r="B50" i="7" a="1"/>
  <c r="B50" i="7" s="1"/>
  <c r="B51" i="7" a="1"/>
  <c r="B51" i="7"/>
  <c r="B52" i="7" a="1"/>
  <c r="B52" i="7"/>
  <c r="B53" i="7" a="1"/>
  <c r="B53" i="7"/>
  <c r="B54" i="7" a="1"/>
  <c r="B54" i="7" s="1"/>
  <c r="B37" i="7" a="1"/>
  <c r="B37" i="7"/>
  <c r="F54" i="7"/>
  <c r="F54" i="7" a="1"/>
  <c r="F53" i="7" a="1"/>
  <c r="F53" i="7" s="1"/>
  <c r="F52" i="7" a="1"/>
  <c r="F52" i="7" s="1"/>
  <c r="F51" i="7" a="1"/>
  <c r="F51" i="7" s="1"/>
  <c r="F50" i="7" a="1"/>
  <c r="F50" i="7" s="1"/>
  <c r="F49" i="7" a="1"/>
  <c r="F49" i="7" s="1"/>
  <c r="F48" i="7" a="1"/>
  <c r="F48" i="7" s="1"/>
  <c r="F47" i="7"/>
  <c r="F47" i="7" a="1"/>
  <c r="F46" i="7" a="1"/>
  <c r="F46" i="7" s="1"/>
  <c r="F45" i="7" a="1"/>
  <c r="F45" i="7" s="1"/>
  <c r="F44" i="7" a="1"/>
  <c r="F44" i="7" s="1"/>
  <c r="F43" i="7" a="1"/>
  <c r="F43" i="7" s="1"/>
  <c r="F42" i="7" a="1"/>
  <c r="F42" i="7" s="1"/>
  <c r="F41" i="7" a="1"/>
  <c r="F41" i="7" s="1"/>
  <c r="F40" i="7" a="1"/>
  <c r="F40" i="7" s="1"/>
  <c r="F39" i="7" a="1"/>
  <c r="F39" i="7" s="1"/>
  <c r="F38" i="7" a="1"/>
  <c r="F38" i="7" s="1"/>
  <c r="F37" i="7" a="1"/>
  <c r="F37" i="7" s="1"/>
  <c r="J15" i="7" a="1"/>
  <c r="J15" i="7"/>
  <c r="J16" i="7" a="1"/>
  <c r="J16" i="7"/>
  <c r="J17" i="7" a="1"/>
  <c r="J17" i="7"/>
  <c r="J18" i="7" a="1"/>
  <c r="J18" i="7"/>
  <c r="J19" i="7" a="1"/>
  <c r="J19" i="7"/>
  <c r="J20" i="7" a="1"/>
  <c r="J20" i="7"/>
  <c r="J21" i="7" a="1"/>
  <c r="J21" i="7"/>
  <c r="J22" i="7" a="1"/>
  <c r="J22" i="7"/>
  <c r="J23" i="7" a="1"/>
  <c r="J23" i="7"/>
  <c r="J24" i="7" a="1"/>
  <c r="J24" i="7"/>
  <c r="J25" i="7" a="1"/>
  <c r="J25" i="7"/>
  <c r="J26" i="7" a="1"/>
  <c r="J26" i="7"/>
  <c r="J27" i="7" a="1"/>
  <c r="J27" i="7"/>
  <c r="J28" i="7" a="1"/>
  <c r="J28" i="7"/>
  <c r="J29" i="7" a="1"/>
  <c r="J29" i="7"/>
  <c r="J30" i="7" a="1"/>
  <c r="J30" i="7"/>
  <c r="J31" i="7" a="1"/>
  <c r="J31" i="7"/>
  <c r="J32" i="7" a="1"/>
  <c r="J32" i="7"/>
  <c r="I15" i="7" a="1"/>
  <c r="I15" i="7"/>
  <c r="I16" i="7" a="1"/>
  <c r="I16" i="7"/>
  <c r="I17" i="7" a="1"/>
  <c r="I17" i="7"/>
  <c r="I18" i="7" a="1"/>
  <c r="I18" i="7"/>
  <c r="I19" i="7" a="1"/>
  <c r="I19" i="7"/>
  <c r="I20" i="7" a="1"/>
  <c r="I20" i="7"/>
  <c r="I21" i="7" a="1"/>
  <c r="I21" i="7"/>
  <c r="I22" i="7" a="1"/>
  <c r="I22" i="7"/>
  <c r="I23" i="7" a="1"/>
  <c r="I23" i="7"/>
  <c r="I24" i="7" a="1"/>
  <c r="I24" i="7" s="1"/>
  <c r="I25" i="7" a="1"/>
  <c r="I25" i="7"/>
  <c r="I26" i="7" a="1"/>
  <c r="I26" i="7"/>
  <c r="I27" i="7" a="1"/>
  <c r="I27" i="7"/>
  <c r="I28" i="7" a="1"/>
  <c r="I28" i="7"/>
  <c r="I29" i="7" a="1"/>
  <c r="I29" i="7"/>
  <c r="I30" i="7" a="1"/>
  <c r="I30" i="7"/>
  <c r="I31" i="7" a="1"/>
  <c r="I31" i="7"/>
  <c r="I32" i="7" a="1"/>
  <c r="I32" i="7"/>
  <c r="H15" i="7" a="1"/>
  <c r="H15" i="7"/>
  <c r="H16" i="7" a="1"/>
  <c r="H16" i="7"/>
  <c r="H17" i="7" a="1"/>
  <c r="H17" i="7"/>
  <c r="H18" i="7" a="1"/>
  <c r="H18" i="7"/>
  <c r="H19" i="7" a="1"/>
  <c r="H19" i="7"/>
  <c r="H20" i="7" a="1"/>
  <c r="H20" i="7"/>
  <c r="H21" i="7" a="1"/>
  <c r="H21" i="7"/>
  <c r="H22" i="7" a="1"/>
  <c r="H22" i="7"/>
  <c r="H23" i="7" a="1"/>
  <c r="H23" i="7"/>
  <c r="H24" i="7" a="1"/>
  <c r="H24" i="7"/>
  <c r="H25" i="7" a="1"/>
  <c r="H25" i="7"/>
  <c r="H26" i="7" a="1"/>
  <c r="H26" i="7"/>
  <c r="H27" i="7" a="1"/>
  <c r="H27" i="7"/>
  <c r="H28" i="7" a="1"/>
  <c r="H28" i="7"/>
  <c r="H29" i="7" a="1"/>
  <c r="H29" i="7"/>
  <c r="H30" i="7" a="1"/>
  <c r="H30" i="7"/>
  <c r="H31" i="7" a="1"/>
  <c r="H31" i="7"/>
  <c r="H32" i="7" a="1"/>
  <c r="H32" i="7"/>
  <c r="G15" i="7" a="1"/>
  <c r="G15" i="7"/>
  <c r="G16" i="7" a="1"/>
  <c r="G16" i="7"/>
  <c r="G17" i="7" a="1"/>
  <c r="G17" i="7"/>
  <c r="G18" i="7" a="1"/>
  <c r="G18" i="7"/>
  <c r="G19" i="7" a="1"/>
  <c r="G19" i="7"/>
  <c r="G20" i="7" a="1"/>
  <c r="G20" i="7"/>
  <c r="G21" i="7" a="1"/>
  <c r="G21" i="7"/>
  <c r="G22" i="7" a="1"/>
  <c r="G22" i="7"/>
  <c r="G23" i="7" a="1"/>
  <c r="G23" i="7"/>
  <c r="G24" i="7" a="1"/>
  <c r="G24" i="7"/>
  <c r="G25" i="7" a="1"/>
  <c r="G25" i="7" s="1"/>
  <c r="G26" i="7" a="1"/>
  <c r="G26" i="7" s="1"/>
  <c r="G27" i="7" a="1"/>
  <c r="G27" i="7"/>
  <c r="G28" i="7" a="1"/>
  <c r="G28" i="7"/>
  <c r="G29" i="7" a="1"/>
  <c r="G29" i="7"/>
  <c r="G30" i="7" a="1"/>
  <c r="G30" i="7"/>
  <c r="G31" i="7" a="1"/>
  <c r="G31" i="7"/>
  <c r="G32" i="7" a="1"/>
  <c r="G32" i="7"/>
  <c r="F15" i="7" a="1"/>
  <c r="F15" i="7"/>
  <c r="F16" i="7" a="1"/>
  <c r="F16" i="7"/>
  <c r="F17" i="7" a="1"/>
  <c r="F17" i="7"/>
  <c r="F18" i="7" a="1"/>
  <c r="F18" i="7"/>
  <c r="F19" i="7" a="1"/>
  <c r="F19" i="7" s="1"/>
  <c r="F20" i="7" a="1"/>
  <c r="F20" i="7" s="1"/>
  <c r="F21" i="7" a="1"/>
  <c r="F21" i="7"/>
  <c r="F22" i="7" a="1"/>
  <c r="F22" i="7"/>
  <c r="F23" i="7" a="1"/>
  <c r="F23" i="7" s="1"/>
  <c r="F24" i="7" a="1"/>
  <c r="F24" i="7"/>
  <c r="F25" i="7" a="1"/>
  <c r="F25" i="7"/>
  <c r="F26" i="7" a="1"/>
  <c r="F26" i="7"/>
  <c r="F27" i="7" a="1"/>
  <c r="F27" i="7"/>
  <c r="F28" i="7" a="1"/>
  <c r="F28" i="7"/>
  <c r="F29" i="7" a="1"/>
  <c r="F29" i="7"/>
  <c r="F30" i="7" a="1"/>
  <c r="F30" i="7" s="1"/>
  <c r="F31" i="7" a="1"/>
  <c r="F31" i="7"/>
  <c r="F32" i="7" a="1"/>
  <c r="F32" i="7"/>
  <c r="E15" i="7" a="1"/>
  <c r="E15" i="7"/>
  <c r="E16" i="7" a="1"/>
  <c r="E16" i="7"/>
  <c r="E17" i="7" a="1"/>
  <c r="E17" i="7" s="1"/>
  <c r="E18" i="7" a="1"/>
  <c r="E18" i="7"/>
  <c r="E19" i="7" a="1"/>
  <c r="E19" i="7"/>
  <c r="E20" i="7" a="1"/>
  <c r="E20" i="7"/>
  <c r="E21" i="7" a="1"/>
  <c r="E21" i="7"/>
  <c r="E22" i="7" a="1"/>
  <c r="E22" i="7"/>
  <c r="E23" i="7" a="1"/>
  <c r="E23" i="7" s="1"/>
  <c r="E24" i="7" a="1"/>
  <c r="E24" i="7"/>
  <c r="E25" i="7" a="1"/>
  <c r="E25" i="7"/>
  <c r="E26" i="7" a="1"/>
  <c r="E26" i="7"/>
  <c r="E27" i="7" a="1"/>
  <c r="E27" i="7"/>
  <c r="E28" i="7" a="1"/>
  <c r="E28" i="7"/>
  <c r="E29" i="7" a="1"/>
  <c r="E29" i="7"/>
  <c r="E30" i="7" a="1"/>
  <c r="E30" i="7"/>
  <c r="E31" i="7" a="1"/>
  <c r="E31" i="7"/>
  <c r="E32" i="7" a="1"/>
  <c r="E32" i="7"/>
  <c r="D15" i="7" a="1"/>
  <c r="D15" i="7" s="1"/>
  <c r="D16" i="7" a="1"/>
  <c r="D16" i="7" s="1"/>
  <c r="D17" i="7" a="1"/>
  <c r="D17" i="7" s="1"/>
  <c r="D18" i="7" a="1"/>
  <c r="D18" i="7"/>
  <c r="D19" i="7" a="1"/>
  <c r="D19" i="7"/>
  <c r="D20" i="7" a="1"/>
  <c r="D20" i="7"/>
  <c r="D21" i="7" a="1"/>
  <c r="D21" i="7"/>
  <c r="D22" i="7" a="1"/>
  <c r="D22" i="7"/>
  <c r="D23" i="7" a="1"/>
  <c r="D23" i="7" s="1"/>
  <c r="D24" i="7" a="1"/>
  <c r="D24" i="7"/>
  <c r="D25" i="7" a="1"/>
  <c r="D25" i="7"/>
  <c r="D26" i="7" a="1"/>
  <c r="D26" i="7"/>
  <c r="D27" i="7" a="1"/>
  <c r="D27" i="7"/>
  <c r="D28" i="7" a="1"/>
  <c r="D28" i="7"/>
  <c r="D29" i="7" a="1"/>
  <c r="D29" i="7"/>
  <c r="D30" i="7" a="1"/>
  <c r="D30" i="7"/>
  <c r="D31" i="7" a="1"/>
  <c r="D31" i="7" s="1"/>
  <c r="D32" i="7" a="1"/>
  <c r="D32" i="7"/>
  <c r="C15" i="7" a="1"/>
  <c r="C15" i="7"/>
  <c r="C16" i="7" a="1"/>
  <c r="C16" i="7"/>
  <c r="C17" i="7" a="1"/>
  <c r="C17" i="7"/>
  <c r="C18" i="7" a="1"/>
  <c r="C18" i="7"/>
  <c r="C19" i="7" a="1"/>
  <c r="C19" i="7"/>
  <c r="C20" i="7" a="1"/>
  <c r="C20" i="7"/>
  <c r="C21" i="7" a="1"/>
  <c r="C21" i="7"/>
  <c r="C22" i="7" a="1"/>
  <c r="C22" i="7"/>
  <c r="C23" i="7" a="1"/>
  <c r="C23" i="7" s="1"/>
  <c r="C24" i="7" a="1"/>
  <c r="C24" i="7"/>
  <c r="C25" i="7" a="1"/>
  <c r="C25" i="7"/>
  <c r="C26" i="7" a="1"/>
  <c r="C26" i="7"/>
  <c r="C27" i="7" a="1"/>
  <c r="C27" i="7"/>
  <c r="C28" i="7" a="1"/>
  <c r="C28" i="7"/>
  <c r="C29" i="7" a="1"/>
  <c r="C29" i="7"/>
  <c r="C30" i="7" a="1"/>
  <c r="C30" i="7"/>
  <c r="C31" i="7" a="1"/>
  <c r="C31" i="7"/>
  <c r="C32" i="7" a="1"/>
  <c r="C32" i="7"/>
  <c r="B15" i="7" a="1"/>
  <c r="B15" i="7"/>
  <c r="B16" i="7" a="1"/>
  <c r="B16" i="7"/>
  <c r="B17" i="7" a="1"/>
  <c r="B17" i="7"/>
  <c r="B18" i="7" a="1"/>
  <c r="B18" i="7"/>
  <c r="B19" i="7" a="1"/>
  <c r="B19" i="7"/>
  <c r="B20" i="7" a="1"/>
  <c r="B20" i="7"/>
  <c r="B21" i="7" a="1"/>
  <c r="B21" i="7"/>
  <c r="B22" i="7" a="1"/>
  <c r="B22" i="7"/>
  <c r="B23" i="7" a="1"/>
  <c r="B23" i="7" s="1"/>
  <c r="B24" i="7" a="1"/>
  <c r="B24" i="7"/>
  <c r="B25" i="7" a="1"/>
  <c r="B25" i="7"/>
  <c r="B26" i="7" a="1"/>
  <c r="B26" i="7"/>
  <c r="B27" i="7" a="1"/>
  <c r="B27" i="7"/>
  <c r="B28" i="7" a="1"/>
  <c r="B28" i="7"/>
  <c r="B29" i="7" a="1"/>
  <c r="B29" i="7" s="1"/>
  <c r="B30" i="7" a="1"/>
  <c r="B30" i="7"/>
  <c r="B31" i="7" a="1"/>
  <c r="B31" i="7"/>
  <c r="B32" i="7" a="1"/>
  <c r="B32" i="7"/>
  <c r="J13" i="7" a="1"/>
  <c r="J13" i="7" s="1"/>
  <c r="I13" i="7" a="1"/>
  <c r="I13" i="7" s="1"/>
  <c r="H13" i="7" a="1"/>
  <c r="H13" i="7" s="1"/>
  <c r="G13" i="7" a="1"/>
  <c r="G13" i="7" s="1"/>
  <c r="F13" i="7" a="1"/>
  <c r="F13" i="7" s="1"/>
  <c r="E13" i="7" a="1"/>
  <c r="E13" i="7" s="1"/>
  <c r="D13" i="7" a="1"/>
  <c r="D13" i="7" s="1"/>
  <c r="C13" i="7" a="1"/>
  <c r="C13" i="7" s="1"/>
  <c r="B13" i="7" a="1"/>
  <c r="B13" i="7" s="1"/>
  <c r="B2" i="7"/>
  <c r="A2" i="7"/>
  <c r="H13" i="1" l="1"/>
  <c r="G18" i="1"/>
  <c r="H18" i="1" s="1"/>
  <c r="G17" i="1"/>
  <c r="H17" i="1" s="1"/>
  <c r="G16" i="1"/>
  <c r="H16" i="1" s="1"/>
  <c r="G15" i="1"/>
  <c r="H15" i="1" s="1"/>
  <c r="G14" i="1"/>
  <c r="H14" i="1" s="1"/>
  <c r="G24" i="1"/>
  <c r="H24" i="1" s="1"/>
  <c r="H25" i="1"/>
  <c r="H23" i="1"/>
  <c r="H22" i="1"/>
  <c r="H21" i="1"/>
  <c r="H20" i="1"/>
  <c r="H19" i="1"/>
  <c r="H26" i="1"/>
  <c r="H27" i="1"/>
  <c r="H28" i="1"/>
  <c r="H29" i="1"/>
  <c r="K23" i="7"/>
  <c r="K17" i="7"/>
  <c r="K28" i="7"/>
  <c r="K19" i="7" l="1"/>
  <c r="K22" i="7"/>
  <c r="K24" i="7"/>
  <c r="K18" i="7"/>
  <c r="K25" i="7"/>
  <c r="K26" i="7"/>
  <c r="K16" i="7"/>
  <c r="K32" i="7"/>
  <c r="K29" i="7"/>
  <c r="K27" i="7"/>
  <c r="K30" i="7"/>
  <c r="K20" i="7"/>
  <c r="K15" i="7"/>
  <c r="K31" i="7"/>
  <c r="K21" i="7"/>
  <c r="N32" i="2" l="1"/>
  <c r="N28" i="2"/>
  <c r="N27" i="2"/>
  <c r="N23" i="2"/>
  <c r="N19" i="2"/>
  <c r="N18" i="2"/>
  <c r="N26" i="2" l="1"/>
  <c r="N31" i="2"/>
  <c r="N16" i="2"/>
  <c r="N21" i="2"/>
  <c r="N22" i="2"/>
  <c r="N17" i="2"/>
  <c r="N30" i="2"/>
  <c r="N25" i="2"/>
  <c r="N20" i="2"/>
  <c r="N24" i="2"/>
  <c r="N29" i="2"/>
  <c r="B36" i="3"/>
  <c r="B37" i="3"/>
  <c r="C37" i="3" s="1"/>
  <c r="B38" i="3"/>
  <c r="C38" i="3" s="1"/>
  <c r="B39" i="3"/>
  <c r="C39" i="3" s="1"/>
  <c r="B40" i="3"/>
  <c r="C40" i="3" s="1"/>
  <c r="B41" i="3"/>
  <c r="C41" i="3" s="1"/>
  <c r="B42" i="3"/>
  <c r="C42" i="3" s="1"/>
  <c r="B43" i="3"/>
  <c r="C43" i="3" s="1"/>
  <c r="B44" i="3"/>
  <c r="C44" i="3" s="1"/>
  <c r="B45" i="3"/>
  <c r="C45" i="3" s="1"/>
  <c r="B46" i="3"/>
  <c r="C46" i="3" s="1"/>
  <c r="B47" i="3"/>
  <c r="C47" i="3" s="1"/>
  <c r="B48" i="3"/>
  <c r="C48" i="3" s="1"/>
  <c r="B49" i="3"/>
  <c r="C49" i="3" s="1"/>
  <c r="B50" i="3"/>
  <c r="C50" i="3" s="1"/>
  <c r="B51" i="3"/>
  <c r="C51" i="3" s="1"/>
  <c r="B52" i="3"/>
  <c r="C52" i="3" s="1"/>
  <c r="B35" i="3"/>
  <c r="C35" i="3" s="1"/>
  <c r="B2" i="3"/>
  <c r="C36" i="3"/>
  <c r="K5" i="6" l="1"/>
  <c r="L5" i="6" s="1"/>
  <c r="L7" i="6" s="1"/>
  <c r="H5" i="6"/>
  <c r="I5" i="6" s="1"/>
  <c r="I7" i="6" s="1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15" i="4"/>
  <c r="E53" i="4" a="1"/>
  <c r="E53" i="4" s="1"/>
  <c r="B53" i="4" a="1"/>
  <c r="B53" i="4" s="1"/>
  <c r="E52" i="4" a="1"/>
  <c r="E52" i="4" s="1"/>
  <c r="B52" i="4" a="1"/>
  <c r="B52" i="4" s="1"/>
  <c r="E51" i="4" a="1"/>
  <c r="E51" i="4" s="1"/>
  <c r="B51" i="4" a="1"/>
  <c r="B51" i="4" s="1"/>
  <c r="E50" i="4" a="1"/>
  <c r="E50" i="4" s="1"/>
  <c r="B50" i="4" a="1"/>
  <c r="B50" i="4" s="1"/>
  <c r="E49" i="4" a="1"/>
  <c r="E49" i="4" s="1"/>
  <c r="B49" i="4" a="1"/>
  <c r="B49" i="4" s="1"/>
  <c r="E48" i="4" a="1"/>
  <c r="E48" i="4" s="1"/>
  <c r="B48" i="4" a="1"/>
  <c r="B48" i="4" s="1"/>
  <c r="E47" i="4" a="1"/>
  <c r="E47" i="4" s="1"/>
  <c r="B47" i="4" a="1"/>
  <c r="B47" i="4" s="1"/>
  <c r="E46" i="4" a="1"/>
  <c r="E46" i="4" s="1"/>
  <c r="B46" i="4" a="1"/>
  <c r="B46" i="4" s="1"/>
  <c r="C46" i="4" s="1" a="1"/>
  <c r="C46" i="4" s="1"/>
  <c r="E45" i="4" a="1"/>
  <c r="E45" i="4" s="1"/>
  <c r="B45" i="4" a="1"/>
  <c r="B45" i="4" s="1"/>
  <c r="E44" i="4" a="1"/>
  <c r="E44" i="4" s="1"/>
  <c r="B44" i="4" a="1"/>
  <c r="B44" i="4" s="1"/>
  <c r="E43" i="4" a="1"/>
  <c r="E43" i="4" s="1"/>
  <c r="B43" i="4" a="1"/>
  <c r="B43" i="4" s="1"/>
  <c r="E42" i="4" a="1"/>
  <c r="E42" i="4" s="1"/>
  <c r="B42" i="4" a="1"/>
  <c r="B42" i="4" s="1"/>
  <c r="E41" i="4" a="1"/>
  <c r="E41" i="4" s="1"/>
  <c r="B41" i="4" a="1"/>
  <c r="B41" i="4" s="1"/>
  <c r="E40" i="4" a="1"/>
  <c r="E40" i="4" s="1"/>
  <c r="B40" i="4" a="1"/>
  <c r="B40" i="4" s="1"/>
  <c r="E39" i="4" a="1"/>
  <c r="E39" i="4" s="1"/>
  <c r="B39" i="4" a="1"/>
  <c r="B39" i="4" s="1"/>
  <c r="C39" i="4" s="1" a="1"/>
  <c r="C39" i="4" s="1"/>
  <c r="E38" i="4" a="1"/>
  <c r="E38" i="4" s="1"/>
  <c r="B38" i="4" a="1"/>
  <c r="B38" i="4" s="1"/>
  <c r="E37" i="4" a="1"/>
  <c r="E37" i="4" s="1"/>
  <c r="B37" i="4" a="1"/>
  <c r="B37" i="4" s="1"/>
  <c r="E36" i="4" a="1"/>
  <c r="E36" i="4" s="1"/>
  <c r="B36" i="4" a="1"/>
  <c r="B36" i="4" s="1"/>
  <c r="J13" i="4" a="1"/>
  <c r="J13" i="4" s="1"/>
  <c r="I13" i="4" a="1"/>
  <c r="I13" i="4" s="1"/>
  <c r="H13" i="4" a="1"/>
  <c r="H13" i="4" s="1"/>
  <c r="G13" i="4" a="1"/>
  <c r="G13" i="4" s="1"/>
  <c r="F13" i="4" a="1"/>
  <c r="F13" i="4" s="1"/>
  <c r="E13" i="4" a="1"/>
  <c r="E13" i="4" s="1"/>
  <c r="D13" i="4" a="1"/>
  <c r="D13" i="4" s="1"/>
  <c r="C13" i="4" a="1"/>
  <c r="C13" i="4" s="1"/>
  <c r="B13" i="4" a="1"/>
  <c r="B13" i="4" s="1"/>
  <c r="B2" i="4"/>
  <c r="A2" i="4"/>
  <c r="E38" i="5" a="1"/>
  <c r="E38" i="5"/>
  <c r="E39" i="5" a="1"/>
  <c r="E39" i="5"/>
  <c r="E40" i="5" a="1"/>
  <c r="E40" i="5" s="1"/>
  <c r="E41" i="5" a="1"/>
  <c r="E41" i="5" s="1"/>
  <c r="E42" i="5" a="1"/>
  <c r="E42" i="5" s="1"/>
  <c r="E43" i="5" a="1"/>
  <c r="E43" i="5" s="1"/>
  <c r="E44" i="5" a="1"/>
  <c r="E44" i="5"/>
  <c r="E45" i="5" a="1"/>
  <c r="E45" i="5" s="1"/>
  <c r="E46" i="5" a="1"/>
  <c r="E46" i="5" s="1"/>
  <c r="E47" i="5" a="1"/>
  <c r="E47" i="5"/>
  <c r="E48" i="5" a="1"/>
  <c r="E48" i="5" s="1"/>
  <c r="E49" i="5" a="1"/>
  <c r="E49" i="5"/>
  <c r="E50" i="5" a="1"/>
  <c r="E50" i="5" s="1"/>
  <c r="E51" i="5" a="1"/>
  <c r="E51" i="5"/>
  <c r="E52" i="5" a="1"/>
  <c r="E52" i="5"/>
  <c r="E53" i="5" a="1"/>
  <c r="E53" i="5"/>
  <c r="E54" i="5" a="1"/>
  <c r="E54" i="5" s="1"/>
  <c r="E37" i="5" a="1"/>
  <c r="E37" i="5" s="1"/>
  <c r="B38" i="5" a="1"/>
  <c r="B38" i="5"/>
  <c r="B39" i="5" a="1"/>
  <c r="B39" i="5" s="1"/>
  <c r="B40" i="5" a="1"/>
  <c r="B40" i="5"/>
  <c r="B41" i="5" a="1"/>
  <c r="B41" i="5"/>
  <c r="B42" i="5" a="1"/>
  <c r="B42" i="5"/>
  <c r="C42" i="5" s="1" a="1"/>
  <c r="C42" i="5" s="1"/>
  <c r="B43" i="5" a="1"/>
  <c r="B43" i="5" s="1"/>
  <c r="C43" i="5" s="1" a="1"/>
  <c r="C43" i="5" s="1"/>
  <c r="B44" i="5" a="1"/>
  <c r="B44" i="5" s="1"/>
  <c r="C44" i="5" s="1" a="1"/>
  <c r="C44" i="5" s="1"/>
  <c r="B45" i="5" a="1"/>
  <c r="B45" i="5"/>
  <c r="B46" i="5" a="1"/>
  <c r="B46" i="5"/>
  <c r="B47" i="5" a="1"/>
  <c r="B47" i="5"/>
  <c r="C47" i="5" s="1" a="1"/>
  <c r="C47" i="5" s="1"/>
  <c r="B48" i="5" a="1"/>
  <c r="B48" i="5" s="1"/>
  <c r="C48" i="5" s="1" a="1"/>
  <c r="C48" i="5" s="1"/>
  <c r="B49" i="5" a="1"/>
  <c r="B49" i="5"/>
  <c r="B50" i="5" a="1"/>
  <c r="B50" i="5"/>
  <c r="B51" i="5" a="1"/>
  <c r="B51" i="5"/>
  <c r="B52" i="5" a="1"/>
  <c r="B52" i="5"/>
  <c r="B53" i="5" a="1"/>
  <c r="B53" i="5"/>
  <c r="B54" i="5" a="1"/>
  <c r="B54" i="5"/>
  <c r="B37" i="5" a="1"/>
  <c r="B37" i="5"/>
  <c r="G13" i="5" a="1"/>
  <c r="G13" i="5" s="1"/>
  <c r="F13" i="5" a="1"/>
  <c r="F13" i="5" s="1"/>
  <c r="E13" i="5" a="1"/>
  <c r="E13" i="5" s="1"/>
  <c r="D13" i="5" a="1"/>
  <c r="D13" i="5" s="1"/>
  <c r="C13" i="5" a="1"/>
  <c r="C13" i="5" s="1"/>
  <c r="B13" i="5" a="1"/>
  <c r="B13" i="5" s="1"/>
  <c r="B2" i="5"/>
  <c r="A2" i="5"/>
  <c r="C46" i="5" s="1" a="1"/>
  <c r="C46" i="5" s="1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B12" i="3" a="1"/>
  <c r="B12" i="3" s="1"/>
  <c r="A2" i="3"/>
  <c r="C40" i="4" l="1" a="1"/>
  <c r="C40" i="4" s="1"/>
  <c r="C53" i="4" a="1"/>
  <c r="C53" i="4" s="1"/>
  <c r="C45" i="4" a="1"/>
  <c r="C45" i="4" s="1"/>
  <c r="C41" i="4" a="1"/>
  <c r="C41" i="4" s="1"/>
  <c r="C37" i="4" a="1"/>
  <c r="C37" i="4" s="1"/>
  <c r="C49" i="4" a="1"/>
  <c r="C49" i="4" s="1"/>
  <c r="C48" i="4" a="1"/>
  <c r="C48" i="4" s="1"/>
  <c r="C38" i="4" a="1"/>
  <c r="C38" i="4" s="1"/>
  <c r="C42" i="4" a="1"/>
  <c r="C42" i="4" s="1"/>
  <c r="C36" i="4" a="1"/>
  <c r="C36" i="4" s="1"/>
  <c r="C43" i="4" a="1"/>
  <c r="C43" i="4" s="1"/>
  <c r="C52" i="4" a="1"/>
  <c r="C52" i="4" s="1"/>
  <c r="C47" i="4" a="1"/>
  <c r="C47" i="4" s="1"/>
  <c r="C51" i="4" a="1"/>
  <c r="C51" i="4" s="1"/>
  <c r="C44" i="4" a="1"/>
  <c r="C44" i="4" s="1"/>
  <c r="C50" i="4" a="1"/>
  <c r="C50" i="4" s="1"/>
  <c r="C41" i="5" a="1"/>
  <c r="C41" i="5" s="1"/>
  <c r="C40" i="5" a="1"/>
  <c r="C40" i="5" s="1"/>
  <c r="C37" i="5" a="1"/>
  <c r="C37" i="5" s="1"/>
  <c r="C39" i="5" a="1"/>
  <c r="C39" i="5" s="1"/>
  <c r="C38" i="5" a="1"/>
  <c r="C38" i="5" s="1"/>
  <c r="G38" i="5" s="1"/>
  <c r="C54" i="5" a="1"/>
  <c r="C54" i="5" s="1"/>
  <c r="C53" i="5" a="1"/>
  <c r="C53" i="5" s="1"/>
  <c r="C52" i="5" a="1"/>
  <c r="C52" i="5" s="1"/>
  <c r="G52" i="5" s="1"/>
  <c r="C51" i="5" a="1"/>
  <c r="C51" i="5" s="1"/>
  <c r="G51" i="5" s="1"/>
  <c r="C50" i="5" a="1"/>
  <c r="C50" i="5" s="1"/>
  <c r="C49" i="5" a="1"/>
  <c r="C49" i="5" s="1"/>
  <c r="G49" i="5" s="1"/>
  <c r="C45" i="5" a="1"/>
  <c r="C45" i="5" s="1"/>
  <c r="G45" i="5" s="1"/>
  <c r="G39" i="5"/>
  <c r="G37" i="5"/>
  <c r="G54" i="5"/>
  <c r="G53" i="5"/>
  <c r="G50" i="5"/>
  <c r="G46" i="5"/>
  <c r="G44" i="5"/>
  <c r="G47" i="5"/>
  <c r="G43" i="5"/>
  <c r="G48" i="5"/>
  <c r="G42" i="5"/>
  <c r="G41" i="5"/>
  <c r="G40" i="5"/>
  <c r="D42" i="4" l="1"/>
  <c r="D40" i="4"/>
  <c r="D38" i="4"/>
  <c r="D45" i="4"/>
  <c r="D37" i="4"/>
  <c r="D51" i="4"/>
  <c r="D46" i="4"/>
  <c r="D44" i="4"/>
  <c r="D41" i="4"/>
  <c r="D52" i="4"/>
  <c r="D39" i="4"/>
  <c r="D48" i="4"/>
  <c r="D53" i="4"/>
  <c r="D50" i="4"/>
  <c r="D47" i="4"/>
  <c r="D49" i="4"/>
  <c r="D43" i="4"/>
  <c r="H26" i="5"/>
  <c r="H29" i="5"/>
  <c r="H20" i="5"/>
  <c r="H15" i="5"/>
  <c r="H25" i="5"/>
  <c r="H30" i="5"/>
  <c r="H27" i="5"/>
  <c r="H32" i="5"/>
  <c r="H22" i="5"/>
  <c r="H16" i="5"/>
  <c r="H31" i="5"/>
  <c r="H24" i="5"/>
  <c r="H21" i="5"/>
  <c r="H19" i="5"/>
  <c r="H18" i="5"/>
  <c r="H17" i="5"/>
  <c r="H23" i="5"/>
  <c r="H28" i="5"/>
  <c r="I43" i="4" l="1"/>
  <c r="G43" i="4"/>
  <c r="I49" i="4"/>
  <c r="G49" i="4"/>
  <c r="I47" i="4"/>
  <c r="G47" i="4"/>
  <c r="I50" i="4"/>
  <c r="G50" i="4"/>
  <c r="I53" i="4"/>
  <c r="G53" i="4"/>
  <c r="I48" i="4"/>
  <c r="G48" i="4"/>
  <c r="I39" i="4"/>
  <c r="G39" i="4"/>
  <c r="I52" i="4"/>
  <c r="G52" i="4"/>
  <c r="I41" i="4"/>
  <c r="G41" i="4"/>
  <c r="I44" i="4"/>
  <c r="G44" i="4"/>
  <c r="I46" i="4"/>
  <c r="G46" i="4"/>
  <c r="I51" i="4"/>
  <c r="G51" i="4"/>
  <c r="I37" i="4"/>
  <c r="G37" i="4"/>
  <c r="I36" i="4"/>
  <c r="G36" i="4"/>
  <c r="I45" i="4"/>
  <c r="G45" i="4"/>
  <c r="I38" i="4"/>
  <c r="G38" i="4"/>
  <c r="I40" i="4"/>
  <c r="G40" i="4"/>
  <c r="I42" i="4"/>
  <c r="G42" i="4"/>
  <c r="E37" i="2" a="1"/>
  <c r="E37" i="2" s="1"/>
  <c r="E38" i="2" a="1"/>
  <c r="E38" i="2" s="1"/>
  <c r="E39" i="2" a="1"/>
  <c r="E39" i="2" s="1"/>
  <c r="E40" i="2" a="1"/>
  <c r="E40" i="2"/>
  <c r="E41" i="2" a="1"/>
  <c r="E41" i="2"/>
  <c r="E42" i="2" a="1"/>
  <c r="E42" i="2"/>
  <c r="E43" i="2" a="1"/>
  <c r="E43" i="2"/>
  <c r="E44" i="2" a="1"/>
  <c r="E44" i="2" s="1"/>
  <c r="E45" i="2" a="1"/>
  <c r="E45" i="2"/>
  <c r="E46" i="2" a="1"/>
  <c r="E46" i="2" s="1"/>
  <c r="E47" i="2" a="1"/>
  <c r="E47" i="2" s="1"/>
  <c r="E48" i="2" a="1"/>
  <c r="E48" i="2" s="1"/>
  <c r="E49" i="2" a="1"/>
  <c r="E49" i="2" s="1"/>
  <c r="E50" i="2" a="1"/>
  <c r="E50" i="2"/>
  <c r="E51" i="2" a="1"/>
  <c r="E51" i="2" s="1"/>
  <c r="E52" i="2" a="1"/>
  <c r="E52" i="2"/>
  <c r="E53" i="2" a="1"/>
  <c r="E53" i="2" s="1"/>
  <c r="E36" i="2" a="1"/>
  <c r="E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36" i="2"/>
  <c r="C43" i="2" a="1"/>
  <c r="C43" i="2" s="1"/>
  <c r="C44" i="2" a="1"/>
  <c r="C44" i="2"/>
  <c r="C45" i="2" a="1"/>
  <c r="C45" i="2"/>
  <c r="C46" i="2" a="1"/>
  <c r="C46" i="2"/>
  <c r="C47" i="2" a="1"/>
  <c r="C47" i="2" s="1"/>
  <c r="C48" i="2" a="1"/>
  <c r="C48" i="2" s="1"/>
  <c r="C49" i="2" a="1"/>
  <c r="C49" i="2"/>
  <c r="C50" i="2" a="1"/>
  <c r="C50" i="2"/>
  <c r="C51" i="2" a="1"/>
  <c r="C51" i="2"/>
  <c r="C52" i="2" a="1"/>
  <c r="C52" i="2"/>
  <c r="C53" i="2" a="1"/>
  <c r="C53" i="2" s="1"/>
  <c r="C36" i="2" a="1"/>
  <c r="C36" i="2" s="1"/>
  <c r="B37" i="2" a="1"/>
  <c r="B37" i="2" s="1"/>
  <c r="B38" i="2" a="1"/>
  <c r="B38" i="2"/>
  <c r="B39" i="2" a="1"/>
  <c r="B39" i="2"/>
  <c r="B40" i="2" a="1"/>
  <c r="B40" i="2"/>
  <c r="B41" i="2" a="1"/>
  <c r="B41" i="2"/>
  <c r="B42" i="2" a="1"/>
  <c r="B42" i="2"/>
  <c r="B43" i="2" a="1"/>
  <c r="B43" i="2"/>
  <c r="B44" i="2" a="1"/>
  <c r="B44" i="2"/>
  <c r="B45" i="2" a="1"/>
  <c r="B45" i="2"/>
  <c r="B46" i="2" a="1"/>
  <c r="B46" i="2"/>
  <c r="B47" i="2" a="1"/>
  <c r="B47" i="2"/>
  <c r="B48" i="2" a="1"/>
  <c r="B48" i="2"/>
  <c r="B49" i="2" a="1"/>
  <c r="B49" i="2"/>
  <c r="B50" i="2" a="1"/>
  <c r="B50" i="2"/>
  <c r="B51" i="2" a="1"/>
  <c r="B51" i="2"/>
  <c r="B52" i="2" a="1"/>
  <c r="B52" i="2"/>
  <c r="B53" i="2" a="1"/>
  <c r="B53" i="2" s="1"/>
  <c r="B36" i="2" a="1"/>
  <c r="B36" i="2" s="1"/>
  <c r="K13" i="2" a="1"/>
  <c r="K13" i="2" s="1"/>
  <c r="L13" i="2" a="1"/>
  <c r="L13" i="2"/>
  <c r="M13" i="2" a="1"/>
  <c r="M13" i="2"/>
  <c r="J13" i="2" a="1"/>
  <c r="J13" i="2" s="1"/>
  <c r="I13" i="2" a="1"/>
  <c r="I13" i="2" s="1"/>
  <c r="H13" i="2" a="1"/>
  <c r="H13" i="2" s="1"/>
  <c r="G13" i="2" a="1"/>
  <c r="G13" i="2" s="1"/>
  <c r="F13" i="2" a="1"/>
  <c r="F13" i="2" s="1"/>
  <c r="E13" i="2" a="1"/>
  <c r="E13" i="2" s="1"/>
  <c r="D13" i="2" a="1"/>
  <c r="D13" i="2" s="1"/>
  <c r="C13" i="2" a="1"/>
  <c r="C13" i="2" s="1"/>
  <c r="B13" i="2" a="1"/>
  <c r="B13" i="2" s="1"/>
  <c r="B2" i="2"/>
  <c r="C37" i="2" s="1" a="1"/>
  <c r="C37" i="2" s="1"/>
  <c r="A2" i="2"/>
  <c r="I36" i="2" l="1"/>
  <c r="I44" i="2"/>
  <c r="I43" i="2"/>
  <c r="I52" i="2"/>
  <c r="I51" i="2"/>
  <c r="I50" i="2"/>
  <c r="I48" i="2"/>
  <c r="I49" i="2"/>
  <c r="I47" i="2"/>
  <c r="I37" i="2"/>
  <c r="I46" i="2"/>
  <c r="I45" i="2"/>
  <c r="I53" i="2"/>
  <c r="C41" i="2" a="1"/>
  <c r="C41" i="2" s="1"/>
  <c r="I41" i="2" s="1"/>
  <c r="C42" i="2" a="1"/>
  <c r="C42" i="2" s="1"/>
  <c r="I42" i="2" s="1"/>
  <c r="C40" i="2" a="1"/>
  <c r="C40" i="2" s="1"/>
  <c r="I40" i="2" s="1"/>
  <c r="C39" i="2" a="1"/>
  <c r="C39" i="2" s="1"/>
  <c r="I39" i="2" s="1"/>
  <c r="C38" i="2" a="1"/>
  <c r="C38" i="2" s="1"/>
  <c r="I38" i="2" s="1"/>
  <c r="K5" i="1" l="1"/>
  <c r="I5" i="1"/>
  <c r="I7" i="1" s="1"/>
  <c r="L5" i="1" l="1"/>
  <c r="L7" i="1" s="1"/>
  <c r="M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<sst xmlns="http://schemas.openxmlformats.org/spreadsheetml/2006/main" count="315" uniqueCount="94">
  <si>
    <t>Q CH4</t>
  </si>
  <si>
    <t>Q H</t>
  </si>
  <si>
    <t>Temperature</t>
  </si>
  <si>
    <t>SCF Energies [Hartree]</t>
  </si>
  <si>
    <t>CH4</t>
  </si>
  <si>
    <t>H</t>
  </si>
  <si>
    <t>CH3</t>
  </si>
  <si>
    <t>H2</t>
  </si>
  <si>
    <t>TST</t>
  </si>
  <si>
    <t>ZPE [Hartree]</t>
  </si>
  <si>
    <t>E forward [Hartree]</t>
  </si>
  <si>
    <t>E backward [Hartree]</t>
  </si>
  <si>
    <t>E forward [kJ/mol]</t>
  </si>
  <si>
    <t>E backward [kJ/mol]</t>
  </si>
  <si>
    <t>R</t>
  </si>
  <si>
    <t>Pi Greco</t>
  </si>
  <si>
    <t>Massa [kg]</t>
  </si>
  <si>
    <t>Boltzmann k</t>
  </si>
  <si>
    <t>Planck h</t>
  </si>
  <si>
    <t>Rydberg R</t>
  </si>
  <si>
    <t>Avogadro N</t>
  </si>
  <si>
    <t>Massa [g/mol]</t>
  </si>
  <si>
    <t>N</t>
  </si>
  <si>
    <t>Simmetria</t>
  </si>
  <si>
    <t>Rotational temperatures x</t>
  </si>
  <si>
    <t>Rotational temperatures y</t>
  </si>
  <si>
    <t>Rotational temperatures z</t>
  </si>
  <si>
    <t>Gel</t>
  </si>
  <si>
    <t>Eel</t>
  </si>
  <si>
    <t>Frequenza1</t>
  </si>
  <si>
    <t>Frequenza2</t>
  </si>
  <si>
    <t>Frequenza3</t>
  </si>
  <si>
    <t>Frequenza4</t>
  </si>
  <si>
    <t>Frequenza5</t>
  </si>
  <si>
    <t>Frequenza6</t>
  </si>
  <si>
    <t>Frequenza7</t>
  </si>
  <si>
    <t>Frequenza8</t>
  </si>
  <si>
    <t>Frequenza9</t>
  </si>
  <si>
    <t>Temperatura</t>
  </si>
  <si>
    <t>Qvib1</t>
  </si>
  <si>
    <t>Qvib2</t>
  </si>
  <si>
    <t>Qvib3</t>
  </si>
  <si>
    <t>Qvib4</t>
  </si>
  <si>
    <t>Qvib5</t>
  </si>
  <si>
    <t>Qvib6</t>
  </si>
  <si>
    <t>Qvib7</t>
  </si>
  <si>
    <t>Qvib8</t>
  </si>
  <si>
    <t>Qvib9</t>
  </si>
  <si>
    <t>Qtot</t>
  </si>
  <si>
    <t>Frequenza10</t>
  </si>
  <si>
    <t>Frequenza11</t>
  </si>
  <si>
    <t>Frequenza12</t>
  </si>
  <si>
    <t>Qvib10</t>
  </si>
  <si>
    <t>Qvib11</t>
  </si>
  <si>
    <t>Qvib12</t>
  </si>
  <si>
    <t>Volume</t>
  </si>
  <si>
    <t>Qtrasl</t>
  </si>
  <si>
    <t>Qvib</t>
  </si>
  <si>
    <t>Qrot</t>
  </si>
  <si>
    <t>Qel</t>
  </si>
  <si>
    <t xml:space="preserve">Q ≠ </t>
  </si>
  <si>
    <t>E forward [kcal/mol]</t>
  </si>
  <si>
    <t>Transition state</t>
  </si>
  <si>
    <t>Normal modes</t>
  </si>
  <si>
    <t>Distance C-H</t>
  </si>
  <si>
    <t>SCF</t>
  </si>
  <si>
    <t>NH3</t>
  </si>
  <si>
    <t>NH2</t>
  </si>
  <si>
    <t>Q NH3</t>
  </si>
  <si>
    <t>Distance N-H</t>
  </si>
  <si>
    <t>https://kinetics.nist.gov/kinetics/Detail?id=1997COR/ESP4013-4021:3</t>
  </si>
  <si>
    <r>
      <t>6.54x10</t>
    </r>
    <r>
      <rPr>
        <vertAlign val="superscript"/>
        <sz val="18"/>
        <color theme="1"/>
        <rFont val="Aptos Narrow"/>
        <family val="2"/>
        <scheme val="minor"/>
      </rPr>
      <t>-13</t>
    </r>
    <r>
      <rPr>
        <sz val="18"/>
        <color theme="1"/>
        <rFont val="Aptos Narrow"/>
        <family val="2"/>
        <scheme val="minor"/>
      </rPr>
      <t xml:space="preserve"> [cm</t>
    </r>
    <r>
      <rPr>
        <vertAlign val="superscript"/>
        <sz val="18"/>
        <color theme="1"/>
        <rFont val="Aptos Narrow"/>
        <family val="2"/>
        <scheme val="minor"/>
      </rPr>
      <t>3</t>
    </r>
    <r>
      <rPr>
        <sz val="18"/>
        <color theme="1"/>
        <rFont val="Aptos Narrow"/>
        <family val="2"/>
        <scheme val="minor"/>
      </rPr>
      <t>/molecule s] (T/298 K)</t>
    </r>
    <r>
      <rPr>
        <vertAlign val="superscript"/>
        <sz val="18"/>
        <color theme="1"/>
        <rFont val="Aptos Narrow"/>
        <family val="2"/>
        <scheme val="minor"/>
      </rPr>
      <t>2.76</t>
    </r>
    <r>
      <rPr>
        <sz val="18"/>
        <color theme="1"/>
        <rFont val="Aptos Narrow"/>
        <family val="2"/>
        <scheme val="minor"/>
      </rPr>
      <t xml:space="preserve"> e</t>
    </r>
    <r>
      <rPr>
        <vertAlign val="superscript"/>
        <sz val="18"/>
        <color theme="1"/>
        <rFont val="Aptos Narrow"/>
        <family val="2"/>
        <scheme val="minor"/>
      </rPr>
      <t>-42.99 [kJ/mole]/RT</t>
    </r>
  </si>
  <si>
    <t>Q tunnel</t>
  </si>
  <si>
    <t>Il sistema continua a vibrare lungo la direzione dello scostamento, senza trasmettere il moto ad altre direzioni</t>
  </si>
  <si>
    <t>Hessiana (con coordinate lungo i modi normali) diagonale</t>
  </si>
  <si>
    <t>Freq attraveramento (Q ≠ /Q_R)</t>
  </si>
  <si>
    <t>k = (1000*m)^2</t>
  </si>
  <si>
    <t>Derivata seconda lungo coordinata di reazione &lt;&lt;0: barriera stretta</t>
  </si>
  <si>
    <t>k forward</t>
  </si>
  <si>
    <t>https://kinetics.nist.gov/kinetics/Detail?id=1984WAR197C:14   https://kinetics.nist.gov/kinetics/Detail?id=1992BAU/COB411-429:109</t>
  </si>
  <si>
    <t>E backward [kcal/mol]</t>
  </si>
  <si>
    <t>La velocita di decomposizione del metano in gruppo metile avviene più velocemente anche a temperature alte</t>
  </si>
  <si>
    <t>Effetto tunnel perché l'H ha massa molto bassa</t>
  </si>
  <si>
    <t>preexp</t>
  </si>
  <si>
    <t>E forward [J]</t>
  </si>
  <si>
    <t>E backward [J]</t>
  </si>
  <si>
    <t>Experimental rate constant</t>
  </si>
  <si>
    <t>N avo</t>
  </si>
  <si>
    <t>Tunneling è il fattore primario di errore nel TST, soprattutto quando abbiamo H</t>
  </si>
  <si>
    <t>https://people.uleth.ca/~roussel/C4000foundations/slides/10TST_II.pdf</t>
  </si>
  <si>
    <t xml:space="preserve">k </t>
  </si>
  <si>
    <t>k</t>
  </si>
  <si>
    <t>Per la teoria TST, una volta che il sistema arriva al TS continuerà  verso i prodotti, senza mai tornare verso i reagenti. Tuttavia, questa assunzione non è sempre valida.</t>
  </si>
  <si>
    <t>A volte infatti le particelle dopo aver passato il punto di sella tornano indietro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</si>
</sst>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E+00"/>
    <numFmt numFmtId="165" formatCode="0.00000"/>
    <numFmt numFmtId="166" formatCode="0.000000"/>
    <numFmt numFmtId="167" formatCode="0.0000E+00"/>
  </numFmts>
  <fonts count="1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vertAlign val="superscript"/>
      <sz val="18"/>
      <color theme="1"/>
      <name val="Aptos Narrow"/>
      <family val="2"/>
      <scheme val="minor"/>
    </font>
    <font>
      <sz val="11"/>
      <color theme="1"/>
      <name val="Aptos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  <fill>
      <patternFill patternType="solid">
        <fgColor theme="1"/>
        <bgColor theme="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8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medium">
        <color indexed="64"/>
      </right>
      <top style="thin">
        <color theme="8"/>
      </top>
      <bottom/>
      <diagonal/>
    </border>
    <border>
      <left/>
      <right style="thin">
        <color theme="8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theme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1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11" fontId="0" fillId="0" borderId="0" xfId="0" applyNumberFormat="1"/>
    <xf numFmtId="0" fontId="1" fillId="6" borderId="26" xfId="0" applyFont="1" applyFill="1" applyBorder="1"/>
    <xf numFmtId="0" fontId="0" fillId="0" borderId="2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7" borderId="28" xfId="0" applyFont="1" applyFill="1" applyBorder="1"/>
    <xf numFmtId="0" fontId="1" fillId="6" borderId="29" xfId="0" applyFont="1" applyFill="1" applyBorder="1"/>
    <xf numFmtId="0" fontId="1" fillId="6" borderId="30" xfId="0" applyFont="1" applyFill="1" applyBorder="1"/>
    <xf numFmtId="0" fontId="0" fillId="0" borderId="32" xfId="0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33" xfId="0" applyNumberFormat="1" applyBorder="1" applyAlignment="1">
      <alignment horizontal="center"/>
    </xf>
    <xf numFmtId="0" fontId="1" fillId="6" borderId="26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7" borderId="28" xfId="0" applyFont="1" applyFill="1" applyBorder="1" applyAlignment="1">
      <alignment horizontal="center"/>
    </xf>
    <xf numFmtId="11" fontId="0" fillId="0" borderId="31" xfId="0" applyNumberFormat="1" applyBorder="1" applyAlignment="1">
      <alignment horizontal="center"/>
    </xf>
    <xf numFmtId="0" fontId="1" fillId="8" borderId="32" xfId="0" applyFont="1" applyFill="1" applyBorder="1" applyAlignment="1">
      <alignment horizontal="center"/>
    </xf>
    <xf numFmtId="0" fontId="1" fillId="8" borderId="33" xfId="0" applyFont="1" applyFill="1" applyBorder="1" applyAlignment="1">
      <alignment horizontal="center"/>
    </xf>
    <xf numFmtId="0" fontId="1" fillId="8" borderId="34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11" fontId="0" fillId="0" borderId="3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11" fontId="0" fillId="0" borderId="17" xfId="0" applyNumberFormat="1" applyBorder="1" applyAlignment="1">
      <alignment horizontal="center"/>
    </xf>
    <xf numFmtId="11" fontId="0" fillId="0" borderId="36" xfId="0" applyNumberFormat="1" applyBorder="1" applyAlignment="1">
      <alignment horizontal="center"/>
    </xf>
    <xf numFmtId="11" fontId="0" fillId="0" borderId="37" xfId="0" applyNumberFormat="1" applyBorder="1" applyAlignment="1">
      <alignment horizontal="center"/>
    </xf>
    <xf numFmtId="11" fontId="0" fillId="0" borderId="21" xfId="0" applyNumberFormat="1" applyBorder="1" applyAlignment="1">
      <alignment horizontal="center"/>
    </xf>
    <xf numFmtId="11" fontId="0" fillId="0" borderId="20" xfId="0" applyNumberFormat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1" fontId="2" fillId="0" borderId="0" xfId="0" applyNumberFormat="1" applyFont="1"/>
    <xf numFmtId="0" fontId="0" fillId="0" borderId="0" xfId="0" applyAlignment="1">
      <alignment horizontal="center" vertical="center" wrapText="1"/>
    </xf>
    <xf numFmtId="11" fontId="0" fillId="0" borderId="5" xfId="0" applyNumberFormat="1" applyBorder="1"/>
    <xf numFmtId="11" fontId="0" fillId="0" borderId="8" xfId="0" applyNumberFormat="1" applyBorder="1"/>
    <xf numFmtId="0" fontId="0" fillId="0" borderId="38" xfId="0" applyBorder="1"/>
    <xf numFmtId="11" fontId="0" fillId="0" borderId="39" xfId="0" applyNumberFormat="1" applyBorder="1"/>
    <xf numFmtId="0" fontId="2" fillId="9" borderId="10" xfId="0" applyFont="1" applyFill="1" applyBorder="1"/>
    <xf numFmtId="11" fontId="0" fillId="0" borderId="40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11" fontId="0" fillId="0" borderId="5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11" fontId="0" fillId="0" borderId="39" xfId="0" applyNumberFormat="1" applyBorder="1" applyAlignment="1">
      <alignment horizontal="center"/>
    </xf>
    <xf numFmtId="0" fontId="2" fillId="2" borderId="41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1" fillId="6" borderId="29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2" fillId="5" borderId="23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0" fontId="0" fillId="0" borderId="44" xfId="0" applyBorder="1" applyAlignment="1">
      <alignment horizontal="center"/>
    </xf>
    <xf numFmtId="0" fontId="4" fillId="0" borderId="0" xfId="0" applyFont="1"/>
    <xf numFmtId="0" fontId="5" fillId="0" borderId="0" xfId="1" applyAlignment="1">
      <alignment horizontal="center"/>
    </xf>
    <xf numFmtId="0" fontId="0" fillId="0" borderId="0" xfId="0" applyAlignment="1">
      <alignment horizontal="left"/>
    </xf>
    <xf numFmtId="0" fontId="0" fillId="11" borderId="0" xfId="0" applyFill="1" applyAlignment="1">
      <alignment horizontal="center"/>
    </xf>
    <xf numFmtId="0" fontId="6" fillId="0" borderId="0" xfId="0" applyFont="1"/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8" fillId="4" borderId="41" xfId="0" applyFont="1" applyFill="1" applyBorder="1" applyAlignment="1">
      <alignment horizontal="center"/>
    </xf>
    <xf numFmtId="0" fontId="8" fillId="4" borderId="43" xfId="0" applyFont="1" applyFill="1" applyBorder="1" applyAlignment="1">
      <alignment horizontal="center"/>
    </xf>
    <xf numFmtId="0" fontId="0" fillId="0" borderId="43" xfId="0" applyBorder="1" applyAlignment="1">
      <alignment horizontal="center"/>
    </xf>
    <xf numFmtId="11" fontId="0" fillId="0" borderId="28" xfId="0" applyNumberFormat="1" applyBorder="1" applyAlignment="1">
      <alignment horizontal="center"/>
    </xf>
    <xf numFmtId="0" fontId="2" fillId="9" borderId="41" xfId="0" applyFont="1" applyFill="1" applyBorder="1" applyAlignment="1">
      <alignment horizontal="center"/>
    </xf>
    <xf numFmtId="0" fontId="2" fillId="9" borderId="42" xfId="0" applyFont="1" applyFill="1" applyBorder="1" applyAlignment="1">
      <alignment horizontal="center"/>
    </xf>
    <xf numFmtId="0" fontId="2" fillId="9" borderId="43" xfId="0" applyFont="1" applyFill="1" applyBorder="1" applyAlignment="1">
      <alignment horizontal="center"/>
    </xf>
    <xf numFmtId="11" fontId="0" fillId="0" borderId="40" xfId="0" applyNumberFormat="1" applyBorder="1" applyAlignment="1">
      <alignment horizontal="center"/>
    </xf>
    <xf numFmtId="11" fontId="0" fillId="0" borderId="46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11" fontId="0" fillId="0" borderId="45" xfId="0" applyNumberFormat="1" applyBorder="1" applyAlignment="1">
      <alignment horizontal="center"/>
    </xf>
    <xf numFmtId="0" fontId="2" fillId="10" borderId="0" xfId="0" applyFont="1" applyFill="1" applyAlignment="1">
      <alignment horizontal="center"/>
    </xf>
    <xf numFmtId="11" fontId="2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11" fontId="2" fillId="0" borderId="22" xfId="0" applyNumberFormat="1" applyFont="1" applyBorder="1" applyAlignment="1">
      <alignment horizontal="center"/>
    </xf>
    <xf numFmtId="11" fontId="2" fillId="0" borderId="25" xfId="0" applyNumberFormat="1" applyFont="1" applyBorder="1" applyAlignment="1">
      <alignment horizontal="center"/>
    </xf>
    <xf numFmtId="11" fontId="2" fillId="0" borderId="24" xfId="0" applyNumberFormat="1" applyFont="1" applyBorder="1" applyAlignment="1">
      <alignment horizontal="center"/>
    </xf>
    <xf numFmtId="0" fontId="9" fillId="4" borderId="19" xfId="0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0" xfId="0" applyFont="1"/>
    <xf numFmtId="0" fontId="2" fillId="2" borderId="49" xfId="0" applyFont="1" applyFill="1" applyBorder="1" applyAlignment="1">
      <alignment horizontal="center"/>
    </xf>
    <xf numFmtId="11" fontId="0" fillId="0" borderId="44" xfId="0" applyNumberFormat="1" applyBorder="1" applyAlignment="1">
      <alignment horizontal="center"/>
    </xf>
    <xf numFmtId="11" fontId="0" fillId="0" borderId="48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11" fillId="0" borderId="0" xfId="0" applyFont="1" applyAlignment="1">
      <alignment vertical="center" wrapText="1"/>
    </xf>
    <xf numFmtId="165" fontId="7" fillId="0" borderId="6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wrapText="1"/>
    </xf>
    <xf numFmtId="0" fontId="2" fillId="12" borderId="10" xfId="0" applyFont="1" applyFill="1" applyBorder="1" applyAlignment="1">
      <alignment horizontal="center"/>
    </xf>
    <xf numFmtId="0" fontId="7" fillId="0" borderId="0" xfId="0" applyFont="1"/>
    <xf numFmtId="0" fontId="2" fillId="2" borderId="19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 wrapText="1"/>
    </xf>
    <xf numFmtId="11" fontId="2" fillId="0" borderId="5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2" fillId="12" borderId="13" xfId="0" applyFont="1" applyFill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47" xfId="0" applyNumberFormat="1" applyBorder="1" applyAlignment="1">
      <alignment horizontal="center"/>
    </xf>
    <xf numFmtId="11" fontId="0" fillId="0" borderId="22" xfId="0" applyNumberFormat="1" applyFont="1" applyBorder="1" applyAlignment="1">
      <alignment horizontal="center"/>
    </xf>
    <xf numFmtId="11" fontId="0" fillId="0" borderId="10" xfId="0" applyNumberFormat="1" applyFont="1" applyBorder="1" applyAlignment="1">
      <alignment horizontal="center"/>
    </xf>
    <xf numFmtId="11" fontId="2" fillId="0" borderId="3" xfId="0" applyNumberFormat="1" applyFont="1" applyBorder="1" applyAlignment="1">
      <alignment horizontal="center"/>
    </xf>
    <xf numFmtId="0" fontId="2" fillId="2" borderId="50" xfId="0" applyFont="1" applyFill="1" applyBorder="1" applyAlignment="1">
      <alignment horizontal="center"/>
    </xf>
    <xf numFmtId="0" fontId="2" fillId="2" borderId="51" xfId="0" applyFont="1" applyFill="1" applyBorder="1" applyAlignment="1">
      <alignment horizontal="center"/>
    </xf>
    <xf numFmtId="0" fontId="2" fillId="2" borderId="52" xfId="0" applyFont="1" applyFill="1" applyBorder="1" applyAlignment="1">
      <alignment horizontal="center"/>
    </xf>
    <xf numFmtId="0" fontId="2" fillId="12" borderId="19" xfId="0" applyFont="1" applyFill="1" applyBorder="1" applyAlignment="1">
      <alignment horizontal="center"/>
    </xf>
    <xf numFmtId="11" fontId="0" fillId="0" borderId="53" xfId="0" applyNumberFormat="1" applyFont="1" applyBorder="1" applyAlignment="1">
      <alignment horizontal="center"/>
    </xf>
    <xf numFmtId="167" fontId="2" fillId="0" borderId="22" xfId="0" applyNumberFormat="1" applyFont="1" applyBorder="1" applyAlignment="1">
      <alignment horizontal="center"/>
    </xf>
    <xf numFmtId="167" fontId="2" fillId="0" borderId="25" xfId="0" applyNumberFormat="1" applyFont="1" applyBorder="1" applyAlignment="1">
      <alignment horizontal="center"/>
    </xf>
    <xf numFmtId="167" fontId="2" fillId="0" borderId="24" xfId="0" applyNumberFormat="1" applyFont="1" applyBorder="1" applyAlignment="1">
      <alignment horizontal="center"/>
    </xf>
    <xf numFmtId="164" fontId="0" fillId="0" borderId="44" xfId="0" applyNumberFormat="1" applyBorder="1" applyAlignment="1">
      <alignment horizontal="center"/>
    </xf>
    <xf numFmtId="0" fontId="7" fillId="0" borderId="38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202"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  <border diagonalUp="0" diagonalDown="0">
        <left/>
        <right style="thin">
          <color theme="8"/>
        </right>
        <top style="thin">
          <color theme="8"/>
        </top>
        <bottom/>
      </border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  <border diagonalUp="0" diagonalDown="0" outline="0">
        <left/>
        <right style="thin">
          <color theme="8"/>
        </right>
        <top style="thin">
          <color theme="8"/>
        </top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  <border diagonalUp="0" diagonalDown="0" outline="0">
        <left/>
        <right style="thin">
          <color theme="8"/>
        </right>
        <top style="thin">
          <color theme="8"/>
        </top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8"/>
        </right>
        <top style="thin">
          <color theme="8"/>
        </top>
        <bottom/>
      </border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/>
              <a:t>Coordinata di reazione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'CH4+H=CH3+H2'!$A$33:$A$37</c:f>
              <c:numCache>
                <c:formatCode>General</c:formatCode>
                <c:ptCount val="5"/>
                <c:pt idx="0">
                  <c:v>1.1299999999999999</c:v>
                </c:pt>
                <c:pt idx="1">
                  <c:v>1.2</c:v>
                </c:pt>
                <c:pt idx="2">
                  <c:v>1.3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'CH4+H=CH3+H2'!$B$33:$B$37</c:f>
              <c:numCache>
                <c:formatCode>General</c:formatCode>
                <c:ptCount val="5"/>
                <c:pt idx="0">
                  <c:v>-41.026856899800002</c:v>
                </c:pt>
                <c:pt idx="1">
                  <c:v>-41.021173940600001</c:v>
                </c:pt>
                <c:pt idx="2" formatCode="0.00000">
                  <c:v>-41.013199601799997</c:v>
                </c:pt>
                <c:pt idx="3">
                  <c:v>-41.012461177600002</c:v>
                </c:pt>
                <c:pt idx="4">
                  <c:v>-41.021546732600001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E6-4E85-BDC4-8B9D1A18D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5853920"/>
        <c:axId val="675845280"/>
      </c:lineChart>
      <c:catAx>
        <c:axId val="67585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5845280"/>
        <c:crosses val="autoZero"/>
        <c:auto val="1"/>
        <c:lblAlgn val="ctr"/>
        <c:lblOffset val="100"/>
        <c:noMultiLvlLbl val="0"/>
      </c:catAx>
      <c:valAx>
        <c:axId val="6758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585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K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K experimental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'CH4+H=CH3+H2'!$A$12:$A$29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'CH4+H=CH3+H2'!$E$12:$E$29</c:f>
              <c:numCache>
                <c:formatCode>0.00E+00</c:formatCode>
                <c:ptCount val="18"/>
                <c:pt idx="0">
                  <c:v>4.2100000000000001E-19</c:v>
                </c:pt>
                <c:pt idx="1">
                  <c:v>3.8999999999999999E-17</c:v>
                </c:pt>
                <c:pt idx="2">
                  <c:v>6.8800000000000004E-16</c:v>
                </c:pt>
                <c:pt idx="3">
                  <c:v>5.1499999999999997E-15</c:v>
                </c:pt>
                <c:pt idx="4">
                  <c:v>2.3299999999999999E-14</c:v>
                </c:pt>
                <c:pt idx="5">
                  <c:v>7.6399999999999995E-14</c:v>
                </c:pt>
                <c:pt idx="6">
                  <c:v>2.0000000000000001E-13</c:v>
                </c:pt>
                <c:pt idx="7">
                  <c:v>4.4800000000000001E-13</c:v>
                </c:pt>
                <c:pt idx="8">
                  <c:v>8.9000000000000004E-13</c:v>
                </c:pt>
                <c:pt idx="9">
                  <c:v>1.61E-12</c:v>
                </c:pt>
                <c:pt idx="10">
                  <c:v>2.7200000000000001E-12</c:v>
                </c:pt>
                <c:pt idx="11">
                  <c:v>4.3200000000000002E-12</c:v>
                </c:pt>
                <c:pt idx="12">
                  <c:v>6.5600000000000003E-12</c:v>
                </c:pt>
                <c:pt idx="13">
                  <c:v>9.5600000000000005E-12</c:v>
                </c:pt>
                <c:pt idx="14">
                  <c:v>1.35E-11</c:v>
                </c:pt>
                <c:pt idx="15">
                  <c:v>1.8500000000000001E-11</c:v>
                </c:pt>
                <c:pt idx="16">
                  <c:v>2.4699999999999999E-11</c:v>
                </c:pt>
                <c:pt idx="17">
                  <c:v>3.2399999999999999E-11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1B-4AC0-A60B-9E38593DF394}"/>
            </c:ext>
          </c:extLst>
        </c:ser>
        <c:ser>
          <c:idx val="1"/>
          <c:order val="1"/>
          <c:tx>
            <c:v>K TST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'CH4+H=CH3+H2'!$A$12:$A$29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'CH4+H=CH3+H2'!$H$12:$H$29</c:f>
              <c:numCache>
                <c:formatCode>0.00E+00</c:formatCode>
                <c:ptCount val="18"/>
                <c:pt idx="0">
                  <c:v>3.7461821584439309E-19</c:v>
                </c:pt>
                <c:pt idx="1">
                  <c:v>4.9424674667241078E-17</c:v>
                </c:pt>
                <c:pt idx="2">
                  <c:v>9.3624446688178547E-16</c:v>
                </c:pt>
                <c:pt idx="3">
                  <c:v>7.1380154003874293E-15</c:v>
                </c:pt>
                <c:pt idx="4">
                  <c:v>3.2255705068431812E-14</c:v>
                </c:pt>
                <c:pt idx="5">
                  <c:v>1.0470297363280468E-13</c:v>
                </c:pt>
                <c:pt idx="6">
                  <c:v>2.7160415721587281E-13</c:v>
                </c:pt>
                <c:pt idx="7">
                  <c:v>6.0034755703815041E-13</c:v>
                </c:pt>
                <c:pt idx="8">
                  <c:v>1.1781851161173231E-12</c:v>
                </c:pt>
                <c:pt idx="9">
                  <c:v>2.1105412530043886E-12</c:v>
                </c:pt>
                <c:pt idx="10">
                  <c:v>3.5186332241159121E-12</c:v>
                </c:pt>
                <c:pt idx="11">
                  <c:v>5.5368452631815648E-12</c:v>
                </c:pt>
                <c:pt idx="12">
                  <c:v>8.3101409564695853E-12</c:v>
                </c:pt>
                <c:pt idx="13">
                  <c:v>1.1991675463919606E-11</c:v>
                </c:pt>
                <c:pt idx="14">
                  <c:v>1.6740684400140013E-11</c:v>
                </c:pt>
                <c:pt idx="15">
                  <c:v>2.2720672500862052E-11</c:v>
                </c:pt>
                <c:pt idx="16">
                  <c:v>3.0097893911085688E-11</c:v>
                </c:pt>
                <c:pt idx="17">
                  <c:v>3.9040099555803508E-11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48-40DB-8684-BD3577269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394912"/>
        <c:axId val="850395392"/>
      </c:scatterChart>
      <c:valAx>
        <c:axId val="85039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0395392"/>
        <c:crosses val="autoZero"/>
        <c:crossBetween val="midCat"/>
      </c:valAx>
      <c:valAx>
        <c:axId val="85039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039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K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k experimental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'CH4+H=CH3+H2'!$A$12:$A$29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'NH3+H=NH2+H2'!$E$12:$E$29</c:f>
              <c:numCache>
                <c:formatCode>0.0000E+00</c:formatCode>
                <c:ptCount val="18"/>
                <c:pt idx="0">
                  <c:v>4.2100000000000001E-20</c:v>
                </c:pt>
                <c:pt idx="1">
                  <c:v>6.2799999999999997E-18</c:v>
                </c:pt>
                <c:pt idx="2">
                  <c:v>1.4199999999999999E-16</c:v>
                </c:pt>
                <c:pt idx="3">
                  <c:v>1.2199999999999999E-15</c:v>
                </c:pt>
                <c:pt idx="4">
                  <c:v>5.9899999999999999E-15</c:v>
                </c:pt>
                <c:pt idx="5">
                  <c:v>2.0500000000000001E-14</c:v>
                </c:pt>
                <c:pt idx="6">
                  <c:v>5.5300000000000002E-14</c:v>
                </c:pt>
                <c:pt idx="7">
                  <c:v>1.25E-13</c:v>
                </c:pt>
                <c:pt idx="8">
                  <c:v>2.49E-13</c:v>
                </c:pt>
                <c:pt idx="9">
                  <c:v>4.5E-13</c:v>
                </c:pt>
                <c:pt idx="10">
                  <c:v>7.5200000000000003E-13</c:v>
                </c:pt>
                <c:pt idx="11">
                  <c:v>1.18E-12</c:v>
                </c:pt>
                <c:pt idx="12">
                  <c:v>1.7699999999999999E-12</c:v>
                </c:pt>
                <c:pt idx="13">
                  <c:v>2.5400000000000001E-12</c:v>
                </c:pt>
                <c:pt idx="14">
                  <c:v>3.5300000000000001E-12</c:v>
                </c:pt>
                <c:pt idx="15">
                  <c:v>4.7599999999999999E-12</c:v>
                </c:pt>
                <c:pt idx="16">
                  <c:v>6.2600000000000004E-12</c:v>
                </c:pt>
                <c:pt idx="17">
                  <c:v>8.0500000000000006E-12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A1-4EFC-AFE1-525CC2BBE899}"/>
            </c:ext>
          </c:extLst>
        </c:ser>
        <c:ser>
          <c:idx val="1"/>
          <c:order val="1"/>
          <c:tx>
            <c:v>k tst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'NH3+H=NH2+H2'!$A$12:$A$29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'NH3+H=NH2+H2'!$H$12:$H$29</c:f>
              <c:numCache>
                <c:formatCode>0.00E+00</c:formatCode>
                <c:ptCount val="18"/>
                <c:pt idx="0">
                  <c:v>4.7535769155341346E-22</c:v>
                </c:pt>
                <c:pt idx="1">
                  <c:v>2.5584590328459645E-19</c:v>
                </c:pt>
                <c:pt idx="2">
                  <c:v>1.0801019905358716E-17</c:v>
                </c:pt>
                <c:pt idx="3">
                  <c:v>1.3864184512592326E-16</c:v>
                </c:pt>
                <c:pt idx="4">
                  <c:v>9.0156057826683797E-16</c:v>
                </c:pt>
                <c:pt idx="5">
                  <c:v>3.8265641677948439E-15</c:v>
                </c:pt>
                <c:pt idx="6">
                  <c:v>1.2195050164800667E-14</c:v>
                </c:pt>
                <c:pt idx="7">
                  <c:v>3.1735558364492263E-14</c:v>
                </c:pt>
                <c:pt idx="8">
                  <c:v>7.1134676362526065E-14</c:v>
                </c:pt>
                <c:pt idx="9">
                  <c:v>1.423256715726012E-13</c:v>
                </c:pt>
                <c:pt idx="10">
                  <c:v>2.6057175973590058E-13</c:v>
                </c:pt>
                <c:pt idx="11">
                  <c:v>4.4438606574277003E-13</c:v>
                </c:pt>
                <c:pt idx="12">
                  <c:v>7.1533548729908213E-13</c:v>
                </c:pt>
                <c:pt idx="13">
                  <c:v>1.0977710323085723E-12</c:v>
                </c:pt>
                <c:pt idx="14">
                  <c:v>1.6185189228753434E-12</c:v>
                </c:pt>
                <c:pt idx="15">
                  <c:v>2.3065580438699142E-12</c:v>
                </c:pt>
                <c:pt idx="16">
                  <c:v>3.1927016026031019E-12</c:v>
                </c:pt>
                <c:pt idx="17">
                  <c:v>4.3092946440116768E-12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32-43EA-991B-6954240FA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394912"/>
        <c:axId val="850395392"/>
      </c:scatterChart>
      <c:valAx>
        <c:axId val="85039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0395392"/>
        <c:crosses val="autoZero"/>
        <c:crossBetween val="midCat"/>
      </c:valAx>
      <c:valAx>
        <c:axId val="85039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039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Coordinata di reazione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'NH3+H=NH2+H2'!$A$33:$A$36</c:f>
              <c:numCache>
                <c:formatCode>General</c:formatCode>
                <c:ptCount val="4"/>
                <c:pt idx="0">
                  <c:v>1.1499999999999999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</c:numCache>
            </c:numRef>
          </c:cat>
          <c:val>
            <c:numRef>
              <c:f>'NH3+H=NH2+H2'!$B$33:$B$36</c:f>
              <c:numCache>
                <c:formatCode>General</c:formatCode>
                <c:ptCount val="4"/>
                <c:pt idx="0">
                  <c:v>-57.058603976599997</c:v>
                </c:pt>
                <c:pt idx="1">
                  <c:v>-57.048816772000002</c:v>
                </c:pt>
                <c:pt idx="2">
                  <c:v>-57.046689035599996</c:v>
                </c:pt>
                <c:pt idx="3">
                  <c:v>-57.046790841000004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1A-485B-9D66-3CF85A482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1695424"/>
        <c:axId val="911682464"/>
      </c:lineChart>
      <c:catAx>
        <c:axId val="91169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11682464"/>
        <c:crosses val="autoZero"/>
        <c:auto val="1"/>
        <c:lblAlgn val="ctr"/>
        <c:lblOffset val="100"/>
        <c:noMultiLvlLbl val="0"/>
      </c:catAx>
      <c:valAx>
        <c:axId val="91168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1169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7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6" Type="http://schemas.openxmlformats.org/officeDocument/2006/relationships/image" Target="../media/image5.gif"/><Relationship Id="rId5" Type="http://schemas.openxmlformats.org/officeDocument/2006/relationships/image" Target="../media/image4.gif"/><Relationship Id="rId4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gif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206023</xdr:colOff>
      <xdr:row>2</xdr:row>
      <xdr:rowOff>149577</xdr:rowOff>
    </xdr:from>
    <xdr:ext cx="1132298" cy="7453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C3151AF9-6FA2-4F36-BA7B-3D3230C07256}"/>
                </a:ext>
              </a:extLst>
            </xdr:cNvPr>
            <xdr:cNvSpPr txBox="1"/>
          </xdr:nvSpPr>
          <xdr:spPr>
            <a:xfrm>
              <a:off x="1590323" y="517877"/>
              <a:ext cx="1132298" cy="7453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it-IT" sz="20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Sup>
                          <m:sSubSup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it-IT" sz="20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b>
                            <m:r>
                              <a:rPr lang="it-IT" sz="20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>
                            <m:r>
                              <a:rPr lang="it-I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𝜀</m:t>
                            </m:r>
                            <m:r>
                              <a:rPr lang="it-I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/</m:t>
                            </m:r>
                            <m:sSub>
                              <m:sSubPr>
                                <m:ctrlPr>
                                  <a:rPr lang="it-IT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it-IT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𝐵</m:t>
                                </m:r>
                              </m:sub>
                            </m:sSub>
                            <m:r>
                              <a:rPr lang="it-IT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</m:t>
                            </m:r>
                          </m:sup>
                        </m:sSubSup>
                      </m:e>
                    </m:nary>
                  </m:oMath>
                </m:oMathPara>
              </a14:m>
              <a:endParaRPr lang="it-IT" sz="2000"/>
            </a:p>
          </xdr:txBody>
        </xdr:sp>
      </mc:Choice>
      <mc:Fallback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C3151AF9-6FA2-4F36-BA7B-3D3230C07256}"/>
                </a:ext>
              </a:extLst>
            </xdr:cNvPr>
            <xdr:cNvSpPr txBox="1"/>
          </xdr:nvSpPr>
          <xdr:spPr>
            <a:xfrm>
              <a:off x="1590323" y="517877"/>
              <a:ext cx="1132298" cy="7453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2000" i="0">
                  <a:latin typeface="Cambria Math" panose="02040503050406030204" pitchFamily="18" charset="0"/>
                </a:rPr>
                <a:t>∑</a:t>
              </a:r>
              <a:r>
                <a:rPr lang="it-IT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▒</a:t>
              </a:r>
              <a:r>
                <a:rPr lang="it-IT" sz="2000" b="0" i="0">
                  <a:latin typeface="Cambria Math" panose="02040503050406030204" pitchFamily="18" charset="0"/>
                </a:rPr>
                <a:t>𝑒_𝑖^(</a:t>
              </a:r>
              <a:r>
                <a:rPr lang="it-IT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𝜀/𝑘_𝐵 𝑇) </a:t>
              </a:r>
              <a:endParaRPr lang="it-IT" sz="20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323850</xdr:rowOff>
    </xdr:from>
    <xdr:to>
      <xdr:col>4</xdr:col>
      <xdr:colOff>107950</xdr:colOff>
      <xdr:row>76</xdr:row>
      <xdr:rowOff>184150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1B5099EA-6471-47AA-B88A-2BF3EEA6A1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000" t="8750" r="15833" b="23333"/>
        <a:stretch/>
      </xdr:blipFill>
      <xdr:spPr>
        <a:xfrm>
          <a:off x="0" y="10315575"/>
          <a:ext cx="4489450" cy="5356225"/>
        </a:xfrm>
        <a:prstGeom prst="rect">
          <a:avLst/>
        </a:prstGeom>
      </xdr:spPr>
    </xdr:pic>
    <xdr:clientData/>
  </xdr:twoCellAnchor>
  <xdr:twoCellAnchor editAs="oneCell">
    <xdr:from>
      <xdr:col>4</xdr:col>
      <xdr:colOff>819150</xdr:colOff>
      <xdr:row>54</xdr:row>
      <xdr:rowOff>304800</xdr:rowOff>
    </xdr:from>
    <xdr:to>
      <xdr:col>5</xdr:col>
      <xdr:colOff>1208432</xdr:colOff>
      <xdr:row>65</xdr:row>
      <xdr:rowOff>98424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4C9C3875-55B7-413B-BD82-ADF4105F16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61" t="10786" r="34787" b="20903"/>
        <a:stretch/>
      </xdr:blipFill>
      <xdr:spPr>
        <a:xfrm>
          <a:off x="5200650" y="11201400"/>
          <a:ext cx="2154582" cy="2003424"/>
        </a:xfrm>
        <a:prstGeom prst="rect">
          <a:avLst/>
        </a:prstGeom>
      </xdr:spPr>
    </xdr:pic>
    <xdr:clientData/>
  </xdr:twoCellAnchor>
  <xdr:twoCellAnchor editAs="oneCell">
    <xdr:from>
      <xdr:col>7</xdr:col>
      <xdr:colOff>1543050</xdr:colOff>
      <xdr:row>51</xdr:row>
      <xdr:rowOff>28575</xdr:rowOff>
    </xdr:from>
    <xdr:to>
      <xdr:col>11</xdr:col>
      <xdr:colOff>1069384</xdr:colOff>
      <xdr:row>72</xdr:row>
      <xdr:rowOff>9525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279C4C93-FA3C-445E-A879-8AD28FC21D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834" t="23916" r="5334" b="20667"/>
        <a:stretch/>
      </xdr:blipFill>
      <xdr:spPr>
        <a:xfrm>
          <a:off x="8915400" y="10353675"/>
          <a:ext cx="5269910" cy="4375150"/>
        </a:xfrm>
        <a:prstGeom prst="rect">
          <a:avLst/>
        </a:prstGeom>
      </xdr:spPr>
    </xdr:pic>
    <xdr:clientData/>
  </xdr:twoCellAnchor>
  <xdr:twoCellAnchor>
    <xdr:from>
      <xdr:col>2</xdr:col>
      <xdr:colOff>753222</xdr:colOff>
      <xdr:row>29</xdr:row>
      <xdr:rowOff>166034</xdr:rowOff>
    </xdr:from>
    <xdr:to>
      <xdr:col>10</xdr:col>
      <xdr:colOff>911972</xdr:colOff>
      <xdr:row>47</xdr:row>
      <xdr:rowOff>29509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B97C4259-E121-422A-8701-4B4EF47230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1276350</xdr:colOff>
      <xdr:row>38</xdr:row>
      <xdr:rowOff>12701</xdr:rowOff>
    </xdr:from>
    <xdr:to>
      <xdr:col>7</xdr:col>
      <xdr:colOff>830649</xdr:colOff>
      <xdr:row>43</xdr:row>
      <xdr:rowOff>24286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CED32050-AEC9-4B5B-BE23-0C1A4539EB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626" t="23488" r="40600" b="19724"/>
        <a:stretch/>
      </xdr:blipFill>
      <xdr:spPr>
        <a:xfrm>
          <a:off x="9080500" y="7493001"/>
          <a:ext cx="1453322" cy="932335"/>
        </a:xfrm>
        <a:prstGeom prst="rect">
          <a:avLst/>
        </a:prstGeom>
      </xdr:spPr>
    </xdr:pic>
    <xdr:clientData/>
  </xdr:twoCellAnchor>
  <xdr:twoCellAnchor editAs="oneCell">
    <xdr:from>
      <xdr:col>8</xdr:col>
      <xdr:colOff>175310</xdr:colOff>
      <xdr:row>37</xdr:row>
      <xdr:rowOff>82551</xdr:rowOff>
    </xdr:from>
    <xdr:to>
      <xdr:col>8</xdr:col>
      <xdr:colOff>1244601</xdr:colOff>
      <xdr:row>43</xdr:row>
      <xdr:rowOff>100965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EC6CF83B-0335-4077-A497-580A433B2F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0" t="15917" r="23167" b="25000"/>
        <a:stretch/>
      </xdr:blipFill>
      <xdr:spPr>
        <a:xfrm>
          <a:off x="11097310" y="7378701"/>
          <a:ext cx="1069291" cy="1123314"/>
        </a:xfrm>
        <a:prstGeom prst="rect">
          <a:avLst/>
        </a:prstGeom>
      </xdr:spPr>
    </xdr:pic>
    <xdr:clientData/>
  </xdr:twoCellAnchor>
  <xdr:twoCellAnchor>
    <xdr:from>
      <xdr:col>8</xdr:col>
      <xdr:colOff>415924</xdr:colOff>
      <xdr:row>9</xdr:row>
      <xdr:rowOff>164354</xdr:rowOff>
    </xdr:from>
    <xdr:to>
      <xdr:col>14</xdr:col>
      <xdr:colOff>380999</xdr:colOff>
      <xdr:row>28</xdr:row>
      <xdr:rowOff>176866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FCB11CE7-E0A1-31DF-51A6-D2EE521643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5</xdr:col>
      <xdr:colOff>543859</xdr:colOff>
      <xdr:row>85</xdr:row>
      <xdr:rowOff>69476</xdr:rowOff>
    </xdr:from>
    <xdr:ext cx="65" cy="172227"/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C6D8935E-E049-E61D-9110-4C4BC8D60C39}"/>
            </a:ext>
          </a:extLst>
        </xdr:cNvPr>
        <xdr:cNvSpPr txBox="1"/>
      </xdr:nvSpPr>
      <xdr:spPr>
        <a:xfrm>
          <a:off x="8343153" y="185591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6</xdr:col>
      <xdr:colOff>543859</xdr:colOff>
      <xdr:row>16</xdr:row>
      <xdr:rowOff>69476</xdr:rowOff>
    </xdr:from>
    <xdr:ext cx="65" cy="172227"/>
    <xdr:sp macro="" textlink="">
      <xdr:nvSpPr>
        <xdr:cNvPr id="12" name="CasellaDiTesto 11">
          <a:extLst>
            <a:ext uri="{FF2B5EF4-FFF2-40B4-BE49-F238E27FC236}">
              <a16:creationId xmlns:a16="http://schemas.microsoft.com/office/drawing/2014/main" id="{C309B9BD-19FD-4115-8CC6-A9A769530975}"/>
            </a:ext>
          </a:extLst>
        </xdr:cNvPr>
        <xdr:cNvSpPr txBox="1"/>
      </xdr:nvSpPr>
      <xdr:spPr>
        <a:xfrm>
          <a:off x="6998447" y="186488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9</xdr:row>
      <xdr:rowOff>50799</xdr:rowOff>
    </xdr:from>
    <xdr:to>
      <xdr:col>13</xdr:col>
      <xdr:colOff>955675</xdr:colOff>
      <xdr:row>29</xdr:row>
      <xdr:rowOff>82550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91E4DB40-C4D2-448E-87CA-85CD590D53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682626</xdr:colOff>
      <xdr:row>30</xdr:row>
      <xdr:rowOff>187325</xdr:rowOff>
    </xdr:from>
    <xdr:to>
      <xdr:col>8</xdr:col>
      <xdr:colOff>1130301</xdr:colOff>
      <xdr:row>45</xdr:row>
      <xdr:rowOff>111125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74B16D97-2911-4A74-A811-58E7AFE01F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51</xdr:row>
      <xdr:rowOff>66675</xdr:rowOff>
    </xdr:from>
    <xdr:to>
      <xdr:col>4</xdr:col>
      <xdr:colOff>867360</xdr:colOff>
      <xdr:row>71</xdr:row>
      <xdr:rowOff>46027</xdr:rowOff>
    </xdr:to>
    <xdr:pic>
      <xdr:nvPicPr>
        <xdr:cNvPr id="10" name="Immagine 9">
          <a:extLst>
            <a:ext uri="{FF2B5EF4-FFF2-40B4-BE49-F238E27FC236}">
              <a16:creationId xmlns:a16="http://schemas.microsoft.com/office/drawing/2014/main" id="{859CC2D4-D1F0-4CB4-B352-31B1613B86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519" t="29114" r="1477" b="23207"/>
        <a:stretch/>
      </xdr:blipFill>
      <xdr:spPr>
        <a:xfrm>
          <a:off x="0" y="10687050"/>
          <a:ext cx="5671135" cy="3789352"/>
        </a:xfrm>
        <a:prstGeom prst="rect">
          <a:avLst/>
        </a:prstGeom>
      </xdr:spPr>
    </xdr:pic>
    <xdr:clientData/>
  </xdr:twoCellAnchor>
  <xdr:twoCellAnchor editAs="oneCell">
    <xdr:from>
      <xdr:col>5</xdr:col>
      <xdr:colOff>695325</xdr:colOff>
      <xdr:row>52</xdr:row>
      <xdr:rowOff>114300</xdr:rowOff>
    </xdr:from>
    <xdr:to>
      <xdr:col>7</xdr:col>
      <xdr:colOff>533124</xdr:colOff>
      <xdr:row>65</xdr:row>
      <xdr:rowOff>158888</xdr:rowOff>
    </xdr:to>
    <xdr:pic>
      <xdr:nvPicPr>
        <xdr:cNvPr id="11" name="Immagine 10">
          <a:extLst>
            <a:ext uri="{FF2B5EF4-FFF2-40B4-BE49-F238E27FC236}">
              <a16:creationId xmlns:a16="http://schemas.microsoft.com/office/drawing/2014/main" id="{289C75FB-7BE4-42EC-AB36-312A905210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8038" r="19039" b="16355"/>
        <a:stretch/>
      </xdr:blipFill>
      <xdr:spPr>
        <a:xfrm>
          <a:off x="5924550" y="10925175"/>
          <a:ext cx="2711174" cy="2521088"/>
        </a:xfrm>
        <a:prstGeom prst="rect">
          <a:avLst/>
        </a:prstGeom>
      </xdr:spPr>
    </xdr:pic>
    <xdr:clientData/>
  </xdr:twoCellAnchor>
  <xdr:oneCellAnchor>
    <xdr:from>
      <xdr:col>5</xdr:col>
      <xdr:colOff>543859</xdr:colOff>
      <xdr:row>101</xdr:row>
      <xdr:rowOff>69476</xdr:rowOff>
    </xdr:from>
    <xdr:ext cx="65" cy="172227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4589CBE1-4F59-4219-9021-BA7E3700AAB5}"/>
            </a:ext>
          </a:extLst>
        </xdr:cNvPr>
        <xdr:cNvSpPr txBox="1"/>
      </xdr:nvSpPr>
      <xdr:spPr>
        <a:xfrm>
          <a:off x="9814859" y="31365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useppe\Documents\.magistrale\secondo%20anno\Process\Final\project%204\lab4.xlsx" TargetMode="External"/><Relationship Id="rId1" Type="http://schemas.openxmlformats.org/officeDocument/2006/relationships/externalLinkPath" Target="/Users/Giuseppe/Documents/.magistrale/secondo%20anno/Process/Final/project%204/lab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"/>
      <sheetName val="no2"/>
      <sheetName val="metano"/>
      <sheetName val="Acqua"/>
      <sheetName val="etano"/>
      <sheetName val="Comparison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5317-B7FE-4111-AF70-1B976D5D3B81}" name="Tabella333" displayName="Tabella333" ref="A1:H2" totalsRowShown="0" headerRowDxfId="201" dataDxfId="200">
  <autoFilter ref="A1:H2" xr:uid="{5B835317-B7FE-4111-AF70-1B976D5D3B81}"/>
  <tableColumns count="8">
    <tableColumn id="1" xr3:uid="{9D3EFA42-923B-4099-8E2E-E043D160A4F0}" name="Pi Greco" dataDxfId="199">
      <calculatedColumnFormula>PI()</calculatedColumnFormula>
    </tableColumn>
    <tableColumn id="2" xr3:uid="{3B268FCF-593B-4109-8A4F-148DD87104B1}" name="Massa [kg]" dataDxfId="198">
      <calculatedColumnFormula>1.66E-27*Tabella333[[#This Row],[Massa '[g/mol']]]</calculatedColumnFormula>
    </tableColumn>
    <tableColumn id="3" xr3:uid="{00278E26-7BD1-4CBE-BFC1-29F08CD6C29C}" name="Boltzmann k" dataDxfId="197"/>
    <tableColumn id="4" xr3:uid="{70A5D2B0-23C4-4D96-B5B6-21A8A042BDBA}" name="Planck h" dataDxfId="196"/>
    <tableColumn id="5" xr3:uid="{A7EF0354-D303-429C-8F6C-387BC7128B29}" name="Rydberg R" dataDxfId="195"/>
    <tableColumn id="6" xr3:uid="{668E7075-4CF4-442F-A9AA-83837FC698B2}" name="Avogadro N" dataDxfId="194"/>
    <tableColumn id="7" xr3:uid="{4E2AAF27-D306-40C1-A414-0D540359E171}" name="Massa [g/mol]" dataDxfId="193"/>
    <tableColumn id="8" xr3:uid="{5E4785F3-ABED-493C-918E-7C6606C6B1A6}" name="N" dataDxfId="19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7361FC-EC50-4345-9EB6-067EC30B7090}" name="Tabella636" displayName="Tabella636" ref="A8:C9" totalsRowShown="0" headerRowDxfId="191" dataDxfId="190">
  <autoFilter ref="A8:C9" xr:uid="{7B7361FC-EC50-4345-9EB6-067EC30B7090}"/>
  <tableColumns count="3">
    <tableColumn id="1" xr3:uid="{5F1012F0-F23A-48AD-B6D1-6EA2190062C2}" name="Simmetria" dataDxfId="189"/>
    <tableColumn id="2" xr3:uid="{99EF0824-7AB2-4AC3-B573-DA366215047D}" name="Gel" dataDxfId="188"/>
    <tableColumn id="3" xr3:uid="{47EFD5F5-F2F0-4C85-8794-FD851D80F518}" name="Eel" dataDxfId="187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3A3505-5909-47C1-BCEC-4F561354475E}" name="Tabella938" displayName="Tabella938" ref="B12:M13" totalsRowShown="0" headerRowDxfId="186" dataDxfId="185">
  <autoFilter ref="B12:M13" xr:uid="{983A3505-5909-47C1-BCEC-4F561354475E}"/>
  <tableColumns count="12">
    <tableColumn id="1" xr3:uid="{EE0D9762-879E-4B74-BFB7-B6F7D436B811}" name="Frequenza1" dataDxfId="184">
      <calculatedColumnFormula array="1">Tabella93147[Frequenza1]*29979300000</calculatedColumnFormula>
    </tableColumn>
    <tableColumn id="2" xr3:uid="{385CABD5-BE98-412B-BF7E-FF08625B49DF}" name="Frequenza2" dataDxfId="183">
      <calculatedColumnFormula array="1">Tabella93147[Frequenza2]*29979300000</calculatedColumnFormula>
    </tableColumn>
    <tableColumn id="3" xr3:uid="{FB776801-149B-49A5-804B-12E1CF611FE8}" name="Frequenza3" dataDxfId="182">
      <calculatedColumnFormula array="1">Tabella93147[Frequenza3]*29979300000</calculatedColumnFormula>
    </tableColumn>
    <tableColumn id="4" xr3:uid="{129D2E06-6A1C-4706-B78F-905BDB1F4CF5}" name="Frequenza4" dataDxfId="181">
      <calculatedColumnFormula array="1">Tabella93147[Frequenza4]*29979300000</calculatedColumnFormula>
    </tableColumn>
    <tableColumn id="5" xr3:uid="{C688809A-3584-4F66-88C9-B5B3CF637C15}" name="Frequenza5" dataDxfId="180">
      <calculatedColumnFormula array="1">Tabella93147[Frequenza5]*29979300000</calculatedColumnFormula>
    </tableColumn>
    <tableColumn id="6" xr3:uid="{03B39322-9C5F-4043-BDF2-D099A0AF2DB7}" name="Frequenza6" dataDxfId="179">
      <calculatedColumnFormula array="1">Tabella93147[Frequenza6]*29979300000</calculatedColumnFormula>
    </tableColumn>
    <tableColumn id="7" xr3:uid="{D78F5BA7-487F-466D-A24E-51D0CCBED333}" name="Frequenza7" dataDxfId="178">
      <calculatedColumnFormula array="1">Tabella93147[Frequenza7]*29979300000</calculatedColumnFormula>
    </tableColumn>
    <tableColumn id="8" xr3:uid="{C3E36118-7886-4ABF-A88E-4124EB737A30}" name="Frequenza8" dataDxfId="177">
      <calculatedColumnFormula array="1">Tabella93147[Frequenza8]*29979300000</calculatedColumnFormula>
    </tableColumn>
    <tableColumn id="9" xr3:uid="{9701014D-6024-4B09-A08C-D1070051166B}" name="Frequenza9" dataDxfId="176">
      <calculatedColumnFormula array="1">Tabella93147[Frequenza9]*29979300000</calculatedColumnFormula>
    </tableColumn>
    <tableColumn id="10" xr3:uid="{6FFE6EC7-24D4-4674-9F67-9075191D9C1D}" name="Frequenza10" dataDxfId="175">
      <calculatedColumnFormula array="1">Tabella93147[Frequenza10]*29979300000</calculatedColumnFormula>
    </tableColumn>
    <tableColumn id="11" xr3:uid="{0D4BF6DB-D0EF-4FC7-A270-434E0C50F752}" name="Frequenza11" dataDxfId="174">
      <calculatedColumnFormula array="1">Tabella93147[Frequenza11]*29979300000</calculatedColumnFormula>
    </tableColumn>
    <tableColumn id="12" xr3:uid="{24BE0DE1-7001-4638-87D4-AAAEFBE3C883}" name="Frequenza12" dataDxfId="173">
      <calculatedColumnFormula array="1">Tabella93147[Frequenza12]*29979300000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7682E3-081B-4A90-B9B2-2B80A834D105}" name="Tabella93147" displayName="Tabella93147" ref="B10:M11" totalsRowShown="0" headerRowDxfId="172" dataDxfId="171">
  <autoFilter ref="B10:M11" xr:uid="{447682E3-081B-4A90-B9B2-2B80A834D105}"/>
  <tableColumns count="12">
    <tableColumn id="1" xr3:uid="{F91A941F-E0BC-448C-9376-4FA3DE6188EC}" name="Frequenza1" dataDxfId="170"/>
    <tableColumn id="2" xr3:uid="{EB394DCF-E8B1-499B-AC11-EB2E4E47EB2C}" name="Frequenza2" dataDxfId="169"/>
    <tableColumn id="3" xr3:uid="{0BD7C636-665C-4493-8E79-7B3010E5ACE3}" name="Frequenza3" dataDxfId="168"/>
    <tableColumn id="4" xr3:uid="{05B2CABD-2796-43C5-A5CC-9FE2789D7782}" name="Frequenza4" dataDxfId="167"/>
    <tableColumn id="5" xr3:uid="{EBEABE6E-3803-44AB-BBA9-8A26701C5781}" name="Frequenza5" dataDxfId="166"/>
    <tableColumn id="6" xr3:uid="{51229022-D581-46F6-82D8-AEF64E662DBE}" name="Frequenza6" dataDxfId="165"/>
    <tableColumn id="7" xr3:uid="{5269C5BA-E4FB-4B8E-8389-28CF16C0EAB7}" name="Frequenza7" dataDxfId="164"/>
    <tableColumn id="8" xr3:uid="{79160879-4011-4473-B4B7-0FB64801E24A}" name="Frequenza8" dataDxfId="163"/>
    <tableColumn id="9" xr3:uid="{F38A416F-0782-4AE1-84E9-AFFED351C2FC}" name="Frequenza9" dataDxfId="162"/>
    <tableColumn id="10" xr3:uid="{240A0303-512F-4C65-B03B-2688C50AA579}" name="Frequenza10" dataDxfId="161"/>
    <tableColumn id="11" xr3:uid="{0460CC2A-7D55-4D94-949C-7ABFA63D5AFB}" name="Frequenza11" dataDxfId="160"/>
    <tableColumn id="12" xr3:uid="{7A38E0EA-647C-46A6-8FDC-D5CBE1FFD808}" name="Frequenza12" dataDxfId="15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E9E067B-C50C-4FBF-BFD7-88D6E43592CB}" name="Tabella83715" displayName="Tabella83715" ref="A14:M32" totalsRowShown="0" headerRowDxfId="79" dataDxfId="78">
  <autoFilter ref="A14:M32" xr:uid="{4E9E067B-C50C-4FBF-BFD7-88D6E43592CB}"/>
  <tableColumns count="13">
    <tableColumn id="1" xr3:uid="{584DF553-11F5-4713-B974-00679BFC6426}" name="Temperatura" dataDxfId="77"/>
    <tableColumn id="2" xr3:uid="{4AC9A639-DC64-4BAF-8BB3-60AC2DEF04BF}" name="Qvib1" dataDxfId="26">
      <calculatedColumnFormula array="1">1/(1-EXP(-(Tabella333[Planck h]*Tabella938[Frequenza1])/(Tabella333[Boltzmann k]*Tabella83715[[#This Row],[Temperatura]])))</calculatedColumnFormula>
    </tableColumn>
    <tableColumn id="3" xr3:uid="{1DD94161-12E0-4D71-882E-7873DE913067}" name="Qvib2" dataDxfId="25">
      <calculatedColumnFormula array="1">1/(1-EXP(-(Tabella333[Planck h]*Tabella938[Frequenza2])/(Tabella333[Boltzmann k]*Tabella83715[[#This Row],[Temperatura]])))</calculatedColumnFormula>
    </tableColumn>
    <tableColumn id="4" xr3:uid="{518F0888-F4C5-45B2-824B-8B49AFE9BCD8}" name="Qvib3" dataDxfId="24">
      <calculatedColumnFormula array="1">1/(1-EXP(-(Tabella333[Planck h]*Tabella938[Frequenza3])/(Tabella333[Boltzmann k]*Tabella83715[[#This Row],[Temperatura]])))</calculatedColumnFormula>
    </tableColumn>
    <tableColumn id="5" xr3:uid="{5FCA8572-2729-4067-91C4-41D8A1F0F32A}" name="Qvib4" dataDxfId="23">
      <calculatedColumnFormula array="1">1/(1-EXP(-(Tabella333[Planck h]*Tabella938[Frequenza4])/(Tabella333[Boltzmann k]*Tabella83715[[#This Row],[Temperatura]])))</calculatedColumnFormula>
    </tableColumn>
    <tableColumn id="6" xr3:uid="{A0A6C19E-751A-4748-9BB0-F9D35B1774FE}" name="Qvib5" dataDxfId="22">
      <calculatedColumnFormula array="1">1/(1-EXP(-(Tabella333[Planck h]*Tabella938[Frequenza5])/(Tabella333[Boltzmann k]*Tabella83715[[#This Row],[Temperatura]])))</calculatedColumnFormula>
    </tableColumn>
    <tableColumn id="7" xr3:uid="{B0D238CD-60DB-4E02-B18D-60E205038B15}" name="Qvib6" dataDxfId="21">
      <calculatedColumnFormula array="1">1/(1-EXP(-(Tabella333[Planck h]*Tabella938[Frequenza6])/(Tabella333[Boltzmann k]*Tabella83715[[#This Row],[Temperatura]])))</calculatedColumnFormula>
    </tableColumn>
    <tableColumn id="8" xr3:uid="{014E99C2-0237-4FD4-97CB-EB13E0FAA36E}" name="Qvib7" dataDxfId="20">
      <calculatedColumnFormula array="1">1/(1-EXP(-(Tabella333[Planck h]*Tabella938[Frequenza7])/(Tabella333[Boltzmann k]*Tabella83715[[#This Row],[Temperatura]])))</calculatedColumnFormula>
    </tableColumn>
    <tableColumn id="9" xr3:uid="{927CAAEA-1571-4432-AC34-1B53D6F4AE42}" name="Qvib8" dataDxfId="19">
      <calculatedColumnFormula array="1">1/(1-EXP(-(Tabella333[Planck h]*Tabella938[Frequenza8])/(Tabella333[Boltzmann k]*Tabella83715[[#This Row],[Temperatura]])))</calculatedColumnFormula>
    </tableColumn>
    <tableColumn id="10" xr3:uid="{3356C4EE-B4CD-4429-8578-29BC024174C9}" name="Qvib9" dataDxfId="18">
      <calculatedColumnFormula array="1">1/(1-EXP(-(Tabella333[Planck h]*Tabella938[Frequenza9])/(Tabella333[Boltzmann k]*Tabella83715[[#This Row],[Temperatura]])))</calculatedColumnFormula>
    </tableColumn>
    <tableColumn id="13" xr3:uid="{DD7CB515-4FEE-4D66-BC5E-3F071ACB4C68}" name="Qvib10" dataDxfId="17">
      <calculatedColumnFormula array="1">1/(1-EXP(-(Tabella333[Planck h]*Tabella938[Frequenza10])/(Tabella333[Boltzmann k]*Tabella83715[[#This Row],[Temperatura]])))</calculatedColumnFormula>
    </tableColumn>
    <tableColumn id="11" xr3:uid="{54A012D9-061B-4010-98A2-63B41C68EC75}" name="Qvib11" dataDxfId="16">
      <calculatedColumnFormula array="1">1/(1-EXP(-(Tabella333[Planck h]*Tabella938[Frequenza11])/(Tabella333[Boltzmann k]*Tabella83715[[#This Row],[Temperatura]])))</calculatedColumnFormula>
    </tableColumn>
    <tableColumn id="12" xr3:uid="{B41CBDD6-FAF3-4FCD-BB29-D9B38748E6AE}" name="Qvib12" dataDxfId="15">
      <calculatedColumnFormula array="1">1/(1-EXP(-(Tabella333[Planck h]*Tabella938[Frequenza12])/(Tabella333[Boltzmann k]*Tabella83715[[#This Row],[Temperatura]])))</calculatedColumnFormula>
    </tableColumn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8D2E47-1161-4C09-A279-A39B5854697E}" name="Tabella6365" displayName="Tabella6365" ref="A7:B8" totalsRowShown="0">
  <autoFilter ref="A7:B8" xr:uid="{018D2E47-1161-4C09-A279-A39B5854697E}"/>
  <tableColumns count="2">
    <tableColumn id="2" xr3:uid="{C304D6DB-996B-488F-9A52-FB010A99E403}" name="Gel"/>
    <tableColumn id="3" xr3:uid="{7F9D7568-25DA-47A2-A625-D80086A4BD8D}" name="Eel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51BE13-1712-4EAC-A8A5-DA75F6866F4E}" name="Tabella8376" displayName="Tabella8376" ref="A13:C31" totalsRowShown="0" dataDxfId="158">
  <autoFilter ref="A13:C31" xr:uid="{8D51BE13-1712-4EAC-A8A5-DA75F6866F4E}"/>
  <tableColumns count="3">
    <tableColumn id="1" xr3:uid="{BF581C94-81E1-4DAF-8724-E3AAF4CD4171}" name="Temperatura" dataDxfId="157"/>
    <tableColumn id="2" xr3:uid="{9BFC159F-D192-4324-9E56-98CB02FD28BA}" name="Qvib1" dataDxfId="156"/>
    <tableColumn id="13" xr3:uid="{0A6CCB9C-D9FB-4F34-B1C8-C7E3F51F378F}" name="Qtot" dataDxfId="155">
      <calculatedColumnFormula>PRODUCT(#REF!)</calculatedColumnFormula>
    </tableColumn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EA50CC9-B632-4E3F-9026-D822FCF056CC}" name="Tabella9387" displayName="Tabella9387" ref="B11:B12" totalsRowShown="0">
  <autoFilter ref="B11:B12" xr:uid="{0EA50CC9-B632-4E3F-9026-D822FCF056CC}"/>
  <tableColumns count="1">
    <tableColumn id="1" xr3:uid="{BF575DAE-6CDA-45B3-B96A-B1703E2CD532}" name="Frequenza1">
      <calculatedColumnFormula array="1">Tabella9314716[Frequenza1]*29979300000</calculatedColumnFormula>
    </tableColumn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A673BD8-62D8-441E-93C2-D619855AFC3E}" name="Tabella9314716" displayName="Tabella9314716" ref="B9:B10" totalsRowShown="0">
  <autoFilter ref="B9:B10" xr:uid="{7A673BD8-62D8-441E-93C2-D619855AFC3E}"/>
  <tableColumns count="1">
    <tableColumn id="1" xr3:uid="{6BD18123-8876-4665-A268-FE6EBE508584}" name="Frequenza1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F1C7B52-366E-40A1-B692-9606AC723F63}" name="Tabella33322" displayName="Tabella33322" ref="A1:H2" totalsRowShown="0" headerRowDxfId="76" dataDxfId="75">
  <autoFilter ref="A1:H2" xr:uid="{FF1C7B52-366E-40A1-B692-9606AC723F63}"/>
  <tableColumns count="8">
    <tableColumn id="1" xr3:uid="{EC9CD479-FCE5-419E-8D39-AABB89688AEF}" name="Pi Greco" dataDxfId="74">
      <calculatedColumnFormula>PI()</calculatedColumnFormula>
    </tableColumn>
    <tableColumn id="2" xr3:uid="{B02359E6-C058-44FA-A074-ED4E26930BBA}" name="Massa [kg]" dataDxfId="73">
      <calculatedColumnFormula>1.66E-27*Tabella33322[[#This Row],[Massa '[g/mol']]]</calculatedColumnFormula>
    </tableColumn>
    <tableColumn id="3" xr3:uid="{02CE389C-8CD9-477F-91AB-431D9BDD4E0A}" name="Boltzmann k" dataDxfId="72"/>
    <tableColumn id="4" xr3:uid="{14F84E62-6E01-49E9-9B6E-9C8FF2BC0BB3}" name="Planck h" dataDxfId="71"/>
    <tableColumn id="5" xr3:uid="{C9DAC508-C4C6-4238-ADAF-F8F1860BCC2E}" name="Rydberg R" dataDxfId="70"/>
    <tableColumn id="6" xr3:uid="{AABE103E-8ED1-4195-8D34-193A4D0ABBE6}" name="Avogadro N" dataDxfId="69"/>
    <tableColumn id="7" xr3:uid="{B83F7C9A-1CD2-4E6B-A9ED-8BF6FC6099F8}" name="Massa [g/mol]" dataDxfId="68"/>
    <tableColumn id="8" xr3:uid="{6732A946-861F-42C9-BA09-BCADB8B30845}" name="N" dataDxfId="67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EB9CF46-8730-45B3-B48A-579108F3BA98}" name="Tabella63623" displayName="Tabella63623" ref="A8:C9" totalsRowShown="0" headerRowDxfId="66" dataDxfId="65">
  <autoFilter ref="A8:C9" xr:uid="{FEB9CF46-8730-45B3-B48A-579108F3BA98}"/>
  <tableColumns count="3">
    <tableColumn id="1" xr3:uid="{4BB7BE48-9B58-48F1-9D20-C8A1BB13E90D}" name="Simmetria" dataDxfId="64"/>
    <tableColumn id="2" xr3:uid="{49D757D7-9DC4-49A5-9CA7-B1ABE52EC767}" name="Gel" dataDxfId="63"/>
    <tableColumn id="3" xr3:uid="{D76AEF77-1328-4C51-A44C-BC161416B545}" name="Eel" dataDxfId="62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8A578B6-EF2C-425D-84FD-1B4F9697F17F}" name="Tabella837" displayName="Tabella837" ref="A14:K32" totalsRowShown="0" headerRowDxfId="61" dataDxfId="60">
  <autoFilter ref="A14:K32" xr:uid="{E8A578B6-EF2C-425D-84FD-1B4F9697F17F}"/>
  <tableColumns count="11">
    <tableColumn id="1" xr3:uid="{A9BD26D3-C561-47C0-AB0D-D08D3EBCF84A}" name="Temperatura" dataDxfId="59"/>
    <tableColumn id="2" xr3:uid="{B38EB1D9-55B8-41B4-98A1-54E7F749AEE8}" name="Qvib1" dataDxfId="35">
      <calculatedColumnFormula array="1">1/(1-EXP(-(Tabella33322[Planck h]*Tabella93825[Frequenza1])/(Tabella33322[Boltzmann k]*Tabella837[[#This Row],[Temperatura]])))</calculatedColumnFormula>
    </tableColumn>
    <tableColumn id="3" xr3:uid="{1B408A3C-A4D6-461D-BA9D-5E0760A79A4E}" name="Qvib2" dataDxfId="34">
      <calculatedColumnFormula array="1">1/(1-EXP(-(Tabella33322[Planck h]*Tabella93825[Frequenza2])/(Tabella33322[Boltzmann k]*Tabella837[[#This Row],[Temperatura]])))</calculatedColumnFormula>
    </tableColumn>
    <tableColumn id="4" xr3:uid="{A0CC142C-0392-4AB4-89D5-388FF357F6DA}" name="Qvib3" dataDxfId="33">
      <calculatedColumnFormula array="1">1/(1-EXP(-(Tabella33322[Planck h]*Tabella93825[Frequenza3])/(Tabella33322[Boltzmann k]*Tabella837[[#This Row],[Temperatura]])))</calculatedColumnFormula>
    </tableColumn>
    <tableColumn id="5" xr3:uid="{67B0859B-2324-411E-8325-F7DBFF0EE40E}" name="Qvib4" dataDxfId="32">
      <calculatedColumnFormula array="1">1/(1-EXP(-(Tabella33322[Planck h]*Tabella93825[Frequenza4])/(Tabella33322[Boltzmann k]*Tabella837[[#This Row],[Temperatura]])))</calculatedColumnFormula>
    </tableColumn>
    <tableColumn id="6" xr3:uid="{D7BE8EBE-23CD-4BC8-B746-893DE9F4DDD4}" name="Qvib5" dataDxfId="31">
      <calculatedColumnFormula array="1">1/(1-EXP(-(Tabella33322[Planck h]*Tabella93825[Frequenza5])/(Tabella33322[Boltzmann k]*Tabella837[[#This Row],[Temperatura]])))</calculatedColumnFormula>
    </tableColumn>
    <tableColumn id="7" xr3:uid="{EC4A1964-EE46-4E45-ADC1-B322D8E8C7E7}" name="Qvib6" dataDxfId="30">
      <calculatedColumnFormula array="1">1/(1-EXP(-(Tabella33322[Planck h]*Tabella93825[Frequenza6])/(Tabella33322[Boltzmann k]*Tabella837[[#This Row],[Temperatura]])))</calculatedColumnFormula>
    </tableColumn>
    <tableColumn id="8" xr3:uid="{B58132A5-9B9C-476D-A0B3-B7BFD4022184}" name="Qvib7" dataDxfId="29">
      <calculatedColumnFormula array="1">1/(1-EXP(-(Tabella33322[Planck h]*Tabella93825[Frequenza7])/(Tabella33322[Boltzmann k]*Tabella837[[#This Row],[Temperatura]])))</calculatedColumnFormula>
    </tableColumn>
    <tableColumn id="9" xr3:uid="{1F04EFD8-D106-419E-9F5F-DB6FC4DED399}" name="Qvib8" dataDxfId="28">
      <calculatedColumnFormula array="1">1/(1-EXP(-(Tabella33322[Planck h]*Tabella93825[Frequenza8])/(Tabella33322[Boltzmann k]*Tabella837[[#This Row],[Temperatura]])))</calculatedColumnFormula>
    </tableColumn>
    <tableColumn id="10" xr3:uid="{FE595533-D6F9-4838-AA57-34F49D292ECA}" name="Qvib9" dataDxfId="27">
      <calculatedColumnFormula array="1">1/(1-EXP(-(Tabella33322[Planck h]*Tabella93825[Frequenza9])/(Tabella33322[Boltzmann k]*Tabella837[[#This Row],[Temperatura]])))</calculatedColumnFormula>
    </tableColumn>
    <tableColumn id="13" xr3:uid="{E3D02F89-92A7-4453-A4E3-8650CB1CDFF9}" name="Qtot" dataDxfId="58">
      <calculatedColumnFormula>PRODUCT(Tabella837[[#This Row],[Qvib1]:[Qvib9]])</calculatedColumnFormula>
    </tableColumn>
  </tableColumns>
  <tableStyleInfo name="TableStyleLight1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5453993-5E3B-4992-9766-7BADCCFB1D07}" name="Tabella93825" displayName="Tabella93825" ref="B12:J13" totalsRowShown="0" headerRowDxfId="57" dataDxfId="56">
  <autoFilter ref="B12:J13" xr:uid="{B5453993-5E3B-4992-9766-7BADCCFB1D07}"/>
  <tableColumns count="9">
    <tableColumn id="1" xr3:uid="{FB2CFAFA-90A3-4F4A-970A-DAE355DD50D6}" name="Frequenza1" dataDxfId="55">
      <calculatedColumnFormula array="1">Tabella9314726[Frequenza1]*29979300000</calculatedColumnFormula>
    </tableColumn>
    <tableColumn id="2" xr3:uid="{37F8EC2A-D539-452B-B7CE-64E4810BE9F4}" name="Frequenza2" dataDxfId="54">
      <calculatedColumnFormula array="1">Tabella9314726[Frequenza2]*29979300000</calculatedColumnFormula>
    </tableColumn>
    <tableColumn id="3" xr3:uid="{48AA5C3F-29C8-4E2F-8B90-C38A835FAE6B}" name="Frequenza3" dataDxfId="53">
      <calculatedColumnFormula array="1">Tabella9314726[Frequenza3]*29979300000</calculatedColumnFormula>
    </tableColumn>
    <tableColumn id="4" xr3:uid="{8C075161-CD64-449C-BE99-A2F3682FB4B8}" name="Frequenza4" dataDxfId="52">
      <calculatedColumnFormula array="1">Tabella9314726[Frequenza4]*29979300000</calculatedColumnFormula>
    </tableColumn>
    <tableColumn id="5" xr3:uid="{A4B542D0-0EAC-4080-AFD4-76DB959B69A7}" name="Frequenza5" dataDxfId="51">
      <calculatedColumnFormula array="1">Tabella9314726[Frequenza5]*29979300000</calculatedColumnFormula>
    </tableColumn>
    <tableColumn id="6" xr3:uid="{B1AA72AF-ACEF-410F-B77C-E6E53F72372F}" name="Frequenza6" dataDxfId="50">
      <calculatedColumnFormula array="1">Tabella9314726[Frequenza6]*29979300000</calculatedColumnFormula>
    </tableColumn>
    <tableColumn id="7" xr3:uid="{69F1E16B-BA38-45EA-AFDC-489134894CDA}" name="Frequenza7" dataDxfId="49">
      <calculatedColumnFormula array="1">Tabella9314726[Frequenza7]*29979300000</calculatedColumnFormula>
    </tableColumn>
    <tableColumn id="8" xr3:uid="{2286B02F-C967-4B74-9094-9B31EF0AD376}" name="Frequenza8" dataDxfId="48">
      <calculatedColumnFormula array="1">Tabella9314726[Frequenza8]*29979300000</calculatedColumnFormula>
    </tableColumn>
    <tableColumn id="9" xr3:uid="{1CAC60ED-0877-4ABD-8F13-89E1928F66B9}" name="Frequenza9" dataDxfId="47">
      <calculatedColumnFormula array="1">Tabella9314726[Frequenza9]*29979300000</calculatedColumnFormula>
    </tableColumn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7CEF2FF-7CAF-447A-8498-9EBE731515E3}" name="Tabella9314726" displayName="Tabella9314726" ref="B10:J11" totalsRowShown="0" headerRowDxfId="46" dataDxfId="45">
  <autoFilter ref="B10:J11" xr:uid="{87CEF2FF-7CAF-447A-8498-9EBE731515E3}"/>
  <tableColumns count="9">
    <tableColumn id="1" xr3:uid="{8847B024-332C-48DF-908A-661A43FF166D}" name="Frequenza1" dataDxfId="44"/>
    <tableColumn id="2" xr3:uid="{A010CFA1-F5C8-465E-BAB0-D35278818719}" name="Frequenza2" dataDxfId="43"/>
    <tableColumn id="3" xr3:uid="{C3993953-3FBB-4F95-950A-E92123DDB635}" name="Frequenza3" dataDxfId="42"/>
    <tableColumn id="4" xr3:uid="{734B0C47-1353-4CED-B736-C7DDF753893C}" name="Frequenza4" dataDxfId="41"/>
    <tableColumn id="5" xr3:uid="{3024DD50-47B8-4B23-A470-0211D6DAE76F}" name="Frequenza5" dataDxfId="40"/>
    <tableColumn id="6" xr3:uid="{B0309B78-2250-42D4-A00A-564A23EDAA0F}" name="Frequenza6" dataDxfId="39"/>
    <tableColumn id="7" xr3:uid="{01C2927B-EBD3-4CE9-83F2-AC447B8333A3}" name="Frequenza7" dataDxfId="38"/>
    <tableColumn id="8" xr3:uid="{9C7C5C63-D8FD-4D72-AE45-12AF2127163C}" name="Frequenza8" dataDxfId="37"/>
    <tableColumn id="9" xr3:uid="{C70F3DAA-5657-4847-BAF8-3F5A9C9AF4B5}" name="Frequenza9" dataDxfId="36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721F6CD-AA9D-4B8E-9BD9-D334085D7D57}" name="Tabella33317" displayName="Tabella33317" ref="A1:H2" totalsRowShown="0" headerRowDxfId="154" dataDxfId="153">
  <autoFilter ref="A1:H2" xr:uid="{1721F6CD-AA9D-4B8E-9BD9-D334085D7D57}"/>
  <tableColumns count="8">
    <tableColumn id="1" xr3:uid="{58FCA508-19F5-4E4B-A5AC-F564F9130662}" name="Pi Greco" dataDxfId="152">
      <calculatedColumnFormula>PI()</calculatedColumnFormula>
    </tableColumn>
    <tableColumn id="2" xr3:uid="{A68F0DFD-5C6F-45D2-9D34-FD23C6211421}" name="Massa [kg]" dataDxfId="151">
      <calculatedColumnFormula>1.66E-27*Tabella33317[[#This Row],[Massa '[g/mol']]]</calculatedColumnFormula>
    </tableColumn>
    <tableColumn id="3" xr3:uid="{E6DDCC9B-235F-48AA-858E-321B89751596}" name="Boltzmann k" dataDxfId="150"/>
    <tableColumn id="4" xr3:uid="{4A4EAFFB-A43E-48F2-8636-1D6B4AE84C82}" name="Planck h" dataDxfId="149"/>
    <tableColumn id="5" xr3:uid="{4242CFC7-7660-47DE-9D4F-E4842FEDD82A}" name="Rydberg R" dataDxfId="148"/>
    <tableColumn id="6" xr3:uid="{3A109CF5-F413-40D2-9172-9C45F1AB0D0A}" name="Avogadro N" dataDxfId="147"/>
    <tableColumn id="7" xr3:uid="{8F7FB109-8AA9-496C-9EC9-4D4178D0DFDA}" name="Massa [g/mol]" dataDxfId="146"/>
    <tableColumn id="8" xr3:uid="{9ED72F5C-75E4-409A-8FFE-394D81E0EB46}" name="N" dataDxfId="145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D833A30-F61C-4ABC-BB9E-F7C580C63E21}" name="Tabella63618" displayName="Tabella63618" ref="A8:C9" totalsRowShown="0" headerRowDxfId="144" dataDxfId="143">
  <autoFilter ref="A8:C9" xr:uid="{5D833A30-F61C-4ABC-BB9E-F7C580C63E21}"/>
  <tableColumns count="3">
    <tableColumn id="1" xr3:uid="{191AE0D2-F53A-4459-AA62-729FC1128CBC}" name="Simmetria" dataDxfId="142"/>
    <tableColumn id="2" xr3:uid="{FE603C89-B7B3-491D-9E01-6202E06D5781}" name="Gel" dataDxfId="141"/>
    <tableColumn id="3" xr3:uid="{1C71A31C-F367-4947-B1F9-758B07FAF78B}" name="Eel" dataDxfId="14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8C0B89D-2213-47B3-9495-61489F2D40C4}" name="Tabella83719" displayName="Tabella83719" ref="A14:J32" totalsRowShown="0" headerRowDxfId="139" dataDxfId="138">
  <autoFilter ref="A14:J32" xr:uid="{E8C0B89D-2213-47B3-9495-61489F2D40C4}"/>
  <tableColumns count="10">
    <tableColumn id="1" xr3:uid="{F895CFDD-F5D7-4117-B39F-E7141F2BB7CD}" name="Temperatura" dataDxfId="137"/>
    <tableColumn id="2" xr3:uid="{AE17A643-43D3-4D70-9BF3-32EDCAA66C51}" name="Qvib1" dataDxfId="8">
      <calculatedColumnFormula array="1">1/(1-EXP(-(Tabella33317[Planck h]*Tabella93820[Frequenza1])/(Tabella33317[Boltzmann k]*Tabella83719[[#This Row],[Temperatura]])))</calculatedColumnFormula>
    </tableColumn>
    <tableColumn id="3" xr3:uid="{9324BA0A-8611-4053-B81E-09657D2AA740}" name="Qvib2" dataDxfId="7">
      <calculatedColumnFormula array="1">1/(1-EXP(-(Tabella33317[Planck h]*Tabella93820[Frequenza2])/(Tabella33317[Boltzmann k]*Tabella83719[[#This Row],[Temperatura]])))</calculatedColumnFormula>
    </tableColumn>
    <tableColumn id="4" xr3:uid="{B2A4D439-3FF0-47DE-B545-922A07ECAACE}" name="Qvib3" dataDxfId="6">
      <calculatedColumnFormula array="1">1/(1-EXP(-(Tabella33317[Planck h]*Tabella93820[Frequenza3])/(Tabella33317[Boltzmann k]*Tabella83719[[#This Row],[Temperatura]])))</calculatedColumnFormula>
    </tableColumn>
    <tableColumn id="5" xr3:uid="{1E1968E6-5022-481A-935C-1734CABF556C}" name="Qvib4" dataDxfId="5">
      <calculatedColumnFormula array="1">1/(1-EXP(-(Tabella33317[Planck h]*Tabella93820[Frequenza4])/(Tabella33317[Boltzmann k]*Tabella83719[[#This Row],[Temperatura]])))</calculatedColumnFormula>
    </tableColumn>
    <tableColumn id="6" xr3:uid="{4E8C703B-2D07-42C9-88EC-7DA4012FAC21}" name="Qvib5" dataDxfId="4">
      <calculatedColumnFormula array="1">1/(1-EXP(-(Tabella33317[Planck h]*Tabella93820[Frequenza5])/(Tabella33317[Boltzmann k]*Tabella83719[[#This Row],[Temperatura]])))</calculatedColumnFormula>
    </tableColumn>
    <tableColumn id="7" xr3:uid="{D3C8F9DC-E0B4-459A-8A44-96E1F538DC48}" name="Qvib6" dataDxfId="3">
      <calculatedColumnFormula array="1">1/(1-EXP(-(Tabella33317[Planck h]*Tabella93820[Frequenza6])/(Tabella33317[Boltzmann k]*Tabella83719[[#This Row],[Temperatura]])))</calculatedColumnFormula>
    </tableColumn>
    <tableColumn id="8" xr3:uid="{D84E72C7-8622-4BB5-8895-0D485CF819F9}" name="Qvib7" dataDxfId="2">
      <calculatedColumnFormula array="1">1/(1-EXP(-(Tabella33317[Planck h]*Tabella93820[Frequenza7])/(Tabella33317[Boltzmann k]*Tabella83719[[#This Row],[Temperatura]])))</calculatedColumnFormula>
    </tableColumn>
    <tableColumn id="9" xr3:uid="{C74AE25A-2B17-4E6F-BA7D-BE901032717C}" name="Qvib8" dataDxfId="1">
      <calculatedColumnFormula array="1">1/(1-EXP(-(Tabella33317[Planck h]*Tabella93820[Frequenza8])/(Tabella33317[Boltzmann k]*Tabella83719[[#This Row],[Temperatura]])))</calculatedColumnFormula>
    </tableColumn>
    <tableColumn id="10" xr3:uid="{B87DEC06-0A9D-4211-B8C7-DF4ECEBFC579}" name="Qvib9" dataDxfId="0">
      <calculatedColumnFormula array="1">1/(1-EXP(-(Tabella33317[Planck h]*Tabella93820[Frequenza9])/(Tabella33317[Boltzmann k]*Tabella83719[[#This Row],[Temperatura]])))</calculatedColumnFormula>
    </tableColumn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434E0AD-D8D0-45CB-A067-016177468A8B}" name="Tabella93820" displayName="Tabella93820" ref="B12:J13" totalsRowShown="0" headerRowDxfId="136" dataDxfId="135">
  <autoFilter ref="B12:J13" xr:uid="{E434E0AD-D8D0-45CB-A067-016177468A8B}"/>
  <tableColumns count="9">
    <tableColumn id="1" xr3:uid="{55D2FED3-34D8-4C32-A58A-ADA5A86D3F45}" name="Frequenza1" dataDxfId="134">
      <calculatedColumnFormula array="1">Tabella9314721[Frequenza1]*29979300000</calculatedColumnFormula>
    </tableColumn>
    <tableColumn id="2" xr3:uid="{6F0BAE9C-1DC7-42DE-AA21-6B7558E1BF67}" name="Frequenza2" dataDxfId="133">
      <calculatedColumnFormula array="1">Tabella9314721[Frequenza2]*29979300000</calculatedColumnFormula>
    </tableColumn>
    <tableColumn id="3" xr3:uid="{C5AF979B-9DC3-467B-830D-E61AB45D61F1}" name="Frequenza3" dataDxfId="132">
      <calculatedColumnFormula array="1">Tabella9314721[Frequenza3]*29979300000</calculatedColumnFormula>
    </tableColumn>
    <tableColumn id="4" xr3:uid="{6442D838-A3AC-4F75-957D-84D25BB24AD5}" name="Frequenza4" dataDxfId="131">
      <calculatedColumnFormula array="1">Tabella9314721[Frequenza4]*29979300000</calculatedColumnFormula>
    </tableColumn>
    <tableColumn id="5" xr3:uid="{959C43E2-E947-4719-BACF-2AFE982C1D54}" name="Frequenza5" dataDxfId="130">
      <calculatedColumnFormula array="1">Tabella9314721[Frequenza5]*29979300000</calculatedColumnFormula>
    </tableColumn>
    <tableColumn id="6" xr3:uid="{03C6CAC4-42D8-442B-A330-8EEB6CBDD5B0}" name="Frequenza6" dataDxfId="129">
      <calculatedColumnFormula array="1">Tabella9314721[Frequenza6]*29979300000</calculatedColumnFormula>
    </tableColumn>
    <tableColumn id="7" xr3:uid="{DFBC16B3-F3B3-4854-B158-C2C2972605A5}" name="Frequenza7" dataDxfId="128">
      <calculatedColumnFormula array="1">Tabella9314721[Frequenza7]*29979300000</calculatedColumnFormula>
    </tableColumn>
    <tableColumn id="8" xr3:uid="{ADFD4A6B-934D-45DF-8388-36481CB845C8}" name="Frequenza8" dataDxfId="127">
      <calculatedColumnFormula array="1">Tabella9314721[Frequenza8]*29979300000</calculatedColumnFormula>
    </tableColumn>
    <tableColumn id="9" xr3:uid="{AEF7AA11-ACDA-415E-A3A5-8F8197A6DF18}" name="Frequenza9" dataDxfId="126">
      <calculatedColumnFormula array="1">Tabella9314721[Frequenza9]*29979300000</calculatedColumnFormula>
    </tableColumn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783DD9A-FD84-4927-9E4E-244A8DEEEF3C}" name="Tabella9314721" displayName="Tabella9314721" ref="B10:J11" totalsRowShown="0" headerRowDxfId="125" dataDxfId="124">
  <autoFilter ref="B10:J11" xr:uid="{0783DD9A-FD84-4927-9E4E-244A8DEEEF3C}"/>
  <tableColumns count="9">
    <tableColumn id="1" xr3:uid="{4074E264-1902-49F7-B6A3-BBB73CBC9EA2}" name="Frequenza1" dataDxfId="123"/>
    <tableColumn id="2" xr3:uid="{B0375BEF-82FB-43F5-A290-41B891ACB550}" name="Frequenza2" dataDxfId="122"/>
    <tableColumn id="3" xr3:uid="{38F24D92-EEFC-4E4B-99B0-79D15CB1FF5D}" name="Frequenza3" dataDxfId="121"/>
    <tableColumn id="4" xr3:uid="{1DA531A2-9655-448F-BE59-525A95F07F6E}" name="Frequenza4" dataDxfId="120"/>
    <tableColumn id="5" xr3:uid="{7ABB9FCB-9934-4CBB-9D2A-B2AF6716796E}" name="Frequenza5" dataDxfId="119"/>
    <tableColumn id="6" xr3:uid="{425943D3-185A-4894-9089-39561CEC0005}" name="Frequenza6" dataDxfId="118"/>
    <tableColumn id="7" xr3:uid="{61EB164C-3975-4EDA-9517-D334FE18D196}" name="Frequenza7" dataDxfId="117"/>
    <tableColumn id="8" xr3:uid="{57E57344-96C1-433F-99DD-232865CC0311}" name="Frequenza8" dataDxfId="116"/>
    <tableColumn id="9" xr3:uid="{B1D26A5F-A501-4C94-9476-60E72723D564}" name="Frequenza9" dataDxfId="115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3DA9F55-3028-4A79-ADA3-D7993414B6EC}" name="Tabella333178" displayName="Tabella333178" ref="A1:H2" totalsRowShown="0" headerRowDxfId="114" dataDxfId="113">
  <autoFilter ref="A1:H2" xr:uid="{83DA9F55-3028-4A79-ADA3-D7993414B6EC}"/>
  <tableColumns count="8">
    <tableColumn id="1" xr3:uid="{D5E9F033-D4FD-43FC-A793-5EE7976656EB}" name="Pi Greco" dataDxfId="112">
      <calculatedColumnFormula>PI()</calculatedColumnFormula>
    </tableColumn>
    <tableColumn id="2" xr3:uid="{165202B4-3786-409E-BE80-5E1ED3558022}" name="Massa [kg]" dataDxfId="111">
      <calculatedColumnFormula>1.66E-27*Tabella333178[[#This Row],[Massa '[g/mol']]]</calculatedColumnFormula>
    </tableColumn>
    <tableColumn id="3" xr3:uid="{2111AD05-3E00-4E1A-A281-2ACFAA32E9DC}" name="Boltzmann k" dataDxfId="110"/>
    <tableColumn id="4" xr3:uid="{7F6A2E1B-2493-46EC-85D5-E4057F3797B4}" name="Planck h" dataDxfId="109"/>
    <tableColumn id="5" xr3:uid="{A6A3876F-0BB4-4E08-A028-BF9CF8925739}" name="Rydberg R" dataDxfId="108"/>
    <tableColumn id="6" xr3:uid="{F03A4391-0E7E-4990-B02D-046B92440643}" name="Avogadro N" dataDxfId="107"/>
    <tableColumn id="7" xr3:uid="{BC6C2061-2802-4FEF-A2FF-37E93C60B2A0}" name="Massa [g/mol]" dataDxfId="106"/>
    <tableColumn id="8" xr3:uid="{9BFA1A35-FDAE-4117-ABCD-66A0B185DAFF}" name="N" dataDxfId="105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441EF6A-2451-44A0-8C4C-93892B61AB62}" name="Tabella6362033" displayName="Tabella6362033" ref="A8:C9" totalsRowShown="0" headerRowDxfId="104" dataDxfId="103">
  <autoFilter ref="A8:C9" xr:uid="{E441EF6A-2451-44A0-8C4C-93892B61AB62}"/>
  <tableColumns count="3">
    <tableColumn id="1" xr3:uid="{3E713987-ABBE-4F7D-9BBC-8E78A24A5712}" name="Simmetria" dataDxfId="102"/>
    <tableColumn id="2" xr3:uid="{C3954A03-C973-49A3-BEB9-AECBB52F1392}" name="Gel" dataDxfId="101"/>
    <tableColumn id="3" xr3:uid="{933D4340-2576-43AF-A966-8E54B391C90F}" name="Eel" dataDxfId="100"/>
  </tableColumns>
  <tableStyleInfo name="TableStyleLight13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1D91AE5-7909-4ACF-86F7-E19734E30DAC}" name="Tabella8372135" displayName="Tabella8372135" ref="A14:H32" totalsRowShown="0" headerRowDxfId="99" dataDxfId="98">
  <autoFilter ref="A14:H32" xr:uid="{E1D91AE5-7909-4ACF-86F7-E19734E30DAC}"/>
  <tableColumns count="8">
    <tableColumn id="1" xr3:uid="{9FBD407B-DE8A-4907-80CC-F2CD45F8D0D7}" name="Temperatura" dataDxfId="97"/>
    <tableColumn id="2" xr3:uid="{4A1E119F-352B-456D-B5CE-D7F86695C276}" name="Qvib1" dataDxfId="14">
      <calculatedColumnFormula array="1">1/(1-EXP(-(Tabella333178[Planck h]*Tabella9382236[Frequenza1])/(Tabella333178[Boltzmann k]*Tabella8372135[[#This Row],[Temperatura]])))</calculatedColumnFormula>
    </tableColumn>
    <tableColumn id="3" xr3:uid="{BF45C538-FB63-47D5-BABC-1F64CD100018}" name="Qvib2" dataDxfId="13">
      <calculatedColumnFormula array="1">1/(1-EXP(-(Tabella333178[Planck h]*Tabella9382236[Frequenza2])/(Tabella333178[Boltzmann k]*Tabella8372135[[#This Row],[Temperatura]])))</calculatedColumnFormula>
    </tableColumn>
    <tableColumn id="4" xr3:uid="{F4E2AD6A-E8BD-4EAF-8A7B-2EB6F329C31D}" name="Qvib3" dataDxfId="12">
      <calculatedColumnFormula array="1">1/(1-EXP(-(Tabella333178[Planck h]*Tabella9382236[Frequenza3])/(Tabella333178[Boltzmann k]*Tabella8372135[[#This Row],[Temperatura]])))</calculatedColumnFormula>
    </tableColumn>
    <tableColumn id="5" xr3:uid="{49FF783C-035C-4B14-8EDF-467CB3DF11EA}" name="Qvib4" dataDxfId="11">
      <calculatedColumnFormula array="1">1/(1-EXP(-(Tabella333178[Planck h]*Tabella9382236[Frequenza4])/(Tabella333178[Boltzmann k]*Tabella8372135[[#This Row],[Temperatura]])))</calculatedColumnFormula>
    </tableColumn>
    <tableColumn id="6" xr3:uid="{1D9BDD63-F40A-4FAB-A973-033B95566759}" name="Qvib5" dataDxfId="10">
      <calculatedColumnFormula array="1">1/(1-EXP(-(Tabella333178[Planck h]*Tabella9382236[Frequenza5])/(Tabella333178[Boltzmann k]*Tabella8372135[[#This Row],[Temperatura]])))</calculatedColumnFormula>
    </tableColumn>
    <tableColumn id="7" xr3:uid="{DF51FD20-42C0-4BE1-8E66-800805FFF931}" name="Qvib6" dataDxfId="9">
      <calculatedColumnFormula array="1">1/(1-EXP(-(Tabella333178[Planck h]*Tabella9382236[Frequenza6])/(Tabella333178[Boltzmann k]*Tabella8372135[[#This Row],[Temperatura]])))</calculatedColumnFormula>
    </tableColumn>
    <tableColumn id="13" xr3:uid="{A2304DAD-4277-40CF-A82F-28B60F152229}" name="Qvib" dataDxfId="96">
      <calculatedColumnFormula>PRODUCT(Tabella8372135[[#This Row],[Qvib1]:[Qvib6]])</calculatedColumnFormula>
    </tableColumn>
  </tableColumns>
  <tableStyleInfo name="TableStyleLight1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33A08BC-F9B3-46B1-83AC-AB052596F799}" name="Tabella9382236" displayName="Tabella9382236" ref="B12:G13" totalsRowShown="0" headerRowDxfId="95" dataDxfId="94">
  <autoFilter ref="B12:G13" xr:uid="{933A08BC-F9B3-46B1-83AC-AB052596F799}"/>
  <tableColumns count="6">
    <tableColumn id="1" xr3:uid="{40B4E98D-03F5-4EFD-90FB-A47B7C77FB04}" name="Frequenza1" dataDxfId="93">
      <calculatedColumnFormula array="1">Tabella931473139[Frequenza1]*29979300000</calculatedColumnFormula>
    </tableColumn>
    <tableColumn id="2" xr3:uid="{17480D77-69F2-4CC8-BE78-050C3510E1AF}" name="Frequenza2" dataDxfId="92">
      <calculatedColumnFormula array="1">Tabella931473139[Frequenza2]*29979300000</calculatedColumnFormula>
    </tableColumn>
    <tableColumn id="3" xr3:uid="{3FD39A61-5C82-40BE-8165-B37ADD796FF1}" name="Frequenza3" dataDxfId="91">
      <calculatedColumnFormula array="1">Tabella931473139[Frequenza3]*29979300000</calculatedColumnFormula>
    </tableColumn>
    <tableColumn id="4" xr3:uid="{FE990D6A-5ABF-4B56-B701-25A5635F5AD3}" name="Frequenza4" dataDxfId="90">
      <calculatedColumnFormula array="1">Tabella931473139[Frequenza4]*29979300000</calculatedColumnFormula>
    </tableColumn>
    <tableColumn id="5" xr3:uid="{53B6996B-8A7F-4EF5-90D5-B9ED9AA8D81E}" name="Frequenza5" dataDxfId="89">
      <calculatedColumnFormula array="1">Tabella931473139[Frequenza5]*29979300000</calculatedColumnFormula>
    </tableColumn>
    <tableColumn id="6" xr3:uid="{6BBC7EBF-F890-41DD-A33D-8AB530879954}" name="Frequenza6" dataDxfId="88">
      <calculatedColumnFormula array="1">Tabella931473139[Frequenza6]*29979300000</calculatedColumnFormula>
    </tableColumn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B1CC769-F69E-4AAA-B170-82AF2135E0C1}" name="Tabella931473139" displayName="Tabella931473139" ref="B10:G11" totalsRowShown="0" headerRowDxfId="87" dataDxfId="86">
  <autoFilter ref="B10:G11" xr:uid="{9B1CC769-F69E-4AAA-B170-82AF2135E0C1}"/>
  <tableColumns count="6">
    <tableColumn id="1" xr3:uid="{3686C89F-FE98-4951-9202-2D86603A5A36}" name="Frequenza1" dataDxfId="85"/>
    <tableColumn id="2" xr3:uid="{F9D25F5B-E22D-42D5-B5B7-33285922541D}" name="Frequenza2" dataDxfId="84"/>
    <tableColumn id="3" xr3:uid="{D1D39ADE-7DE5-4B87-BB73-323237FFCA34}" name="Frequenza3" dataDxfId="83"/>
    <tableColumn id="4" xr3:uid="{37A6739A-C58A-4D30-8B06-1E441FF70806}" name="Frequenza4" dataDxfId="82"/>
    <tableColumn id="5" xr3:uid="{0F49E4C0-C458-41DF-B128-8D5922BD18E8}" name="Frequenza5" dataDxfId="81"/>
    <tableColumn id="6" xr3:uid="{AE279DBD-4151-42BA-90E0-5C70D6116C1D}" name="Frequenza6" dataDxfId="8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1.xml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eople.uleth.ca/~roussel/C4000foundations/slides/10TST_II.pdf" TargetMode="External"/><Relationship Id="rId1" Type="http://schemas.openxmlformats.org/officeDocument/2006/relationships/hyperlink" Target="https://kinetics.nist.gov/kinetics/Detail?id=1984WAR197C:14" TargetMode="Externa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kinetics.nist.gov/kinetics/Detail?id=1997COR/ESP4013-4021: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AFBA-C16A-49DE-9B07-356553739D9E}">
  <dimension ref="A1:R53"/>
  <sheetViews>
    <sheetView topLeftCell="A23" workbookViewId="0">
      <selection activeCell="A9" sqref="A9"/>
    </sheetView>
  </sheetViews>
  <sheetFormatPr defaultColWidth="9.1796875" defaultRowHeight="14.5" x14ac:dyDescent="0.35"/>
  <cols>
    <col min="1" max="1" width="14.7265625" style="9" bestFit="1" customWidth="1"/>
    <col min="2" max="2" width="13.54296875" style="9" bestFit="1" customWidth="1"/>
    <col min="3" max="3" width="14.1796875" style="9" bestFit="1" customWidth="1"/>
    <col min="4" max="5" width="13.54296875" style="9" bestFit="1" customWidth="1"/>
    <col min="6" max="7" width="24.81640625" style="9" bestFit="1" customWidth="1"/>
    <col min="8" max="8" width="24.7265625" style="9" bestFit="1" customWidth="1"/>
    <col min="9" max="10" width="13.54296875" style="9" bestFit="1" customWidth="1"/>
    <col min="11" max="13" width="14.54296875" style="9" bestFit="1" customWidth="1"/>
    <col min="14" max="14" width="10.26953125" style="9" customWidth="1"/>
    <col min="15" max="16384" width="9.1796875" style="9"/>
  </cols>
  <sheetData>
    <row r="1" spans="1:18" x14ac:dyDescent="0.35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</row>
    <row r="2" spans="1:18" x14ac:dyDescent="0.35">
      <c r="A2" s="9">
        <f>PI()</f>
        <v>3.1415926535897931</v>
      </c>
      <c r="B2" s="22">
        <f>1.66E-27*Tabella333[[#This Row],[Massa '[g/mol']]]</f>
        <v>2.8284955799999995E-26</v>
      </c>
      <c r="C2" s="22">
        <v>1.3806490000000001E-23</v>
      </c>
      <c r="D2" s="22">
        <v>6.6260687599999996E-34</v>
      </c>
      <c r="E2" s="9">
        <v>8.3144626180000003</v>
      </c>
      <c r="F2" s="22">
        <v>6.0221410000000001E+23</v>
      </c>
      <c r="G2" s="22">
        <v>17.03913</v>
      </c>
      <c r="H2" s="9">
        <v>6</v>
      </c>
    </row>
    <row r="5" spans="1:18" x14ac:dyDescent="0.35">
      <c r="A5" s="8"/>
    </row>
    <row r="6" spans="1:18" ht="15" thickBot="1" x14ac:dyDescent="0.4">
      <c r="A6" s="8"/>
      <c r="F6" s="24" t="s">
        <v>24</v>
      </c>
      <c r="G6" s="24" t="s">
        <v>25</v>
      </c>
      <c r="H6" s="24" t="s">
        <v>26</v>
      </c>
    </row>
    <row r="7" spans="1:18" ht="15" thickBot="1" x14ac:dyDescent="0.4">
      <c r="A7" s="22"/>
      <c r="F7" s="25">
        <v>7.1452600000000004</v>
      </c>
      <c r="G7" s="14">
        <v>2.7869199999999998</v>
      </c>
      <c r="H7" s="15">
        <v>2.7868900000000001</v>
      </c>
    </row>
    <row r="8" spans="1:18" x14ac:dyDescent="0.35">
      <c r="A8" s="9" t="s">
        <v>23</v>
      </c>
      <c r="B8" s="9" t="s">
        <v>27</v>
      </c>
      <c r="C8" s="9" t="s">
        <v>28</v>
      </c>
      <c r="G8" s="22"/>
      <c r="H8" s="22"/>
      <c r="I8" s="22"/>
    </row>
    <row r="9" spans="1:18" x14ac:dyDescent="0.35">
      <c r="A9" s="9">
        <v>1</v>
      </c>
      <c r="B9" s="9">
        <v>2</v>
      </c>
      <c r="C9" s="9">
        <v>0</v>
      </c>
      <c r="G9" s="22"/>
    </row>
    <row r="10" spans="1:18" x14ac:dyDescent="0.35">
      <c r="B10" s="9" t="s">
        <v>29</v>
      </c>
      <c r="C10" s="9" t="s">
        <v>30</v>
      </c>
      <c r="D10" s="9" t="s">
        <v>31</v>
      </c>
      <c r="E10" s="9" t="s">
        <v>32</v>
      </c>
      <c r="F10" s="9" t="s">
        <v>33</v>
      </c>
      <c r="G10" s="9" t="s">
        <v>34</v>
      </c>
      <c r="H10" s="9" t="s">
        <v>35</v>
      </c>
      <c r="I10" s="9" t="s">
        <v>36</v>
      </c>
      <c r="J10" s="9" t="s">
        <v>37</v>
      </c>
      <c r="K10" s="9" t="s">
        <v>49</v>
      </c>
      <c r="L10" s="9" t="s">
        <v>50</v>
      </c>
      <c r="M10" s="9" t="s">
        <v>51</v>
      </c>
    </row>
    <row r="11" spans="1:18" ht="15" thickBot="1" x14ac:dyDescent="0.4">
      <c r="B11" s="81">
        <v>-1159.2845</v>
      </c>
      <c r="C11" s="16">
        <v>551.67759999999998</v>
      </c>
      <c r="D11" s="16">
        <v>552.23119999999994</v>
      </c>
      <c r="E11" s="16">
        <v>1076.6088999999999</v>
      </c>
      <c r="F11" s="16">
        <v>1167.3195000000001</v>
      </c>
      <c r="G11" s="16">
        <v>1167.3416999999999</v>
      </c>
      <c r="H11" s="16">
        <v>1437.002</v>
      </c>
      <c r="I11" s="16">
        <v>1437.1954000000001</v>
      </c>
      <c r="J11" s="17">
        <v>1871.6554000000001</v>
      </c>
      <c r="K11" s="16">
        <v>3081.7914999999998</v>
      </c>
      <c r="L11" s="16">
        <v>3229.7696000000001</v>
      </c>
      <c r="M11" s="16">
        <v>3229.8180000000002</v>
      </c>
    </row>
    <row r="12" spans="1:18" x14ac:dyDescent="0.35">
      <c r="B12" s="9" t="s">
        <v>29</v>
      </c>
      <c r="C12" s="9" t="s">
        <v>30</v>
      </c>
      <c r="D12" s="9" t="s">
        <v>31</v>
      </c>
      <c r="E12" s="9" t="s">
        <v>32</v>
      </c>
      <c r="F12" s="9" t="s">
        <v>33</v>
      </c>
      <c r="G12" s="9" t="s">
        <v>34</v>
      </c>
      <c r="H12" s="9" t="s">
        <v>35</v>
      </c>
      <c r="I12" s="9" t="s">
        <v>36</v>
      </c>
      <c r="J12" s="9" t="s">
        <v>37</v>
      </c>
      <c r="K12" s="9" t="s">
        <v>49</v>
      </c>
      <c r="L12" s="9" t="s">
        <v>50</v>
      </c>
      <c r="M12" s="9" t="s">
        <v>51</v>
      </c>
    </row>
    <row r="13" spans="1:18" ht="15" thickBot="1" x14ac:dyDescent="0.4">
      <c r="B13" s="9" cm="1">
        <f t="array" ref="B13">Tabella93147[Frequenza1]*29979300000</f>
        <v>-34754537810850</v>
      </c>
      <c r="C13" s="9" cm="1">
        <f t="array" ref="C13">Tabella93147[Frequenza2]*29979300000</f>
        <v>16538908273680</v>
      </c>
      <c r="D13" s="9" cm="1">
        <f t="array" ref="D13">Tabella93147[Frequenza3]*29979300000</f>
        <v>16555504814159.998</v>
      </c>
      <c r="E13" s="9" cm="1">
        <f t="array" ref="E13">Tabella93147[Frequenza4]*29979300000</f>
        <v>32275981195770</v>
      </c>
      <c r="F13" s="9" cm="1">
        <f t="array" ref="F13">Tabella93147[Frequenza5]*29979300000</f>
        <v>34995421486350</v>
      </c>
      <c r="G13" s="9" cm="1">
        <f t="array" ref="G13">Tabella93147[Frequenza6]*29979300000</f>
        <v>34996087026810</v>
      </c>
      <c r="H13" s="9" cm="1">
        <f t="array" ref="H13">Tabella93147[Frequenza7]*29979300000</f>
        <v>43080314058600</v>
      </c>
      <c r="I13" s="9" cm="1">
        <f t="array" ref="I13">Tabella93147[Frequenza8]*29979300000</f>
        <v>43086112055220</v>
      </c>
      <c r="J13" s="9" cm="1">
        <f t="array" ref="J13">Tabella93147[Frequenza9]*29979300000</f>
        <v>56110918733220</v>
      </c>
      <c r="K13" s="9" cm="1">
        <f t="array" ref="K13">Tabella93147[Frequenza10]*29979300000</f>
        <v>92389951915950</v>
      </c>
      <c r="L13" s="9" cm="1">
        <f t="array" ref="L13">Tabella93147[Frequenza11]*29979300000</f>
        <v>96826231769280</v>
      </c>
      <c r="M13" s="9" cm="1">
        <f t="array" ref="M13">Tabella93147[Frequenza12]*29979300000</f>
        <v>96827682767400</v>
      </c>
    </row>
    <row r="14" spans="1:18" x14ac:dyDescent="0.35">
      <c r="A14" s="31" t="s">
        <v>38</v>
      </c>
      <c r="B14" s="32" t="s">
        <v>39</v>
      </c>
      <c r="C14" s="32" t="s">
        <v>40</v>
      </c>
      <c r="D14" s="32" t="s">
        <v>41</v>
      </c>
      <c r="E14" s="32" t="s">
        <v>42</v>
      </c>
      <c r="F14" s="32" t="s">
        <v>43</v>
      </c>
      <c r="G14" s="32" t="s">
        <v>44</v>
      </c>
      <c r="H14" s="32" t="s">
        <v>45</v>
      </c>
      <c r="I14" s="32" t="s">
        <v>46</v>
      </c>
      <c r="J14" s="32" t="s">
        <v>47</v>
      </c>
      <c r="K14" s="32" t="s">
        <v>52</v>
      </c>
      <c r="L14" s="32" t="s">
        <v>53</v>
      </c>
      <c r="M14" s="32" t="s">
        <v>54</v>
      </c>
      <c r="N14" s="33" t="s">
        <v>48</v>
      </c>
    </row>
    <row r="15" spans="1:18" x14ac:dyDescent="0.35">
      <c r="A15" s="34">
        <v>298.14999999999998</v>
      </c>
      <c r="B15" s="22" cm="1">
        <f t="array" ref="B15">1/(1-EXP(-(Tabella333[Planck h]*Tabella938[Frequenza1])/(Tabella333[Boltzmann k]*Tabella83715[[#This Row],[Temperatura]])))</f>
        <v>-3.7327102355487244E-3</v>
      </c>
      <c r="C15" s="22" cm="1">
        <f t="array" ref="C15">1/(1-EXP(-(Tabella333[Planck h]*Tabella938[Frequenza2])/(Tabella333[Boltzmann k]*Tabella83715[[#This Row],[Temperatura]])))</f>
        <v>1.0750292970488886</v>
      </c>
      <c r="D15" s="22" cm="1">
        <f t="array" ref="D15">1/(1-EXP(-(Tabella333[Planck h]*Tabella938[Frequenza3])/(Tabella333[Boltzmann k]*Tabella83715[[#This Row],[Temperatura]])))</f>
        <v>1.0748141478746787</v>
      </c>
      <c r="E15" s="22" cm="1">
        <f t="array" ref="E15">1/(1-EXP(-(Tabella333[Planck h]*Tabella938[Frequenza4])/(Tabella333[Boltzmann k]*Tabella83715[[#This Row],[Temperatura]])))</f>
        <v>1.0055729975743659</v>
      </c>
      <c r="F15" s="22" cm="1">
        <f t="array" ref="F15">1/(1-EXP(-(Tabella333[Planck h]*Tabella938[Frequenza5])/(Tabella333[Boltzmann k]*Tabella83715[[#This Row],[Temperatura]])))</f>
        <v>1.0035902369742158</v>
      </c>
      <c r="G15" s="22" cm="1">
        <f t="array" ref="G15">1/(1-EXP(-(Tabella333[Planck h]*Tabella938[Frequenza6])/(Tabella333[Boltzmann k]*Tabella83715[[#This Row],[Temperatura]])))</f>
        <v>1.0035898509910024</v>
      </c>
      <c r="H15" s="22" cm="1">
        <f t="array" ref="H15">1/(1-EXP(-(Tabella333[Planck h]*Tabella938[Frequenza7])/(Tabella333[Boltzmann k]*Tabella83715[[#This Row],[Temperatura]])))</f>
        <v>1.0009745344464627</v>
      </c>
      <c r="I15" s="22" cm="1">
        <f t="array" ref="I15">1/(1-EXP(-(Tabella333[Planck h]*Tabella938[Frequenza8])/(Tabella333[Boltzmann k]*Tabella83715[[#This Row],[Temperatura]])))</f>
        <v>1.0009736244640828</v>
      </c>
      <c r="J15" s="22" cm="1">
        <f t="array" ref="J15">1/(1-EXP(-(Tabella333[Planck h]*Tabella938[Frequenza9])/(Tabella333[Boltzmann k]*Tabella83715[[#This Row],[Temperatura]])))</f>
        <v>1.0001195342809357</v>
      </c>
      <c r="K15" s="22" cm="1">
        <f t="array" ref="K15">1/(1-EXP(-(Tabella333[Planck h]*Tabella938[Frequenza10])/(Tabella333[Boltzmann k]*Tabella83715[[#This Row],[Temperatura]])))</f>
        <v>1.0000003477552151</v>
      </c>
      <c r="L15" s="22" cm="1">
        <f t="array" ref="L15">1/(1-EXP(-(Tabella333[Planck h]*Tabella938[Frequenza11])/(Tabella333[Boltzmann k]*Tabella83715[[#This Row],[Temperatura]])))</f>
        <v>1.0000001702728856</v>
      </c>
      <c r="M15" s="22" cm="1">
        <f t="array" ref="M15">1/(1-EXP(-(Tabella333[Planck h]*Tabella938[Frequenza12])/(Tabella333[Boltzmann k]*Tabella83715[[#This Row],[Temperatura]])))</f>
        <v>1.0000001702331207</v>
      </c>
      <c r="N15" s="35">
        <f>ABS(PRODUCT(Tabella83715[[#This Row],[Qvib1]:[Qvib12]]))</f>
        <v>4.3772576982112621E-3</v>
      </c>
      <c r="R15" s="22"/>
    </row>
    <row r="16" spans="1:18" x14ac:dyDescent="0.35">
      <c r="A16" s="34">
        <v>400</v>
      </c>
      <c r="B16" s="22" cm="1">
        <f t="array" ref="B16">1/(1-EXP(-(Tabella333[Planck h]*Tabella938[Frequenza1])/(Tabella333[Boltzmann k]*Tabella83715[[#This Row],[Temperatura]])))</f>
        <v>-1.5696597392232933E-2</v>
      </c>
      <c r="C16" s="22" cm="1">
        <f t="array" ref="C16">1/(1-EXP(-(Tabella333[Planck h]*Tabella938[Frequenza2])/(Tabella333[Boltzmann k]*Tabella83715[[#This Row],[Temperatura]])))</f>
        <v>1.1593788474125204</v>
      </c>
      <c r="D16" s="22" cm="1">
        <f t="array" ref="D16">1/(1-EXP(-(Tabella333[Planck h]*Tabella938[Frequenza3])/(Tabella333[Boltzmann k]*Tabella83715[[#This Row],[Temperatura]])))</f>
        <v>1.1590113821506689</v>
      </c>
      <c r="E16" s="22" cm="1">
        <f t="array" ref="E16">1/(1-EXP(-(Tabella333[Planck h]*Tabella938[Frequenza4])/(Tabella333[Boltzmann k]*Tabella83715[[#This Row],[Temperatura]])))</f>
        <v>1.0212482549077335</v>
      </c>
      <c r="F16" s="22" cm="1">
        <f t="array" ref="F16">1/(1-EXP(-(Tabella333[Planck h]*Tabella938[Frequenza5])/(Tabella333[Boltzmann k]*Tabella83715[[#This Row],[Temperatura]])))</f>
        <v>1.0152426195746702</v>
      </c>
      <c r="G16" s="22" cm="1">
        <f t="array" ref="G16">1/(1-EXP(-(Tabella333[Planck h]*Tabella938[Frequenza6])/(Tabella333[Boltzmann k]*Tabella83715[[#This Row],[Temperatura]])))</f>
        <v>1.0152413839154606</v>
      </c>
      <c r="H16" s="22" cm="1">
        <f t="array" ref="H16">1/(1-EXP(-(Tabella333[Planck h]*Tabella938[Frequenza7])/(Tabella333[Boltzmann k]*Tabella83715[[#This Row],[Temperatura]])))</f>
        <v>1.0057238486603934</v>
      </c>
      <c r="I16" s="22" cm="1">
        <f t="array" ref="I16">1/(1-EXP(-(Tabella333[Planck h]*Tabella938[Frequenza8])/(Tabella333[Boltzmann k]*Tabella83715[[#This Row],[Temperatura]])))</f>
        <v>1.0057198454839273</v>
      </c>
      <c r="J16" s="22" cm="1">
        <f t="array" ref="J16">1/(1-EXP(-(Tabella333[Planck h]*Tabella938[Frequenza9])/(Tabella333[Boltzmann k]*Tabella83715[[#This Row],[Temperatura]])))</f>
        <v>1.0011932740146552</v>
      </c>
      <c r="K16" s="27" cm="1">
        <f t="array" ref="K16">1/(1-EXP(-(Tabella333[Planck h]*Tabella938[Frequenza10])/(Tabella333[Boltzmann k]*Tabella83715[[#This Row],[Temperatura]])))</f>
        <v>1.0000153402839163</v>
      </c>
      <c r="L16" s="22" cm="1">
        <f t="array" ref="L16">1/(1-EXP(-(Tabella333[Planck h]*Tabella938[Frequenza11])/(Tabella333[Boltzmann k]*Tabella83715[[#This Row],[Temperatura]])))</f>
        <v>1.0000090088411968</v>
      </c>
      <c r="M16" s="22" cm="1">
        <f t="array" ref="M16">1/(1-EXP(-(Tabella333[Planck h]*Tabella938[Frequenza12])/(Tabella333[Boltzmann k]*Tabella83715[[#This Row],[Temperatura]])))</f>
        <v>1.0000090072729495</v>
      </c>
      <c r="N16" s="35">
        <f>ABS(PRODUCT(Tabella83715[[#This Row],[Qvib1]:[Qvib12]]))</f>
        <v>2.2484190271629859E-2</v>
      </c>
    </row>
    <row r="17" spans="1:14" x14ac:dyDescent="0.35">
      <c r="A17" s="34">
        <v>500</v>
      </c>
      <c r="B17" s="22" cm="1">
        <f t="array" ref="B17">1/(1-EXP(-(Tabella333[Planck h]*Tabella938[Frequenza1])/(Tabella333[Boltzmann k]*Tabella83715[[#This Row],[Temperatura]])))</f>
        <v>-3.6895042527182259E-2</v>
      </c>
      <c r="C17" s="22" cm="1">
        <f t="array" ref="C17">1/(1-EXP(-(Tabella333[Planck h]*Tabella938[Frequenza2])/(Tabella333[Boltzmann k]*Tabella83715[[#This Row],[Temperatura]])))</f>
        <v>1.2569750095024412</v>
      </c>
      <c r="D17" s="22" cm="1">
        <f t="array" ref="D17">1/(1-EXP(-(Tabella333[Planck h]*Tabella938[Frequenza3])/(Tabella333[Boltzmann k]*Tabella83715[[#This Row],[Temperatura]])))</f>
        <v>1.2564610673079761</v>
      </c>
      <c r="E17" s="22" cm="1">
        <f t="array" ref="E17">1/(1-EXP(-(Tabella333[Planck h]*Tabella938[Frequenza4])/(Tabella333[Boltzmann k]*Tabella83715[[#This Row],[Temperatura]])))</f>
        <v>1.0472730336638192</v>
      </c>
      <c r="F17" s="22" cm="1">
        <f t="array" ref="F17">1/(1-EXP(-(Tabella333[Planck h]*Tabella938[Frequenza5])/(Tabella333[Boltzmann k]*Tabella83715[[#This Row],[Temperatura]])))</f>
        <v>1.0360213960434166</v>
      </c>
      <c r="G17" s="22" cm="1">
        <f t="array" ref="G17">1/(1-EXP(-(Tabella333[Planck h]*Tabella938[Frequenza6])/(Tabella333[Boltzmann k]*Tabella83715[[#This Row],[Temperatura]])))</f>
        <v>1.0360190121243464</v>
      </c>
      <c r="H17" s="22" cm="1">
        <f t="array" ref="H17">1/(1-EXP(-(Tabella333[Planck h]*Tabella938[Frequenza7])/(Tabella333[Boltzmann k]*Tabella83715[[#This Row],[Temperatura]])))</f>
        <v>1.0162619712718131</v>
      </c>
      <c r="I17" s="22" cm="1">
        <f t="array" ref="I17">1/(1-EXP(-(Tabella333[Planck h]*Tabella938[Frequenza8])/(Tabella333[Boltzmann k]*Tabella83715[[#This Row],[Temperatura]])))</f>
        <v>1.0162527766323874</v>
      </c>
      <c r="J17" s="22" cm="1">
        <f t="array" ref="J17">1/(1-EXP(-(Tabella333[Planck h]*Tabella938[Frequenza9])/(Tabella333[Boltzmann k]*Tabella83715[[#This Row],[Temperatura]])))</f>
        <v>1.0046022686096836</v>
      </c>
      <c r="K17" s="27" cm="1">
        <f t="array" ref="K17">1/(1-EXP(-(Tabella333[Planck h]*Tabella938[Frequenza10])/(Tabella333[Boltzmann k]*Tabella83715[[#This Row],[Temperatura]])))</f>
        <v>1.0001408388757245</v>
      </c>
      <c r="L17" s="22" cm="1">
        <f t="array" ref="L17">1/(1-EXP(-(Tabella333[Planck h]*Tabella938[Frequenza11])/(Tabella333[Boltzmann k]*Tabella83715[[#This Row],[Temperatura]])))</f>
        <v>1.0000919966402386</v>
      </c>
      <c r="M17" s="22" cm="1">
        <f t="array" ref="M17">1/(1-EXP(-(Tabella333[Planck h]*Tabella938[Frequenza12])/(Tabella333[Boltzmann k]*Tabella83715[[#This Row],[Temperatura]])))</f>
        <v>1.0000919838272284</v>
      </c>
      <c r="N17" s="35">
        <f>ABS(PRODUCT(Tabella83715[[#This Row],[Qvib1]:[Qvib12]]))</f>
        <v>6.7980240878437903E-2</v>
      </c>
    </row>
    <row r="18" spans="1:14" x14ac:dyDescent="0.35">
      <c r="A18" s="34">
        <v>600</v>
      </c>
      <c r="B18" s="22" cm="1">
        <f t="array" ref="B18">1/(1-EXP(-(Tabella333[Planck h]*Tabella938[Frequenza1])/(Tabella333[Boltzmann k]*Tabella83715[[#This Row],[Temperatura]])))</f>
        <v>-6.6147208610340888E-2</v>
      </c>
      <c r="C18" s="22" cm="1">
        <f t="array" ref="C18">1/(1-EXP(-(Tabella333[Planck h]*Tabella938[Frequenza2])/(Tabella333[Boltzmann k]*Tabella83715[[#This Row],[Temperatura]])))</f>
        <v>1.3630677214514999</v>
      </c>
      <c r="D18" s="22" cm="1">
        <f t="array" ref="D18">1/(1-EXP(-(Tabella333[Planck h]*Tabella938[Frequenza3])/(Tabella333[Boltzmann k]*Tabella83715[[#This Row],[Temperatura]])))</f>
        <v>1.3624115056512178</v>
      </c>
      <c r="E18" s="22" cm="1">
        <f t="array" ref="E18">1/(1-EXP(-(Tabella333[Planck h]*Tabella938[Frequenza4])/(Tabella333[Boltzmann k]*Tabella83715[[#This Row],[Temperatura]])))</f>
        <v>1.0818383774974361</v>
      </c>
      <c r="F18" s="22" cm="1">
        <f t="array" ref="F18">1/(1-EXP(-(Tabella333[Planck h]*Tabella938[Frequenza5])/(Tabella333[Boltzmann k]*Tabella83715[[#This Row],[Temperatura]])))</f>
        <v>1.0648031060568464</v>
      </c>
      <c r="G18" s="22" cm="1">
        <f t="array" ref="G18">1/(1-EXP(-(Tabella333[Planck h]*Tabella938[Frequenza6])/(Tabella333[Boltzmann k]*Tabella83715[[#This Row],[Temperatura]])))</f>
        <v>1.0647994328283774</v>
      </c>
      <c r="H18" s="22" cm="1">
        <f t="array" ref="H18">1/(1-EXP(-(Tabella333[Planck h]*Tabella938[Frequenza7])/(Tabella333[Boltzmann k]*Tabella83715[[#This Row],[Temperatura]])))</f>
        <v>1.0329262478252852</v>
      </c>
      <c r="I18" s="22" cm="1">
        <f t="array" ref="I18">1/(1-EXP(-(Tabella333[Planck h]*Tabella938[Frequenza8])/(Tabella333[Boltzmann k]*Tabella83715[[#This Row],[Temperatura]])))</f>
        <v>1.0329104788458283</v>
      </c>
      <c r="J18" s="22" cm="1">
        <f t="array" ref="J18">1/(1-EXP(-(Tabella333[Planck h]*Tabella938[Frequenza9])/(Tabella333[Boltzmann k]*Tabella83715[[#This Row],[Temperatura]])))</f>
        <v>1.011369058542954</v>
      </c>
      <c r="K18" s="27" cm="1">
        <f t="array" ref="K18">1/(1-EXP(-(Tabella333[Planck h]*Tabella938[Frequenza10])/(Tabella333[Boltzmann k]*Tabella83715[[#This Row],[Temperatura]])))</f>
        <v>1.0006177594016106</v>
      </c>
      <c r="L18" s="22" cm="1">
        <f t="array" ref="L18">1/(1-EXP(-(Tabella333[Planck h]*Tabella938[Frequenza11])/(Tabella333[Boltzmann k]*Tabella83715[[#This Row],[Temperatura]])))</f>
        <v>1.0004331431164426</v>
      </c>
      <c r="M18" s="22" cm="1">
        <f t="array" ref="M18">1/(1-EXP(-(Tabella333[Planck h]*Tabella938[Frequenza12])/(Tabella333[Boltzmann k]*Tabella83715[[#This Row],[Temperatura]])))</f>
        <v>1.0004330928263403</v>
      </c>
      <c r="N18" s="35">
        <f>ABS(PRODUCT(Tabella83715[[#This Row],[Qvib1]:[Qvib12]]))</f>
        <v>0.16282562296723502</v>
      </c>
    </row>
    <row r="19" spans="1:14" x14ac:dyDescent="0.35">
      <c r="A19" s="34">
        <v>700</v>
      </c>
      <c r="B19" s="22" cm="1">
        <f t="array" ref="B19">1/(1-EXP(-(Tabella333[Planck h]*Tabella938[Frequenza1])/(Tabella333[Boltzmann k]*Tabella83715[[#This Row],[Temperatura]])))</f>
        <v>-0.1016765209216945</v>
      </c>
      <c r="C19" s="22" cm="1">
        <f t="array" ref="C19">1/(1-EXP(-(Tabella333[Planck h]*Tabella938[Frequenza2])/(Tabella333[Boltzmann k]*Tabella83715[[#This Row],[Temperatura]])))</f>
        <v>1.4744266280989233</v>
      </c>
      <c r="D19" s="22" cm="1">
        <f t="array" ref="D19">1/(1-EXP(-(Tabella333[Planck h]*Tabella938[Frequenza3])/(Tabella333[Boltzmann k]*Tabella83715[[#This Row],[Temperatura]])))</f>
        <v>1.4736315622580722</v>
      </c>
      <c r="E19" s="22" cm="1">
        <f t="array" ref="E19">1/(1-EXP(-(Tabella333[Planck h]*Tabella938[Frequenza4])/(Tabella333[Boltzmann k]*Tabella83715[[#This Row],[Temperatura]])))</f>
        <v>1.122822498995153</v>
      </c>
      <c r="F19" s="22" cm="1">
        <f t="array" ref="F19">1/(1-EXP(-(Tabella333[Planck h]*Tabella938[Frequenza5])/(Tabella333[Boltzmann k]*Tabella83715[[#This Row],[Temperatura]])))</f>
        <v>1.0998448274408463</v>
      </c>
      <c r="G19" s="22" cm="1">
        <f t="array" ref="G19">1/(1-EXP(-(Tabella333[Planck h]*Tabella938[Frequenza6])/(Tabella333[Boltzmann k]*Tabella83715[[#This Row],[Temperatura]])))</f>
        <v>1.0998398167895671</v>
      </c>
      <c r="H19" s="22" cm="1">
        <f t="array" ref="H19">1/(1-EXP(-(Tabella333[Planck h]*Tabella938[Frequenza7])/(Tabella333[Boltzmann k]*Tabella83715[[#This Row],[Temperatura]])))</f>
        <v>1.0550203498255397</v>
      </c>
      <c r="I19" s="22" cm="1">
        <f t="array" ref="I19">1/(1-EXP(-(Tabella333[Planck h]*Tabella938[Frequenza8])/(Tabella333[Boltzmann k]*Tabella83715[[#This Row],[Temperatura]])))</f>
        <v>1.0549972801787848</v>
      </c>
      <c r="J19" s="22" cm="1">
        <f t="array" ref="J19">1/(1-EXP(-(Tabella333[Planck h]*Tabella938[Frequenza9])/(Tabella333[Boltzmann k]*Tabella83715[[#This Row],[Temperatura]])))</f>
        <v>1.0218091967280316</v>
      </c>
      <c r="K19" s="27" cm="1">
        <f t="array" ref="K19">1/(1-EXP(-(Tabella333[Planck h]*Tabella938[Frequenza10])/(Tabella333[Boltzmann k]*Tabella83715[[#This Row],[Temperatura]])))</f>
        <v>1.0017775226023773</v>
      </c>
      <c r="L19" s="22" cm="1">
        <f t="array" ref="L19">1/(1-EXP(-(Tabella333[Planck h]*Tabella938[Frequenza11])/(Tabella333[Boltzmann k]*Tabella83715[[#This Row],[Temperatura]])))</f>
        <v>1.001310751365327</v>
      </c>
      <c r="M19" s="22" cm="1">
        <f t="array" ref="M19">1/(1-EXP(-(Tabella333[Planck h]*Tabella938[Frequenza12])/(Tabella333[Boltzmann k]*Tabella83715[[#This Row],[Temperatura]])))</f>
        <v>1.0013106208056686</v>
      </c>
      <c r="N19" s="35">
        <f>ABS(PRODUCT(Tabella83715[[#This Row],[Qvib1]:[Qvib12]]))</f>
        <v>0.34276438317678859</v>
      </c>
    </row>
    <row r="20" spans="1:14" x14ac:dyDescent="0.35">
      <c r="A20" s="34">
        <v>800</v>
      </c>
      <c r="B20" s="22" cm="1">
        <f t="array" ref="B20">1/(1-EXP(-(Tabella333[Planck h]*Tabella938[Frequenza1])/(Tabella333[Boltzmann k]*Tabella83715[[#This Row],[Temperatura]])))</f>
        <v>-0.14196211351570501</v>
      </c>
      <c r="C20" s="22" cm="1">
        <f t="array" ref="C20">1/(1-EXP(-(Tabella333[Planck h]*Tabella938[Frequenza2])/(Tabella333[Boltzmann k]*Tabella83715[[#This Row],[Temperatura]])))</f>
        <v>1.5892398300744313</v>
      </c>
      <c r="D20" s="22" cm="1">
        <f t="array" ref="D20">1/(1-EXP(-(Tabella333[Planck h]*Tabella938[Frequenza3])/(Tabella333[Boltzmann k]*Tabella83715[[#This Row],[Temperatura]])))</f>
        <v>1.5883084841722586</v>
      </c>
      <c r="E20" s="22" cm="1">
        <f t="array" ref="E20">1/(1-EXP(-(Tabella333[Planck h]*Tabella938[Frequenza4])/(Tabella333[Boltzmann k]*Tabella83715[[#This Row],[Temperatura]])))</f>
        <v>1.1685565820462815</v>
      </c>
      <c r="F20" s="22" cm="1">
        <f t="array" ref="F20">1/(1-EXP(-(Tabella333[Planck h]*Tabella938[Frequenza5])/(Tabella333[Boltzmann k]*Tabella83715[[#This Row],[Temperatura]])))</f>
        <v>1.1396409998943844</v>
      </c>
      <c r="G20" s="22" cm="1">
        <f t="array" ref="G20">1/(1-EXP(-(Tabella333[Planck h]*Tabella938[Frequenza6])/(Tabella333[Boltzmann k]*Tabella83715[[#This Row],[Temperatura]])))</f>
        <v>1.1396346461892632</v>
      </c>
      <c r="H20" s="22" cm="1">
        <f t="array" ref="H20">1/(1-EXP(-(Tabella333[Planck h]*Tabella938[Frequenza7])/(Tabella333[Boltzmann k]*Tabella83715[[#This Row],[Temperatura]])))</f>
        <v>1.0815961829060226</v>
      </c>
      <c r="I20" s="22" cm="1">
        <f t="array" ref="I20">1/(1-EXP(-(Tabella333[Planck h]*Tabella938[Frequenza8])/(Tabella333[Boltzmann k]*Tabella83715[[#This Row],[Temperatura]])))</f>
        <v>1.0815654921374249</v>
      </c>
      <c r="J20" s="22" cm="1">
        <f t="array" ref="J20">1/(1-EXP(-(Tabella333[Planck h]*Tabella938[Frequenza9])/(Tabella333[Boltzmann k]*Tabella83715[[#This Row],[Temperatura]])))</f>
        <v>1.0357576764762813</v>
      </c>
      <c r="K20" s="27" cm="1">
        <f t="array" ref="K20">1/(1-EXP(-(Tabella333[Planck h]*Tabella938[Frequenza10])/(Tabella333[Boltzmann k]*Tabella83715[[#This Row],[Temperatura]])))</f>
        <v>1.003932037775485</v>
      </c>
      <c r="L20" s="22" cm="1">
        <f t="array" ref="L20">1/(1-EXP(-(Tabella333[Planck h]*Tabella938[Frequenza11])/(Tabella333[Boltzmann k]*Tabella83715[[#This Row],[Temperatura]])))</f>
        <v>1.0030104955321624</v>
      </c>
      <c r="M20" s="22" cm="1">
        <f t="array" ref="M20">1/(1-EXP(-(Tabella333[Planck h]*Tabella938[Frequenza12])/(Tabella333[Boltzmann k]*Tabella83715[[#This Row],[Temperatura]])))</f>
        <v>1.0030102327027481</v>
      </c>
      <c r="N20" s="35">
        <f>ABS(PRODUCT(Tabella83715[[#This Row],[Qvib1]:[Qvib12]]))</f>
        <v>0.66553590799999507</v>
      </c>
    </row>
    <row r="21" spans="1:14" x14ac:dyDescent="0.35">
      <c r="A21" s="34">
        <v>900</v>
      </c>
      <c r="B21" s="22" cm="1">
        <f t="array" ref="B21">1/(1-EXP(-(Tabella333[Planck h]*Tabella938[Frequenza1])/(Tabella333[Boltzmann k]*Tabella83715[[#This Row],[Temperatura]])))</f>
        <v>-0.18584835459277391</v>
      </c>
      <c r="C21" s="22" cm="1">
        <f t="array" ref="C21">1/(1-EXP(-(Tabella333[Planck h]*Tabella938[Frequenza2])/(Tabella333[Boltzmann k]*Tabella83715[[#This Row],[Temperatura]])))</f>
        <v>1.7064285592493802</v>
      </c>
      <c r="D21" s="22" cm="1">
        <f t="array" ref="D21">1/(1-EXP(-(Tabella333[Planck h]*Tabella938[Frequenza3])/(Tabella333[Boltzmann k]*Tabella83715[[#This Row],[Temperatura]])))</f>
        <v>1.7053628454288148</v>
      </c>
      <c r="E21" s="22" cm="1">
        <f t="array" ref="E21">1/(1-EXP(-(Tabella333[Planck h]*Tabella938[Frequenza4])/(Tabella333[Boltzmann k]*Tabella83715[[#This Row],[Temperatura]])))</f>
        <v>1.2178292230571535</v>
      </c>
      <c r="F21" s="22" cm="1">
        <f t="array" ref="F21">1/(1-EXP(-(Tabella333[Planck h]*Tabella938[Frequenza5])/(Tabella333[Boltzmann k]*Tabella83715[[#This Row],[Temperatura]])))</f>
        <v>1.1830422091085964</v>
      </c>
      <c r="G21" s="22" cm="1">
        <f t="array" ref="G21">1/(1-EXP(-(Tabella333[Planck h]*Tabella938[Frequenza6])/(Tabella333[Boltzmann k]*Tabella83715[[#This Row],[Temperatura]])))</f>
        <v>1.1830345240785556</v>
      </c>
      <c r="H21" s="22" cm="1">
        <f t="array" ref="H21">1/(1-EXP(-(Tabella333[Planck h]*Tabella938[Frequenza7])/(Tabella333[Boltzmann k]*Tabella83715[[#This Row],[Temperatura]])))</f>
        <v>1.1117714266430085</v>
      </c>
      <c r="I21" s="22" cm="1">
        <f t="array" ref="I21">1/(1-EXP(-(Tabella333[Planck h]*Tabella938[Frequenza8])/(Tabella333[Boltzmann k]*Tabella83715[[#This Row],[Temperatura]])))</f>
        <v>1.1117330141702122</v>
      </c>
      <c r="J21" s="22" cm="1">
        <f t="array" ref="J21">1/(1-EXP(-(Tabella333[Planck h]*Tabella938[Frequenza9])/(Tabella333[Boltzmann k]*Tabella83715[[#This Row],[Temperatura]])))</f>
        <v>1.0528326726104063</v>
      </c>
      <c r="K21" s="27" cm="1">
        <f t="array" ref="K21">1/(1-EXP(-(Tabella333[Planck h]*Tabella938[Frequenza10])/(Tabella333[Boltzmann k]*Tabella83715[[#This Row],[Temperatura]])))</f>
        <v>1.0073034449006288</v>
      </c>
      <c r="L21" s="22" cm="1">
        <f t="array" ref="L21">1/(1-EXP(-(Tabella333[Planck h]*Tabella938[Frequenza11])/(Tabella333[Boltzmann k]*Tabella83715[[#This Row],[Temperatura]])))</f>
        <v>1.0057560099197971</v>
      </c>
      <c r="M21" s="22" cm="1">
        <f t="array" ref="M21">1/(1-EXP(-(Tabella333[Planck h]*Tabella938[Frequenza12])/(Tabella333[Boltzmann k]*Tabella83715[[#This Row],[Temperatura]])))</f>
        <v>1.0057555620062777</v>
      </c>
      <c r="N21" s="35">
        <f>ABS(PRODUCT(Tabella83715[[#This Row],[Qvib1]:[Qvib12]]))</f>
        <v>1.2222736276975388</v>
      </c>
    </row>
    <row r="22" spans="1:14" x14ac:dyDescent="0.35">
      <c r="A22" s="34">
        <v>1000</v>
      </c>
      <c r="B22" s="22" cm="1">
        <f t="array" ref="B22">1/(1-EXP(-(Tabella333[Planck h]*Tabella938[Frequenza1])/(Tabella333[Boltzmann k]*Tabella83715[[#This Row],[Temperatura]])))</f>
        <v>-0.23248718626067902</v>
      </c>
      <c r="C22" s="22" cm="1">
        <f t="array" ref="C22">1/(1-EXP(-(Tabella333[Planck h]*Tabella938[Frequenza2])/(Tabella333[Boltzmann k]*Tabella83715[[#This Row],[Temperatura]])))</f>
        <v>1.8253157215856253</v>
      </c>
      <c r="D22" s="22" cm="1">
        <f t="array" ref="D22">1/(1-EXP(-(Tabella333[Planck h]*Tabella938[Frequenza3])/(Tabella333[Boltzmann k]*Tabella83715[[#This Row],[Temperatura]])))</f>
        <v>1.8241170778924869</v>
      </c>
      <c r="E22" s="22" cm="1">
        <f t="array" ref="E22">1/(1-EXP(-(Tabella333[Planck h]*Tabella938[Frequenza4])/(Tabella333[Boltzmann k]*Tabella83715[[#This Row],[Temperatura]])))</f>
        <v>1.2697764569534393</v>
      </c>
      <c r="F22" s="22" cm="1">
        <f t="array" ref="F22">1/(1-EXP(-(Tabella333[Planck h]*Tabella938[Frequenza5])/(Tabella333[Boltzmann k]*Tabella83715[[#This Row],[Temperatura]])))</f>
        <v>1.2292024950576144</v>
      </c>
      <c r="G22" s="22" cm="1">
        <f t="array" ref="G22">1/(1-EXP(-(Tabella333[Planck h]*Tabella938[Frequenza6])/(Tabella333[Boltzmann k]*Tabella83715[[#This Row],[Temperatura]])))</f>
        <v>1.2291934963575404</v>
      </c>
      <c r="H22" s="22" cm="1">
        <f t="array" ref="H22">1/(1-EXP(-(Tabella333[Planck h]*Tabella938[Frequenza7])/(Tabella333[Boltzmann k]*Tabella83715[[#This Row],[Temperatura]])))</f>
        <v>1.1448171072308957</v>
      </c>
      <c r="I22" s="22" cm="1">
        <f t="array" ref="I22">1/(1-EXP(-(Tabella333[Planck h]*Tabella938[Frequenza8])/(Tabella333[Boltzmann k]*Tabella83715[[#This Row],[Temperatura]])))</f>
        <v>1.1447709830494157</v>
      </c>
      <c r="J22" s="22" cm="1">
        <f t="array" ref="J22">1/(1-EXP(-(Tabella333[Planck h]*Tabella938[Frequenza9])/(Tabella333[Boltzmann k]*Tabella83715[[#This Row],[Temperatura]])))</f>
        <v>1.0725982205924245</v>
      </c>
      <c r="K22" s="27" cm="1">
        <f t="array" ref="K22">1/(1-EXP(-(Tabella333[Planck h]*Tabella938[Frequenza10])/(Tabella333[Boltzmann k]*Tabella83715[[#This Row],[Temperatura]])))</f>
        <v>1.0120092301446988</v>
      </c>
      <c r="L22" s="22" cm="1">
        <f t="array" ref="L22">1/(1-EXP(-(Tabella333[Planck h]*Tabella938[Frequenza11])/(Tabella333[Boltzmann k]*Tabella83715[[#This Row],[Temperatura]])))</f>
        <v>1.0096839257277781</v>
      </c>
      <c r="M22" s="22" cm="1">
        <f t="array" ref="M22">1/(1-EXP(-(Tabella333[Planck h]*Tabella938[Frequenza12])/(Tabella333[Boltzmann k]*Tabella83715[[#This Row],[Temperatura]])))</f>
        <v>1.0096832448628195</v>
      </c>
      <c r="N22" s="35">
        <f>ABS(PRODUCT(Tabella83715[[#This Row],[Qvib1]:[Qvib12]]))</f>
        <v>2.1538107644526643</v>
      </c>
    </row>
    <row r="23" spans="1:14" x14ac:dyDescent="0.35">
      <c r="A23" s="34">
        <v>1100</v>
      </c>
      <c r="B23" s="22" cm="1">
        <f t="array" ref="B23">1/(1-EXP(-(Tabella333[Planck h]*Tabella938[Frequenza1])/(Tabella333[Boltzmann k]*Tabella83715[[#This Row],[Temperatura]])))</f>
        <v>-0.28125912023170474</v>
      </c>
      <c r="C23" s="22" cm="1">
        <f t="array" ref="C23">1/(1-EXP(-(Tabella333[Planck h]*Tabella938[Frequenza2])/(Tabella333[Boltzmann k]*Tabella83715[[#This Row],[Temperatura]])))</f>
        <v>1.9454568600874265</v>
      </c>
      <c r="D23" s="22" cm="1">
        <f t="array" ref="D23">1/(1-EXP(-(Tabella333[Planck h]*Tabella938[Frequenza3])/(Tabella333[Boltzmann k]*Tabella83715[[#This Row],[Temperatura]])))</f>
        <v>1.94412638567857</v>
      </c>
      <c r="E23" s="22" cm="1">
        <f t="array" ref="E23">1/(1-EXP(-(Tabella333[Planck h]*Tabella938[Frequenza4])/(Tabella333[Boltzmann k]*Tabella83715[[#This Row],[Temperatura]])))</f>
        <v>1.3237792395844123</v>
      </c>
      <c r="F23" s="22" cm="1">
        <f t="array" ref="F23">1/(1-EXP(-(Tabella333[Planck h]*Tabella938[Frequenza5])/(Tabella333[Boltzmann k]*Tabella83715[[#This Row],[Temperatura]])))</f>
        <v>1.2775026873104913</v>
      </c>
      <c r="G23" s="22" cm="1">
        <f t="array" ref="G23">1/(1-EXP(-(Tabella333[Planck h]*Tabella938[Frequenza6])/(Tabella333[Boltzmann k]*Tabella83715[[#This Row],[Temperatura]])))</f>
        <v>1.2774923935598448</v>
      </c>
      <c r="H23" s="22" cm="1">
        <f t="array" ref="H23">1/(1-EXP(-(Tabella333[Planck h]*Tabella938[Frequenza7])/(Tabella333[Boltzmann k]*Tabella83715[[#This Row],[Temperatura]])))</f>
        <v>1.1801575640916322</v>
      </c>
      <c r="I23" s="22" cm="1">
        <f t="array" ref="I23">1/(1-EXP(-(Tabella333[Planck h]*Tabella938[Frequenza8])/(Tabella333[Boltzmann k]*Tabella83715[[#This Row],[Temperatura]])))</f>
        <v>1.1801037896752944</v>
      </c>
      <c r="J23" s="22" cm="1">
        <f t="array" ref="J23">1/(1-EXP(-(Tabella333[Planck h]*Tabella938[Frequenza9])/(Tabella333[Boltzmann k]*Tabella83715[[#This Row],[Temperatura]])))</f>
        <v>1.0946411156257161</v>
      </c>
      <c r="K23" s="27" cm="1">
        <f t="array" ref="K23">1/(1-EXP(-(Tabella333[Planck h]*Tabella938[Frequenza10])/(Tabella333[Boltzmann k]*Tabella83715[[#This Row],[Temperatura]])))</f>
        <v>1.0180789412894795</v>
      </c>
      <c r="L23" s="22" cm="1">
        <f t="array" ref="L23">1/(1-EXP(-(Tabella333[Planck h]*Tabella938[Frequenza11])/(Tabella333[Boltzmann k]*Tabella83715[[#This Row],[Temperatura]])))</f>
        <v>1.014850282351593</v>
      </c>
      <c r="M23" s="22" cm="1">
        <f t="array" ref="M23">1/(1-EXP(-(Tabella333[Planck h]*Tabella938[Frequenza12])/(Tabella333[Boltzmann k]*Tabella83715[[#This Row],[Temperatura]])))</f>
        <v>1.0148493283055089</v>
      </c>
      <c r="N23" s="35">
        <f>ABS(PRODUCT(Tabella83715[[#This Row],[Qvib1]:[Qvib12]]))</f>
        <v>3.6737143128631038</v>
      </c>
    </row>
    <row r="24" spans="1:14" x14ac:dyDescent="0.35">
      <c r="A24" s="34">
        <v>1200</v>
      </c>
      <c r="B24" s="22" cm="1">
        <f t="array" ref="B24">1/(1-EXP(-(Tabella333[Planck h]*Tabella938[Frequenza1])/(Tabella333[Boltzmann k]*Tabella83715[[#This Row],[Temperatura]])))</f>
        <v>-0.33170824079932909</v>
      </c>
      <c r="C24" s="22" cm="1">
        <f t="array" ref="C24">1/(1-EXP(-(Tabella333[Planck h]*Tabella938[Frequenza2])/(Tabella333[Boltzmann k]*Tabella83715[[#This Row],[Temperatura]])))</f>
        <v>2.0665489875925989</v>
      </c>
      <c r="D24" s="22" cm="1">
        <f t="array" ref="D24">1/(1-EXP(-(Tabella333[Planck h]*Tabella938[Frequenza3])/(Tabella333[Boltzmann k]*Tabella83715[[#This Row],[Temperatura]])))</f>
        <v>2.065087537033818</v>
      </c>
      <c r="E24" s="22" cm="1">
        <f t="array" ref="E24">1/(1-EXP(-(Tabella333[Planck h]*Tabella938[Frequenza4])/(Tabella333[Boltzmann k]*Tabella83715[[#This Row],[Temperatura]])))</f>
        <v>1.379388201104927</v>
      </c>
      <c r="F24" s="22" cm="1">
        <f t="array" ref="F24">1/(1-EXP(-(Tabella333[Planck h]*Tabella938[Frequenza5])/(Tabella333[Boltzmann k]*Tabella83715[[#This Row],[Temperatura]])))</f>
        <v>1.3274864679423326</v>
      </c>
      <c r="G24" s="22" cm="1">
        <f t="array" ref="G24">1/(1-EXP(-(Tabella333[Planck h]*Tabella938[Frequenza6])/(Tabella333[Boltzmann k]*Tabella83715[[#This Row],[Temperatura]])))</f>
        <v>1.327474896705872</v>
      </c>
      <c r="H24" s="22" cm="1">
        <f t="array" ref="H24">1/(1-EXP(-(Tabella333[Planck h]*Tabella938[Frequenza7])/(Tabella333[Boltzmann k]*Tabella83715[[#This Row],[Temperatura]])))</f>
        <v>1.217345296790237</v>
      </c>
      <c r="I24" s="22" cm="1">
        <f t="array" ref="I24">1/(1-EXP(-(Tabella333[Planck h]*Tabella938[Frequenza8])/(Tabella333[Boltzmann k]*Tabella83715[[#This Row],[Temperatura]])))</f>
        <v>1.2172839543342779</v>
      </c>
      <c r="J24" s="22" cm="1">
        <f t="array" ref="J24">1/(1-EXP(-(Tabella333[Planck h]*Tabella938[Frequenza9])/(Tabella333[Boltzmann k]*Tabella83715[[#This Row],[Temperatura]])))</f>
        <v>1.1185992503506126</v>
      </c>
      <c r="K24" s="27" cm="1">
        <f t="array" ref="K24">1/(1-EXP(-(Tabella333[Planck h]*Tabella938[Frequenza10])/(Tabella333[Boltzmann k]*Tabella83715[[#This Row],[Temperatura]])))</f>
        <v>1.0254802015239954</v>
      </c>
      <c r="L24" s="22" cm="1">
        <f t="array" ref="L24">1/(1-EXP(-(Tabella333[Planck h]*Tabella938[Frequenza11])/(Tabella333[Boltzmann k]*Tabella83715[[#This Row],[Temperatura]])))</f>
        <v>1.0212497405666006</v>
      </c>
      <c r="M24" s="22" cm="1">
        <f t="array" ref="M24">1/(1-EXP(-(Tabella333[Planck h]*Tabella938[Frequenza12])/(Tabella333[Boltzmann k]*Tabella83715[[#This Row],[Temperatura]])))</f>
        <v>1.02124848126222</v>
      </c>
      <c r="N24" s="35">
        <f>ABS(PRODUCT(Tabella83715[[#This Row],[Qvib1]:[Qvib12]]))</f>
        <v>6.1003425793656589</v>
      </c>
    </row>
    <row r="25" spans="1:14" x14ac:dyDescent="0.35">
      <c r="A25" s="34">
        <v>1300</v>
      </c>
      <c r="B25" s="22" cm="1">
        <f t="array" ref="B25">1/(1-EXP(-(Tabella333[Planck h]*Tabella938[Frequenza1])/(Tabella333[Boltzmann k]*Tabella83715[[#This Row],[Temperatura]])))</f>
        <v>-0.3834948711558005</v>
      </c>
      <c r="C25" s="22" cm="1">
        <f t="array" ref="C25">1/(1-EXP(-(Tabella333[Planck h]*Tabella938[Frequenza2])/(Tabella333[Boltzmann k]*Tabella83715[[#This Row],[Temperatura]])))</f>
        <v>2.188378836550342</v>
      </c>
      <c r="D25" s="22" cm="1">
        <f t="array" ref="D25">1/(1-EXP(-(Tabella333[Planck h]*Tabella938[Frequenza3])/(Tabella333[Boltzmann k]*Tabella83715[[#This Row],[Temperatura]])))</f>
        <v>2.1867870851404545</v>
      </c>
      <c r="E25" s="22" cm="1">
        <f t="array" ref="E25">1/(1-EXP(-(Tabella333[Planck h]*Tabella938[Frequenza4])/(Tabella333[Boltzmann k]*Tabella83715[[#This Row],[Temperatura]])))</f>
        <v>1.4362719282373753</v>
      </c>
      <c r="F25" s="22" cm="1">
        <f t="array" ref="F25">1/(1-EXP(-(Tabella333[Planck h]*Tabella938[Frequenza5])/(Tabella333[Boltzmann k]*Tabella83715[[#This Row],[Temperatura]])))</f>
        <v>1.3788135099162504</v>
      </c>
      <c r="G25" s="22" cm="1">
        <f t="array" ref="G25">1/(1-EXP(-(Tabella333[Planck h]*Tabella938[Frequenza6])/(Tabella333[Boltzmann k]*Tabella83715[[#This Row],[Temperatura]])))</f>
        <v>1.3788006769994747</v>
      </c>
      <c r="H25" s="22" cm="1">
        <f t="array" ref="H25">1/(1-EXP(-(Tabella333[Planck h]*Tabella938[Frequenza7])/(Tabella333[Boltzmann k]*Tabella83715[[#This Row],[Temperatura]])))</f>
        <v>1.2560332243358605</v>
      </c>
      <c r="I25" s="22" cm="1">
        <f t="array" ref="I25">1/(1-EXP(-(Tabella333[Planck h]*Tabella938[Frequenza8])/(Tabella333[Boltzmann k]*Tabella83715[[#This Row],[Temperatura]])))</f>
        <v>1.2559644012029985</v>
      </c>
      <c r="J25" s="22" cm="1">
        <f t="array" ref="J25">1/(1-EXP(-(Tabella333[Planck h]*Tabella938[Frequenza9])/(Tabella333[Boltzmann k]*Tabella83715[[#This Row],[Temperatura]])))</f>
        <v>1.1441668619246073</v>
      </c>
      <c r="K25" s="27" cm="1">
        <f t="array" ref="K25">1/(1-EXP(-(Tabella333[Planck h]*Tabella938[Frequenza10])/(Tabella333[Boltzmann k]*Tabella83715[[#This Row],[Temperatura]])))</f>
        <v>1.0341425802544337</v>
      </c>
      <c r="L25" s="22" cm="1">
        <f t="array" ref="L25">1/(1-EXP(-(Tabella333[Planck h]*Tabella938[Frequenza11])/(Tabella333[Boltzmann k]*Tabella83715[[#This Row],[Temperatura]])))</f>
        <v>1.0288360254125237</v>
      </c>
      <c r="M25" s="22" cm="1">
        <f t="array" ref="M25">1/(1-EXP(-(Tabella333[Planck h]*Tabella938[Frequenza12])/(Tabella333[Boltzmann k]*Tabella83715[[#This Row],[Temperatura]])))</f>
        <v>1.0288344362606181</v>
      </c>
      <c r="N25" s="35">
        <f>ABS(PRODUCT(Tabella83715[[#This Row],[Qvib1]:[Qvib12]]))</f>
        <v>9.9008425734505252</v>
      </c>
    </row>
    <row r="26" spans="1:14" x14ac:dyDescent="0.35">
      <c r="A26" s="34">
        <v>1400</v>
      </c>
      <c r="B26" s="22" cm="1">
        <f t="array" ref="B26">1/(1-EXP(-(Tabella333[Planck h]*Tabella938[Frequenza1])/(Tabella333[Boltzmann k]*Tabella83715[[#This Row],[Temperatura]])))</f>
        <v>-0.43636239727209308</v>
      </c>
      <c r="C26" s="22" cm="1">
        <f t="array" ref="C26">1/(1-EXP(-(Tabella333[Planck h]*Tabella938[Frequenza2])/(Tabella333[Boltzmann k]*Tabella83715[[#This Row],[Temperatura]])))</f>
        <v>2.310792130465106</v>
      </c>
      <c r="D26" s="22" cm="1">
        <f t="array" ref="D26">1/(1-EXP(-(Tabella333[Planck h]*Tabella938[Frequenza3])/(Tabella333[Boltzmann k]*Tabella83715[[#This Row],[Temperatura]])))</f>
        <v>2.3090706198948903</v>
      </c>
      <c r="E26" s="22" cm="1">
        <f t="array" ref="E26">1/(1-EXP(-(Tabella333[Planck h]*Tabella938[Frequenza4])/(Tabella333[Boltzmann k]*Tabella83715[[#This Row],[Temperatura]])))</f>
        <v>1.4941819815111745</v>
      </c>
      <c r="F26" s="22" cm="1">
        <f t="array" ref="F26">1/(1-EXP(-(Tabella333[Planck h]*Tabella938[Frequenza5])/(Tabella333[Boltzmann k]*Tabella83715[[#This Row],[Temperatura]])))</f>
        <v>1.4312265061853697</v>
      </c>
      <c r="G26" s="22" cm="1">
        <f t="array" ref="G26">1/(1-EXP(-(Tabella333[Planck h]*Tabella938[Frequenza6])/(Tabella333[Boltzmann k]*Tabella83715[[#This Row],[Temperatura]])))</f>
        <v>1.4312124255038987</v>
      </c>
      <c r="H26" s="22" cm="1">
        <f t="array" ref="H26">1/(1-EXP(-(Tabella333[Planck h]*Tabella938[Frequenza7])/(Tabella333[Boltzmann k]*Tabella83715[[#This Row],[Temperatura]])))</f>
        <v>1.2959510218464851</v>
      </c>
      <c r="I26" s="22" cm="1">
        <f t="array" ref="I26">1/(1-EXP(-(Tabella333[Planck h]*Tabella938[Frequenza8])/(Tabella333[Boltzmann k]*Tabella83715[[#This Row],[Temperatura]])))</f>
        <v>1.2958748030111333</v>
      </c>
      <c r="J26" s="22" cm="1">
        <f t="array" ref="J26">1/(1-EXP(-(Tabella333[Planck h]*Tabella938[Frequenza9])/(Tabella333[Boltzmann k]*Tabella83715[[#This Row],[Temperatura]])))</f>
        <v>1.1710902664922642</v>
      </c>
      <c r="K26" s="27" cm="1">
        <f t="array" ref="K26">1/(1-EXP(-(Tabella333[Planck h]*Tabella938[Frequenza10])/(Tabella333[Boltzmann k]*Tabella83715[[#This Row],[Temperatura]])))</f>
        <v>1.0439756527621282</v>
      </c>
      <c r="L26" s="22" cm="1">
        <f t="array" ref="L26">1/(1-EXP(-(Tabella333[Planck h]*Tabella938[Frequenza11])/(Tabella333[Boltzmann k]*Tabella83715[[#This Row],[Temperatura]])))</f>
        <v>1.0375387713839348</v>
      </c>
      <c r="M26" s="22" cm="1">
        <f t="array" ref="M26">1/(1-EXP(-(Tabella333[Planck h]*Tabella938[Frequenza12])/(Tabella333[Boltzmann k]*Tabella83715[[#This Row],[Temperatura]])))</f>
        <v>1.0375368341402809</v>
      </c>
      <c r="N26" s="35">
        <f>ABS(PRODUCT(Tabella83715[[#This Row],[Qvib1]:[Qvib12]]))</f>
        <v>15.750763555107374</v>
      </c>
    </row>
    <row r="27" spans="1:14" x14ac:dyDescent="0.35">
      <c r="A27" s="34">
        <v>1500</v>
      </c>
      <c r="B27" s="22" cm="1">
        <f t="array" ref="B27">1/(1-EXP(-(Tabella333[Planck h]*Tabella938[Frequenza1])/(Tabella333[Boltzmann k]*Tabella83715[[#This Row],[Temperatura]])))</f>
        <v>-0.49011421169318337</v>
      </c>
      <c r="C27" s="22" cm="1">
        <f t="array" ref="C27">1/(1-EXP(-(Tabella333[Planck h]*Tabella938[Frequenza2])/(Tabella333[Boltzmann k]*Tabella83715[[#This Row],[Temperatura]])))</f>
        <v>2.4336746070797526</v>
      </c>
      <c r="D27" s="22" cm="1">
        <f t="array" ref="D27">1/(1-EXP(-(Tabella333[Planck h]*Tabella938[Frequenza3])/(Tabella333[Boltzmann k]*Tabella83715[[#This Row],[Temperatura]])))</f>
        <v>2.4318237778115055</v>
      </c>
      <c r="E27" s="22" cm="1">
        <f t="array" ref="E27">1/(1-EXP(-(Tabella333[Planck h]*Tabella938[Frequenza4])/(Tabella333[Boltzmann k]*Tabella83715[[#This Row],[Temperatura]])))</f>
        <v>1.5529291632770981</v>
      </c>
      <c r="F27" s="22" cm="1">
        <f t="array" ref="F27">1/(1-EXP(-(Tabella333[Planck h]*Tabella938[Frequenza5])/(Tabella333[Boltzmann k]*Tabella83715[[#This Row],[Temperatura]])))</f>
        <v>1.484528197681968</v>
      </c>
      <c r="G27" s="22" cm="1">
        <f t="array" ref="G27">1/(1-EXP(-(Tabella333[Planck h]*Tabella938[Frequenza6])/(Tabella333[Boltzmann k]*Tabella83715[[#This Row],[Temperatura]])))</f>
        <v>1.4845128813679407</v>
      </c>
      <c r="H27" s="22" cm="1">
        <f t="array" ref="H27">1/(1-EXP(-(Tabella333[Planck h]*Tabella938[Frequenza7])/(Tabella333[Boltzmann k]*Tabella83715[[#This Row],[Temperatura]])))</f>
        <v>1.3368866052826158</v>
      </c>
      <c r="I27" s="22" cm="1">
        <f t="array" ref="I27">1/(1-EXP(-(Tabella333[Planck h]*Tabella938[Frequenza8])/(Tabella333[Boltzmann k]*Tabella83715[[#This Row],[Temperatura]])))</f>
        <v>1.3368030699414422</v>
      </c>
      <c r="J27" s="22" cm="1">
        <f t="array" ref="J27">1/(1-EXP(-(Tabella333[Planck h]*Tabella938[Frequenza9])/(Tabella333[Boltzmann k]*Tabella83715[[#This Row],[Temperatura]])))</f>
        <v>1.1991605234305034</v>
      </c>
      <c r="K27" s="27" cm="1">
        <f t="array" ref="K27">1/(1-EXP(-(Tabella333[Planck h]*Tabella938[Frequenza10])/(Tabella333[Boltzmann k]*Tabella83715[[#This Row],[Temperatura]])))</f>
        <v>1.0548812555058338</v>
      </c>
      <c r="L27" s="22" cm="1">
        <f t="array" ref="L27">1/(1-EXP(-(Tabella333[Planck h]*Tabella938[Frequenza11])/(Tabella333[Boltzmann k]*Tabella83715[[#This Row],[Temperatura]])))</f>
        <v>1.0472757452624428</v>
      </c>
      <c r="M27" s="22" cm="1">
        <f t="array" ref="M27">1/(1-EXP(-(Tabella333[Planck h]*Tabella938[Frequenza12])/(Tabella333[Boltzmann k]*Tabella83715[[#This Row],[Temperatura]])))</f>
        <v>1.0472734468040759</v>
      </c>
      <c r="N27" s="35">
        <f>ABS(PRODUCT(Tabella83715[[#This Row],[Qvib1]:[Qvib12]]))</f>
        <v>24.613876478193315</v>
      </c>
    </row>
    <row r="28" spans="1:14" x14ac:dyDescent="0.35">
      <c r="A28" s="34">
        <v>1600</v>
      </c>
      <c r="B28" s="22" cm="1">
        <f t="array" ref="B28">1/(1-EXP(-(Tabella333[Planck h]*Tabella938[Frequenza1])/(Tabella333[Boltzmann k]*Tabella83715[[#This Row],[Temperatura]])))</f>
        <v>-0.54459762510099841</v>
      </c>
      <c r="C28" s="22" cm="1">
        <f t="array" ref="C28">1/(1-EXP(-(Tabella333[Planck h]*Tabella938[Frequenza2])/(Tabella333[Boltzmann k]*Tabella83715[[#This Row],[Temperatura]])))</f>
        <v>2.5569398907443559</v>
      </c>
      <c r="D28" s="22" cm="1">
        <f t="array" ref="D28">1/(1-EXP(-(Tabella333[Planck h]*Tabella938[Frequenza3])/(Tabella333[Boltzmann k]*Tabella83715[[#This Row],[Temperatura]])))</f>
        <v>2.554960105347809</v>
      </c>
      <c r="E28" s="22" cm="1">
        <f t="array" ref="E28">1/(1-EXP(-(Tabella333[Planck h]*Tabella938[Frequenza4])/(Tabella333[Boltzmann k]*Tabella83715[[#This Row],[Temperatura]])))</f>
        <v>1.6123672436998819</v>
      </c>
      <c r="F28" s="22" cm="1">
        <f t="array" ref="F28">1/(1-EXP(-(Tabella333[Planck h]*Tabella938[Frequenza5])/(Tabella333[Boltzmann k]*Tabella83715[[#This Row],[Temperatura]])))</f>
        <v>1.5385653144527822</v>
      </c>
      <c r="G28" s="22" cm="1">
        <f t="array" ref="G28">1/(1-EXP(-(Tabella333[Planck h]*Tabella938[Frequenza6])/(Tabella333[Boltzmann k]*Tabella83715[[#This Row],[Temperatura]])))</f>
        <v>1.5385487730457386</v>
      </c>
      <c r="H28" s="22" cm="1">
        <f t="array" ref="H28">1/(1-EXP(-(Tabella333[Planck h]*Tabella938[Frequenza7])/(Tabella333[Boltzmann k]*Tabella83715[[#This Row],[Temperatura]])))</f>
        <v>1.3786721327418439</v>
      </c>
      <c r="I28" s="22" cm="1">
        <f t="array" ref="I28">1/(1-EXP(-(Tabella333[Planck h]*Tabella938[Frequenza8])/(Tabella333[Boltzmann k]*Tabella83715[[#This Row],[Temperatura]])))</f>
        <v>1.3785813530692024</v>
      </c>
      <c r="J28" s="22" cm="1">
        <f t="array" ref="J28">1/(1-EXP(-(Tabella333[Planck h]*Tabella938[Frequenza9])/(Tabella333[Boltzmann k]*Tabella83715[[#This Row],[Temperatura]])))</f>
        <v>1.2282058198896788</v>
      </c>
      <c r="K28" s="27" cm="1">
        <f t="array" ref="K28">1/(1-EXP(-(Tabella333[Planck h]*Tabella938[Frequenza10])/(Tabella333[Boltzmann k]*Tabella83715[[#This Row],[Temperatura]])))</f>
        <v>1.0667611607723311</v>
      </c>
      <c r="L28" s="22" cm="1">
        <f t="array" ref="L28">1/(1-EXP(-(Tabella333[Planck h]*Tabella938[Frequenza11])/(Tabella333[Boltzmann k]*Tabella83715[[#This Row],[Temperatura]])))</f>
        <v>1.0579610061349918</v>
      </c>
      <c r="M28" s="22" cm="1">
        <f t="array" ref="M28">1/(1-EXP(-(Tabella333[Planck h]*Tabella938[Frequenza12])/(Tabella333[Boltzmann k]*Tabella83715[[#This Row],[Temperatura]])))</f>
        <v>1.057958337344062</v>
      </c>
      <c r="N28" s="35">
        <f>ABS(PRODUCT(Tabella83715[[#This Row],[Qvib1]:[Qvib12]]))</f>
        <v>37.847877284575837</v>
      </c>
    </row>
    <row r="29" spans="1:14" x14ac:dyDescent="0.35">
      <c r="A29" s="34">
        <v>1700</v>
      </c>
      <c r="B29" s="22" cm="1">
        <f t="array" ref="B29">1/(1-EXP(-(Tabella333[Planck h]*Tabella938[Frequenza1])/(Tabella333[Boltzmann k]*Tabella83715[[#This Row],[Temperatura]])))</f>
        <v>-0.59969253083153806</v>
      </c>
      <c r="C29" s="22" cm="1">
        <f t="array" ref="C29">1/(1-EXP(-(Tabella333[Planck h]*Tabella938[Frequenza2])/(Tabella333[Boltzmann k]*Tabella83715[[#This Row],[Temperatura]])))</f>
        <v>2.6805215060131715</v>
      </c>
      <c r="D29" s="22" cm="1">
        <f t="array" ref="D29">1/(1-EXP(-(Tabella333[Planck h]*Tabella938[Frequenza3])/(Tabella333[Boltzmann k]*Tabella83715[[#This Row],[Temperatura]])))</f>
        <v>2.6784130662575563</v>
      </c>
      <c r="E29" s="22" cm="1">
        <f t="array" ref="E29">1/(1-EXP(-(Tabella333[Planck h]*Tabella938[Frequenza4])/(Tabella333[Boltzmann k]*Tabella83715[[#This Row],[Temperatura]])))</f>
        <v>1.672381643895146</v>
      </c>
      <c r="F29" s="22" cm="1">
        <f t="array" ref="F29">1/(1-EXP(-(Tabella333[Planck h]*Tabella938[Frequenza5])/(Tabella333[Boltzmann k]*Tabella83715[[#This Row],[Temperatura]])))</f>
        <v>1.5932172456215901</v>
      </c>
      <c r="G29" s="22" cm="1">
        <f t="array" ref="G29">1/(1-EXP(-(Tabella333[Planck h]*Tabella938[Frequenza6])/(Tabella333[Boltzmann k]*Tabella83715[[#This Row],[Temperatura]])))</f>
        <v>1.5931994882761524</v>
      </c>
      <c r="H29" s="22" cm="1">
        <f t="array" ref="H29">1/(1-EXP(-(Tabella333[Planck h]*Tabella938[Frequenza7])/(Tabella333[Boltzmann k]*Tabella83715[[#This Row],[Temperatura]])))</f>
        <v>1.4211735523589355</v>
      </c>
      <c r="I29" s="22" cm="1">
        <f t="array" ref="I29">1/(1-EXP(-(Tabella333[Planck h]*Tabella938[Frequenza8])/(Tabella333[Boltzmann k]*Tabella83715[[#This Row],[Temperatura]])))</f>
        <v>1.4210755933411627</v>
      </c>
      <c r="J29" s="22" cm="1">
        <f t="array" ref="J29">1/(1-EXP(-(Tabella333[Planck h]*Tabella938[Frequenza9])/(Tabella333[Boltzmann k]*Tabella83715[[#This Row],[Temperatura]])))</f>
        <v>1.2580846388052522</v>
      </c>
      <c r="K29" s="27" cm="1">
        <f t="array" ref="K29">1/(1-EXP(-(Tabella333[Planck h]*Tabella938[Frequenza10])/(Tabella333[Boltzmann k]*Tabella83715[[#This Row],[Temperatura]])))</f>
        <v>1.0795215162653424</v>
      </c>
      <c r="L29" s="22" cm="1">
        <f t="array" ref="L29">1/(1-EXP(-(Tabella333[Planck h]*Tabella938[Frequenza11])/(Tabella333[Boltzmann k]*Tabella83715[[#This Row],[Temperatura]])))</f>
        <v>1.0695099860514343</v>
      </c>
      <c r="M29" s="22" cm="1">
        <f t="array" ref="M29">1/(1-EXP(-(Tabella333[Planck h]*Tabella938[Frequenza12])/(Tabella333[Boltzmann k]*Tabella83715[[#This Row],[Temperatura]])))</f>
        <v>1.0695069408747366</v>
      </c>
      <c r="N29" s="35">
        <f>ABS(PRODUCT(Tabella83715[[#This Row],[Qvib1]:[Qvib12]]))</f>
        <v>57.342939372270365</v>
      </c>
    </row>
    <row r="30" spans="1:14" x14ac:dyDescent="0.35">
      <c r="A30" s="34">
        <v>1800</v>
      </c>
      <c r="B30" s="22" cm="1">
        <f t="array" ref="B30">1/(1-EXP(-(Tabella333[Planck h]*Tabella938[Frequenza1])/(Tabella333[Boltzmann k]*Tabella83715[[#This Row],[Temperatura]])))</f>
        <v>-0.65530332101406485</v>
      </c>
      <c r="C30" s="22" cm="1">
        <f t="array" ref="C30">1/(1-EXP(-(Tabella333[Planck h]*Tabella938[Frequenza2])/(Tabella333[Boltzmann k]*Tabella83715[[#This Row],[Temperatura]])))</f>
        <v>2.8043674776653971</v>
      </c>
      <c r="D30" s="22" cm="1">
        <f t="array" ref="D30">1/(1-EXP(-(Tabella333[Planck h]*Tabella938[Frequenza3])/(Tabella333[Boltzmann k]*Tabella83715[[#This Row],[Temperatura]])))</f>
        <v>2.8021306372335562</v>
      </c>
      <c r="E30" s="22" cm="1">
        <f t="array" ref="E30">1/(1-EXP(-(Tabella333[Planck h]*Tabella938[Frequenza4])/(Tabella333[Boltzmann k]*Tabella83715[[#This Row],[Temperatura]])))</f>
        <v>1.7328814470838405</v>
      </c>
      <c r="F30" s="22" cm="1">
        <f t="array" ref="F30">1/(1-EXP(-(Tabella333[Planck h]*Tabella938[Frequenza5])/(Tabella333[Boltzmann k]*Tabella83715[[#This Row],[Temperatura]])))</f>
        <v>1.6483879509220911</v>
      </c>
      <c r="G30" s="22" cm="1">
        <f t="array" ref="G30">1/(1-EXP(-(Tabella333[Planck h]*Tabella938[Frequenza6])/(Tabella333[Boltzmann k]*Tabella83715[[#This Row],[Temperatura]])))</f>
        <v>1.6483689856040469</v>
      </c>
      <c r="H30" s="22" cm="1">
        <f t="array" ref="H30">1/(1-EXP(-(Tabella333[Planck h]*Tabella938[Frequenza7])/(Tabella333[Boltzmann k]*Tabella83715[[#This Row],[Temperatura]])))</f>
        <v>1.4642828143410829</v>
      </c>
      <c r="I30" s="22" cm="1">
        <f t="array" ref="I30">1/(1-EXP(-(Tabella333[Planck h]*Tabella938[Frequenza8])/(Tabella333[Boltzmann k]*Tabella83715[[#This Row],[Temperatura]])))</f>
        <v>1.4641777341275031</v>
      </c>
      <c r="J30" s="22" cm="1">
        <f t="array" ref="J30">1/(1-EXP(-(Tabella333[Planck h]*Tabella938[Frequenza9])/(Tabella333[Boltzmann k]*Tabella83715[[#This Row],[Temperatura]])))</f>
        <v>1.2886800043857831</v>
      </c>
      <c r="K30" s="27" cm="1">
        <f t="array" ref="K30">1/(1-EXP(-(Tabella333[Planck h]*Tabella938[Frequenza10])/(Tabella333[Boltzmann k]*Tabella83715[[#This Row],[Temperatura]])))</f>
        <v>1.0930751489063524</v>
      </c>
      <c r="L30" s="22" cm="1">
        <f t="array" ref="L30">1/(1-EXP(-(Tabella333[Planck h]*Tabella938[Frequenza11])/(Tabella333[Boltzmann k]*Tabella83715[[#This Row],[Temperatura]])))</f>
        <v>1.0818424184957973</v>
      </c>
      <c r="M30" s="22" cm="1">
        <f t="array" ref="M30">1/(1-EXP(-(Tabella333[Planck h]*Tabella938[Frequenza12])/(Tabella333[Boltzmann k]*Tabella83715[[#This Row],[Temperatura]])))</f>
        <v>1.0818389931873551</v>
      </c>
      <c r="N30" s="35">
        <f>ABS(PRODUCT(Tabella83715[[#This Row],[Qvib1]:[Qvib12]]))</f>
        <v>85.701593721537634</v>
      </c>
    </row>
    <row r="31" spans="1:14" x14ac:dyDescent="0.35">
      <c r="A31" s="34">
        <v>1900</v>
      </c>
      <c r="B31" s="22" cm="1">
        <f t="array" ref="B31">1/(1-EXP(-(Tabella333[Planck h]*Tabella938[Frequenza1])/(Tabella333[Boltzmann k]*Tabella83715[[#This Row],[Temperatura]])))</f>
        <v>-0.7113530464406902</v>
      </c>
      <c r="C31" s="22" cm="1">
        <f t="array" ref="C31">1/(1-EXP(-(Tabella333[Planck h]*Tabella938[Frequenza2])/(Tabella333[Boltzmann k]*Tabella83715[[#This Row],[Temperatura]])))</f>
        <v>2.9284365931599954</v>
      </c>
      <c r="D31" s="22" cm="1">
        <f t="array" ref="D31">1/(1-EXP(-(Tabella333[Planck h]*Tabella938[Frequenza3])/(Tabella333[Boltzmann k]*Tabella83715[[#This Row],[Temperatura]])))</f>
        <v>2.9260715672443158</v>
      </c>
      <c r="E31" s="22" cm="1">
        <f t="array" ref="E31">1/(1-EXP(-(Tabella333[Planck h]*Tabella938[Frequenza4])/(Tabella333[Boltzmann k]*Tabella83715[[#This Row],[Temperatura]])))</f>
        <v>1.7937936736291182</v>
      </c>
      <c r="F31" s="22" cm="1">
        <f t="array" ref="F31">1/(1-EXP(-(Tabella333[Planck h]*Tabella938[Frequenza5])/(Tabella333[Boltzmann k]*Tabella83715[[#This Row],[Temperatura]])))</f>
        <v>1.704000112375474</v>
      </c>
      <c r="G31" s="22" cm="1">
        <f t="array" ref="G31">1/(1-EXP(-(Tabella333[Planck h]*Tabella938[Frequenza6])/(Tabella333[Boltzmann k]*Tabella83715[[#This Row],[Temperatura]])))</f>
        <v>1.7039799460359608</v>
      </c>
      <c r="H31" s="22" cm="1">
        <f t="array" ref="H31">1/(1-EXP(-(Tabella333[Planck h]*Tabella938[Frequenza7])/(Tabella333[Boltzmann k]*Tabella83715[[#This Row],[Temperatura]])))</f>
        <v>1.5079120487593622</v>
      </c>
      <c r="I31" s="22" cm="1">
        <f t="array" ref="I31">1/(1-EXP(-(Tabella333[Planck h]*Tabella938[Frequenza8])/(Tabella333[Boltzmann k]*Tabella83715[[#This Row],[Temperatura]])))</f>
        <v>1.5077998992348927</v>
      </c>
      <c r="J31" s="22" cm="1">
        <f t="array" ref="J31">1/(1-EXP(-(Tabella333[Planck h]*Tabella938[Frequenza9])/(Tabella333[Boltzmann k]*Tabella83715[[#This Row],[Temperatura]])))</f>
        <v>1.3198947820478681</v>
      </c>
      <c r="K31" s="27" cm="1">
        <f t="array" ref="K31">1/(1-EXP(-(Tabella333[Planck h]*Tabella938[Frequenza10])/(Tabella333[Boltzmann k]*Tabella83715[[#This Row],[Temperatura]])))</f>
        <v>1.1073425278643703</v>
      </c>
      <c r="L31" s="22" cm="1">
        <f t="array" ref="L31">1/(1-EXP(-(Tabella333[Planck h]*Tabella938[Frequenza11])/(Tabella333[Boltzmann k]*Tabella83715[[#This Row],[Temperatura]])))</f>
        <v>1.0948838418754714</v>
      </c>
      <c r="M31" s="22" cm="1">
        <f t="array" ref="M31">1/(1-EXP(-(Tabella333[Planck h]*Tabella938[Frequenza12])/(Tabella333[Boltzmann k]*Tabella83715[[#This Row],[Temperatura]])))</f>
        <v>1.0948800344032525</v>
      </c>
      <c r="N31" s="35">
        <f>ABS(PRODUCT(Tabella83715[[#This Row],[Qvib1]:[Qvib12]]))</f>
        <v>126.47018299048813</v>
      </c>
    </row>
    <row r="32" spans="1:14" ht="15" thickBot="1" x14ac:dyDescent="0.4">
      <c r="A32" s="36">
        <v>2000</v>
      </c>
      <c r="B32" s="37" cm="1">
        <f t="array" ref="B32">1/(1-EXP(-(Tabella333[Planck h]*Tabella938[Frequenza1])/(Tabella333[Boltzmann k]*Tabella83715[[#This Row],[Temperatura]])))</f>
        <v>-0.76777914214651766</v>
      </c>
      <c r="C32" s="37" cm="1">
        <f t="array" ref="C32">1/(1-EXP(-(Tabella333[Planck h]*Tabella938[Frequenza2])/(Tabella333[Boltzmann k]*Tabella83715[[#This Row],[Temperatura]])))</f>
        <v>3.0526957612970529</v>
      </c>
      <c r="D32" s="37" cm="1">
        <f t="array" ref="D32">1/(1-EXP(-(Tabella333[Planck h]*Tabella938[Frequenza3])/(Tabella333[Boltzmann k]*Tabella83715[[#This Row],[Temperatura]])))</f>
        <v>3.0502027339404401</v>
      </c>
      <c r="E32" s="37" cm="1">
        <f t="array" ref="E32">1/(1-EXP(-(Tabella333[Planck h]*Tabella938[Frequenza4])/(Tabella333[Boltzmann k]*Tabella83715[[#This Row],[Temperatura]])))</f>
        <v>1.8550591183058751</v>
      </c>
      <c r="F32" s="37" cm="1">
        <f t="array" ref="F32">1/(1-EXP(-(Tabella333[Planck h]*Tabella938[Frequenza5])/(Tabella333[Boltzmann k]*Tabella83715[[#This Row],[Temperatura]])))</f>
        <v>1.7599908509945641</v>
      </c>
      <c r="G32" s="37" cm="1">
        <f t="array" ref="G32">1/(1-EXP(-(Tabella333[Planck h]*Tabella938[Frequenza6])/(Tabella333[Boltzmann k]*Tabella83715[[#This Row],[Temperatura]])))</f>
        <v>1.7599694897202149</v>
      </c>
      <c r="H32" s="37" cm="1">
        <f t="array" ref="H32">1/(1-EXP(-(Tabella333[Planck h]*Tabella938[Frequenza7])/(Tabella333[Boltzmann k]*Tabella83715[[#This Row],[Temperatura]])))</f>
        <v>1.5519891860595163</v>
      </c>
      <c r="I32" s="37" cm="1">
        <f t="array" ref="I32">1/(1-EXP(-(Tabella333[Planck h]*Tabella938[Frequenza8])/(Tabella333[Boltzmann k]*Tabella83715[[#This Row],[Temperatura]])))</f>
        <v>1.5518700134861263</v>
      </c>
      <c r="J32" s="37" cm="1">
        <f t="array" ref="J32">1/(1-EXP(-(Tabella333[Planck h]*Tabella938[Frequenza9])/(Tabella333[Boltzmann k]*Tabella83715[[#This Row],[Temperatura]])))</f>
        <v>1.3516478975777437</v>
      </c>
      <c r="K32" s="38" cm="1">
        <f t="array" ref="K32">1/(1-EXP(-(Tabella333[Planck h]*Tabella938[Frequenza10])/(Tabella333[Boltzmann k]*Tabella83715[[#This Row],[Temperatura]])))</f>
        <v>1.1222519249292837</v>
      </c>
      <c r="L32" s="37" cm="1">
        <f t="array" ref="L32">1/(1-EXP(-(Tabella333[Planck h]*Tabella938[Frequenza11])/(Tabella333[Boltzmann k]*Tabella83715[[#This Row],[Temperatura]])))</f>
        <v>1.1085661998990324</v>
      </c>
      <c r="M32" s="37" cm="1">
        <f t="array" ref="M32">1/(1-EXP(-(Tabella333[Planck h]*Tabella938[Frequenza12])/(Tabella333[Boltzmann k]*Tabella83715[[#This Row],[Temperatura]])))</f>
        <v>1.1085620094884594</v>
      </c>
      <c r="N32" s="39">
        <f>ABS(PRODUCT(Tabella83715[[#This Row],[Qvib1]:[Qvib12]]))</f>
        <v>184.43418959534648</v>
      </c>
    </row>
    <row r="34" spans="1:9" ht="15" thickBot="1" x14ac:dyDescent="0.4"/>
    <row r="35" spans="1:9" ht="15" thickBot="1" x14ac:dyDescent="0.4">
      <c r="A35" s="28" t="s">
        <v>38</v>
      </c>
      <c r="B35" s="29" t="s">
        <v>55</v>
      </c>
      <c r="C35" s="29" t="s">
        <v>56</v>
      </c>
      <c r="D35" s="29" t="s">
        <v>57</v>
      </c>
      <c r="E35" s="29" t="s">
        <v>58</v>
      </c>
      <c r="F35" s="30" t="s">
        <v>59</v>
      </c>
      <c r="I35" s="42" t="s">
        <v>60</v>
      </c>
    </row>
    <row r="36" spans="1:9" x14ac:dyDescent="0.35">
      <c r="A36" s="21">
        <v>298.14999999999998</v>
      </c>
      <c r="B36" s="22" cm="1">
        <f t="array" ref="B36">(Tabella333[Boltzmann k]*A36)/101325</f>
        <v>4.0625758633111278E-26</v>
      </c>
      <c r="C36" s="22" cm="1">
        <f t="array" ref="C36">POWER((2*PI()*Tabella333[Massa '[kg']]*Tabella333[Boltzmann k]*A36)/(POWER(Tabella333[Planck h],2)),1.5)*B36</f>
        <v>2763209.8774612993</v>
      </c>
      <c r="D36" s="23">
        <f>N15</f>
        <v>4.3772576982112621E-3</v>
      </c>
      <c r="E36" s="22" cm="1">
        <f t="array" ref="E36">((SQRT(PI())/Tabella636[Simmetria]))*(SQRT(POWER(A36,3)/PRODUCT($F$7,$G$7,$H$7)))</f>
        <v>1224.8868548241576</v>
      </c>
      <c r="F36" s="9">
        <v>2</v>
      </c>
      <c r="I36" s="40">
        <f>F36*E36*D36*C36</f>
        <v>29630703.138781227</v>
      </c>
    </row>
    <row r="37" spans="1:9" x14ac:dyDescent="0.35">
      <c r="A37" s="21">
        <v>400</v>
      </c>
      <c r="B37" s="22" cm="1">
        <f t="array" ref="B37">(Tabella333[Boltzmann k]*A37)/101325</f>
        <v>5.4503784850727862E-26</v>
      </c>
      <c r="C37" s="22" cm="1">
        <f t="array" ref="C37">POWER((2*PI()*Tabella333[Massa '[kg']]*Tabella333[Boltzmann k]*A37)/(POWER(Tabella333[Planck h],2)),1.5)*B37</f>
        <v>5760720.6624880955</v>
      </c>
      <c r="D37" s="23">
        <f t="shared" ref="D37:D53" si="0">N16</f>
        <v>2.2484190271629859E-2</v>
      </c>
      <c r="E37" s="22" cm="1">
        <f t="array" ref="E37">((SQRT(PI())/Tabella636[Simmetria]))*(SQRT(POWER(A37,3)/PRODUCT($F$7,$G$7,$H$7)))</f>
        <v>1903.4161084933917</v>
      </c>
      <c r="F37" s="9">
        <v>2</v>
      </c>
      <c r="I37" s="40">
        <f t="shared" ref="I37:I53" si="1">F37*E37*D37*C37</f>
        <v>493080473.87110025</v>
      </c>
    </row>
    <row r="38" spans="1:9" x14ac:dyDescent="0.35">
      <c r="A38" s="21">
        <v>500</v>
      </c>
      <c r="B38" s="22" cm="1">
        <f t="array" ref="B38">(Tabella333[Boltzmann k]*A38)/101325</f>
        <v>6.8129731063409828E-26</v>
      </c>
      <c r="C38" s="22" cm="1">
        <f t="array" ref="C38">POWER((2*PI()*Tabella333[Massa '[kg']]*Tabella333[Boltzmann k]*A38)/(POWER(Tabella333[Planck h],2)),1.5)*B38</f>
        <v>10063564.844305387</v>
      </c>
      <c r="D38" s="23">
        <f t="shared" si="0"/>
        <v>6.7980240878437903E-2</v>
      </c>
      <c r="E38" s="22" cm="1">
        <f t="array" ref="E38">((SQRT(PI())/Tabella636[Simmetria]))*(SQRT(POWER(A38,3)/PRODUCT($F$7,$G$7,$H$7)))</f>
        <v>2660.1048800370868</v>
      </c>
      <c r="F38" s="9">
        <v>2</v>
      </c>
      <c r="I38" s="40">
        <f t="shared" si="1"/>
        <v>3639680852.7751827</v>
      </c>
    </row>
    <row r="39" spans="1:9" x14ac:dyDescent="0.35">
      <c r="A39" s="21">
        <v>600</v>
      </c>
      <c r="B39" s="22" cm="1">
        <f t="array" ref="B39">(Tabella333[Boltzmann k]*A39)/101325</f>
        <v>8.1755677276091782E-26</v>
      </c>
      <c r="C39" s="22" cm="1">
        <f t="array" ref="C39">POWER((2*PI()*Tabella333[Massa '[kg']]*Tabella333[Boltzmann k]*A39)/(POWER(Tabella333[Planck h],2)),1.5)*B39</f>
        <v>15874679.44552929</v>
      </c>
      <c r="D39" s="23">
        <f t="shared" si="0"/>
        <v>0.16282562296723502</v>
      </c>
      <c r="E39" s="22" cm="1">
        <f t="array" ref="E39">((SQRT(PI())/Tabella636[Simmetria]))*(SQRT(POWER(A39,3)/PRODUCT($F$7,$G$7,$H$7)))</f>
        <v>3496.7986755021275</v>
      </c>
      <c r="F39" s="9">
        <v>2</v>
      </c>
      <c r="I39" s="40">
        <f t="shared" si="1"/>
        <v>18077082394.479176</v>
      </c>
    </row>
    <row r="40" spans="1:9" x14ac:dyDescent="0.35">
      <c r="A40" s="21">
        <v>700</v>
      </c>
      <c r="B40" s="22" cm="1">
        <f t="array" ref="B40">(Tabella333[Boltzmann k]*A40)/101325</f>
        <v>9.5381623488773759E-26</v>
      </c>
      <c r="C40" s="22" cm="1">
        <f t="array" ref="C40">POWER((2*PI()*Tabella333[Massa '[kg']]*Tabella333[Boltzmann k]*A40)/(POWER(Tabella333[Planck h],2)),1.5)*B40</f>
        <v>23338446.188352447</v>
      </c>
      <c r="D40" s="23">
        <f t="shared" si="0"/>
        <v>0.34276438317678859</v>
      </c>
      <c r="E40" s="22" cm="1">
        <f t="array" ref="E40">((SQRT(PI())/Tabella636[Simmetria]))*(SQRT(POWER(A40,3)/PRODUCT($F$7,$G$7,$H$7)))</f>
        <v>4406.4699564793709</v>
      </c>
      <c r="F40" s="9">
        <v>2</v>
      </c>
      <c r="I40" s="40">
        <f t="shared" si="1"/>
        <v>70499889359.962418</v>
      </c>
    </row>
    <row r="41" spans="1:9" x14ac:dyDescent="0.35">
      <c r="A41" s="21">
        <v>800</v>
      </c>
      <c r="B41" s="22" cm="1">
        <f t="array" ref="B41">(Tabella333[Boltzmann k]*A41)/101325</f>
        <v>1.0900756970145572E-25</v>
      </c>
      <c r="C41" s="22" cm="1">
        <f t="array" ref="C41">POWER((2*PI()*Tabella333[Massa '[kg']]*Tabella333[Boltzmann k]*A41)/(POWER(Tabella333[Planck h],2)),1.5)*B41</f>
        <v>32587557.159734435</v>
      </c>
      <c r="D41" s="23">
        <f t="shared" si="0"/>
        <v>0.66553590799999507</v>
      </c>
      <c r="E41" s="22" cm="1">
        <f t="array" ref="E41">((SQRT(PI())/Tabella636[Simmetria]))*(SQRT(POWER(A41,3)/PRODUCT($F$7,$G$7,$H$7)))</f>
        <v>5383.6737509415461</v>
      </c>
      <c r="F41" s="9">
        <v>2</v>
      </c>
      <c r="I41" s="40">
        <f t="shared" si="1"/>
        <v>233524272428.12747</v>
      </c>
    </row>
    <row r="42" spans="1:9" x14ac:dyDescent="0.35">
      <c r="A42" s="21">
        <v>900</v>
      </c>
      <c r="B42" s="22" cm="1">
        <f t="array" ref="B42">(Tabella333[Boltzmann k]*A42)/101325</f>
        <v>1.2263351591413768E-25</v>
      </c>
      <c r="C42" s="22" cm="1">
        <f t="array" ref="C42">POWER((2*PI()*Tabella333[Massa '[kg']]*Tabella333[Boltzmann k]*A42)/(POWER(Tabella333[Planck h],2)),1.5)*B42</f>
        <v>43745472.530769035</v>
      </c>
      <c r="D42" s="23">
        <f t="shared" si="0"/>
        <v>1.2222736276975388</v>
      </c>
      <c r="E42" s="22" cm="1">
        <f t="array" ref="E42">((SQRT(PI())/Tabella636[Simmetria]))*(SQRT(POWER(A42,3)/PRODUCT($F$7,$G$7,$H$7)))</f>
        <v>6424.0293661651967</v>
      </c>
      <c r="F42" s="9">
        <v>2</v>
      </c>
      <c r="I42" s="40">
        <f t="shared" si="1"/>
        <v>686972048141.49683</v>
      </c>
    </row>
    <row r="43" spans="1:9" x14ac:dyDescent="0.35">
      <c r="A43" s="21">
        <v>1000</v>
      </c>
      <c r="B43" s="22" cm="1">
        <f t="array" ref="B43">(Tabella333[Boltzmann k]*A43)/101325</f>
        <v>1.3625946212681966E-25</v>
      </c>
      <c r="C43" s="22" cm="1">
        <f t="array" ref="C43">POWER((2*PI()*Tabella333[Massa '[kg']]*Tabella333[Boltzmann k]*A43)/(POWER(Tabella333[Planck h],2)),1.5)*B43</f>
        <v>56928119.554551207</v>
      </c>
      <c r="D43" s="23">
        <f t="shared" si="0"/>
        <v>2.1538107644526643</v>
      </c>
      <c r="E43" s="22" cm="1">
        <f t="array" ref="E43">((SQRT(PI())/Tabella636[Simmetria]))*(SQRT(POWER(A43,3)/PRODUCT($F$7,$G$7,$H$7)))</f>
        <v>7523.9127973666054</v>
      </c>
      <c r="F43" s="9">
        <v>2</v>
      </c>
      <c r="I43" s="40">
        <f t="shared" si="1"/>
        <v>1845049961243.2903</v>
      </c>
    </row>
    <row r="44" spans="1:9" x14ac:dyDescent="0.35">
      <c r="A44" s="21">
        <v>1100</v>
      </c>
      <c r="B44" s="22" cm="1">
        <f t="array" ref="B44">(Tabella333[Boltzmann k]*A44)/101325</f>
        <v>1.4988540833950161E-25</v>
      </c>
      <c r="C44" s="22" cm="1">
        <f t="array" ref="C44">POWER((2*PI()*Tabella333[Massa '[kg']]*Tabella333[Boltzmann k]*A44)/(POWER(Tabella333[Planck h],2)),1.5)*B44</f>
        <v>72245125.753187329</v>
      </c>
      <c r="D44" s="23">
        <f t="shared" si="0"/>
        <v>3.6737143128631038</v>
      </c>
      <c r="E44" s="22" cm="1">
        <f t="array" ref="E44">((SQRT(PI())/Tabella636[Simmetria]))*(SQRT(POWER(A44,3)/PRODUCT($F$7,$G$7,$H$7)))</f>
        <v>8680.2609462126075</v>
      </c>
      <c r="F44" s="9">
        <v>2</v>
      </c>
      <c r="I44" s="40">
        <f t="shared" si="1"/>
        <v>4607620570044.4219</v>
      </c>
    </row>
    <row r="45" spans="1:9" x14ac:dyDescent="0.35">
      <c r="A45" s="21">
        <v>1200</v>
      </c>
      <c r="B45" s="22" cm="1">
        <f t="array" ref="B45">(Tabella333[Boltzmann k]*A45)/101325</f>
        <v>1.6351135455218356E-25</v>
      </c>
      <c r="C45" s="22" cm="1">
        <f t="array" ref="C45">POWER((2*PI()*Tabella333[Massa '[kg']]*Tabella333[Boltzmann k]*A45)/(POWER(Tabella333[Planck h],2)),1.5)*B45</f>
        <v>89800747.880770683</v>
      </c>
      <c r="D45" s="23">
        <f t="shared" si="0"/>
        <v>6.1003425793656589</v>
      </c>
      <c r="E45" s="22" cm="1">
        <f t="array" ref="E45">((SQRT(PI())/Tabella636[Simmetria]))*(SQRT(POWER(A45,3)/PRODUCT($F$7,$G$7,$H$7)))</f>
        <v>9890.4402235667676</v>
      </c>
      <c r="F45" s="9">
        <v>2</v>
      </c>
      <c r="I45" s="40">
        <f t="shared" si="1"/>
        <v>10836269469842.055</v>
      </c>
    </row>
    <row r="46" spans="1:9" x14ac:dyDescent="0.35">
      <c r="A46" s="21">
        <v>1300</v>
      </c>
      <c r="B46" s="22" cm="1">
        <f t="array" ref="B46">(Tabella333[Boltzmann k]*A46)/101325</f>
        <v>1.7713730076486554E-25</v>
      </c>
      <c r="C46" s="22" cm="1">
        <f t="array" ref="C46">POWER((2*PI()*Tabella333[Massa '[kg']]*Tabella333[Boltzmann k]*A46)/(POWER(Tabella333[Planck h],2)),1.5)*B46</f>
        <v>109694592.52331829</v>
      </c>
      <c r="D46" s="23">
        <f t="shared" si="0"/>
        <v>9.9008425734505252</v>
      </c>
      <c r="E46" s="22" cm="1">
        <f t="array" ref="E46">((SQRT(PI())/Tabella636[Simmetria]))*(SQRT(POWER(A46,3)/PRODUCT($F$7,$G$7,$H$7)))</f>
        <v>11152.154613790208</v>
      </c>
      <c r="F46" s="9">
        <v>2</v>
      </c>
      <c r="I46" s="40">
        <f t="shared" si="1"/>
        <v>24224016403650.043</v>
      </c>
    </row>
    <row r="47" spans="1:9" x14ac:dyDescent="0.35">
      <c r="A47" s="21">
        <v>1400</v>
      </c>
      <c r="B47" s="22" cm="1">
        <f t="array" ref="B47">(Tabella333[Boltzmann k]*A47)/101325</f>
        <v>1.9076324697754752E-25</v>
      </c>
      <c r="C47" s="22" cm="1">
        <f t="array" ref="C47">POWER((2*PI()*Tabella333[Massa '[kg']]*Tabella333[Boltzmann k]*A47)/(POWER(Tabella333[Planck h],2)),1.5)*B47</f>
        <v>132022188.49713115</v>
      </c>
      <c r="D47" s="23">
        <f t="shared" si="0"/>
        <v>15.750763555107374</v>
      </c>
      <c r="E47" s="22" cm="1">
        <f t="array" ref="E47">((SQRT(PI())/Tabella636[Simmetria]))*(SQRT(POWER(A47,3)/PRODUCT($F$7,$G$7,$H$7)))</f>
        <v>12463.379149285416</v>
      </c>
      <c r="F47" s="9">
        <v>2</v>
      </c>
      <c r="I47" s="40">
        <f t="shared" si="1"/>
        <v>51833954399971.508</v>
      </c>
    </row>
    <row r="48" spans="1:9" x14ac:dyDescent="0.35">
      <c r="A48" s="21">
        <v>1500</v>
      </c>
      <c r="B48" s="22" cm="1">
        <f t="array" ref="B48">(Tabella333[Boltzmann k]*A48)/101325</f>
        <v>2.0438919319022949E-25</v>
      </c>
      <c r="C48" s="22" cm="1">
        <f t="array" ref="C48">POWER((2*PI()*Tabella333[Massa '[kg']]*Tabella333[Boltzmann k]*A48)/(POWER(Tabella333[Planck h],2)),1.5)*B48</f>
        <v>156875450.54040763</v>
      </c>
      <c r="D48" s="23">
        <f t="shared" si="0"/>
        <v>24.613876478193315</v>
      </c>
      <c r="E48" s="22" cm="1">
        <f t="array" ref="E48">((SQRT(PI())/Tabella636[Simmetria]))*(SQRT(POWER(A48,3)/PRODUCT($F$7,$G$7,$H$7)))</f>
        <v>13822.310417058443</v>
      </c>
      <c r="F48" s="9">
        <v>2</v>
      </c>
      <c r="I48" s="40">
        <f t="shared" si="1"/>
        <v>106744532758079.06</v>
      </c>
    </row>
    <row r="49" spans="1:9" x14ac:dyDescent="0.35">
      <c r="A49" s="21">
        <v>1600</v>
      </c>
      <c r="B49" s="22" cm="1">
        <f t="array" ref="B49">(Tabella333[Boltzmann k]*A49)/101325</f>
        <v>2.1801513940291145E-25</v>
      </c>
      <c r="C49" s="22" cm="1">
        <f t="array" ref="C49">POWER((2*PI()*Tabella333[Massa '[kg']]*Tabella333[Boltzmann k]*A49)/(POWER(Tabella333[Planck h],2)),1.5)*B49</f>
        <v>184343061.19961745</v>
      </c>
      <c r="D49" s="23">
        <f t="shared" si="0"/>
        <v>37.847877284575837</v>
      </c>
      <c r="E49" s="22" cm="1">
        <f t="array" ref="E49">((SQRT(PI())/Tabella636[Simmetria]))*(SQRT(POWER(A49,3)/PRODUCT($F$7,$G$7,$H$7)))</f>
        <v>15227.328867947133</v>
      </c>
      <c r="F49" s="9">
        <v>2</v>
      </c>
      <c r="I49" s="40">
        <f t="shared" si="1"/>
        <v>212481950851062.72</v>
      </c>
    </row>
    <row r="50" spans="1:9" x14ac:dyDescent="0.35">
      <c r="A50" s="21">
        <v>1700</v>
      </c>
      <c r="B50" s="22" cm="1">
        <f t="array" ref="B50">(Tabella333[Boltzmann k]*A50)/101325</f>
        <v>2.316410856155934E-25</v>
      </c>
      <c r="C50" s="22" cm="1">
        <f t="array" ref="C50">POWER((2*PI()*Tabella333[Massa '[kg']]*Tabella333[Boltzmann k]*A50)/(POWER(Tabella333[Planck h],2)),1.5)*B50</f>
        <v>214510789.80789614</v>
      </c>
      <c r="D50" s="23">
        <f t="shared" si="0"/>
        <v>57.342939372270365</v>
      </c>
      <c r="E50" s="22" cm="1">
        <f t="array" ref="E50">((SQRT(PI())/Tabella636[Simmetria]))*(SQRT(POWER(A50,3)/PRODUCT($F$7,$G$7,$H$7)))</f>
        <v>16676.969537743305</v>
      </c>
      <c r="F50" s="9">
        <v>2</v>
      </c>
      <c r="I50" s="40">
        <f t="shared" si="1"/>
        <v>410276105112608</v>
      </c>
    </row>
    <row r="51" spans="1:9" x14ac:dyDescent="0.35">
      <c r="A51" s="21">
        <v>1800</v>
      </c>
      <c r="B51" s="22" cm="1">
        <f t="array" ref="B51">(Tabella333[Boltzmann k]*A51)/101325</f>
        <v>2.4526703182827536E-25</v>
      </c>
      <c r="C51" s="22" cm="1">
        <f t="array" ref="C51">POWER((2*PI()*Tabella333[Massa '[kg']]*Tabella333[Boltzmann k]*A51)/(POWER(Tabella333[Planck h],2)),1.5)*B51</f>
        <v>247461762.1817337</v>
      </c>
      <c r="D51" s="23">
        <f t="shared" si="0"/>
        <v>85.701593721537634</v>
      </c>
      <c r="E51" s="22" cm="1">
        <f t="array" ref="E51">((SQRT(PI())/Tabella636[Simmetria]))*(SQRT(POWER(A51,3)/PRODUCT($F$7,$G$7,$H$7)))</f>
        <v>18169.898909427717</v>
      </c>
      <c r="F51" s="9">
        <v>2</v>
      </c>
      <c r="I51" s="40">
        <f t="shared" si="1"/>
        <v>770689613634622.88</v>
      </c>
    </row>
    <row r="52" spans="1:9" x14ac:dyDescent="0.35">
      <c r="A52" s="21">
        <v>1900</v>
      </c>
      <c r="B52" s="22" cm="1">
        <f t="array" ref="B52">(Tabella333[Boltzmann k]*A52)/101325</f>
        <v>2.5889297804095731E-25</v>
      </c>
      <c r="C52" s="22" cm="1">
        <f t="array" ref="C52">POWER((2*PI()*Tabella333[Massa '[kg']]*Tabella333[Boltzmann k]*A52)/(POWER(Tabella333[Planck h],2)),1.5)*B52</f>
        <v>283276691.08501607</v>
      </c>
      <c r="D52" s="23">
        <f t="shared" si="0"/>
        <v>126.47018299048813</v>
      </c>
      <c r="E52" s="22" cm="1">
        <f t="array" ref="E52">((SQRT(PI())/Tabella636[Simmetria]))*(SQRT(POWER(A52,3)/PRODUCT($F$7,$G$7,$H$7)))</f>
        <v>19704.896353021595</v>
      </c>
      <c r="F52" s="9">
        <v>2</v>
      </c>
      <c r="I52" s="40">
        <f t="shared" si="1"/>
        <v>1411897399388296.5</v>
      </c>
    </row>
    <row r="53" spans="1:9" ht="15" thickBot="1" x14ac:dyDescent="0.4">
      <c r="A53" s="21">
        <v>2000</v>
      </c>
      <c r="B53" s="22" cm="1">
        <f t="array" ref="B53">(Tabella333[Boltzmann k]*A53)/101325</f>
        <v>2.7251892425363931E-25</v>
      </c>
      <c r="C53" s="22" cm="1">
        <f t="array" ref="C53">POWER((2*PI()*Tabella333[Massa '[kg']]*Tabella333[Boltzmann k]*A53)/(POWER(Tabella333[Planck h],2)),1.5)*B53</f>
        <v>322034075.01777416</v>
      </c>
      <c r="D53" s="23">
        <f t="shared" si="0"/>
        <v>184.43418959534648</v>
      </c>
      <c r="E53" s="22" cm="1">
        <f t="array" ref="E53">((SQRT(PI())/Tabella636[Simmetria]))*(SQRT(POWER(A53,3)/PRODUCT($F$7,$G$7,$H$7)))</f>
        <v>21280.839040296694</v>
      </c>
      <c r="F53" s="9">
        <v>2</v>
      </c>
      <c r="I53" s="41">
        <f t="shared" si="1"/>
        <v>2527912293734375.5</v>
      </c>
    </row>
  </sheetData>
  <phoneticPr fontId="3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2FE7-E473-450D-92E4-E8AD33BD3E0D}">
  <dimension ref="A1:H54"/>
  <sheetViews>
    <sheetView topLeftCell="A17" workbookViewId="0">
      <selection activeCell="M31" sqref="M31:M35"/>
    </sheetView>
  </sheetViews>
  <sheetFormatPr defaultRowHeight="14.5" x14ac:dyDescent="0.35"/>
  <cols>
    <col min="1" max="1" width="14.7265625" bestFit="1" customWidth="1"/>
    <col min="2" max="2" width="13.54296875" bestFit="1" customWidth="1"/>
    <col min="3" max="3" width="11.81640625" bestFit="1" customWidth="1"/>
    <col min="4" max="4" width="8.54296875" bestFit="1" customWidth="1"/>
    <col min="5" max="5" width="12" bestFit="1" customWidth="1"/>
    <col min="6" max="6" width="11.1796875" bestFit="1" customWidth="1"/>
    <col min="7" max="7" width="13.7265625" bestFit="1" customWidth="1"/>
    <col min="8" max="8" width="12.453125" bestFit="1" customWidth="1"/>
  </cols>
  <sheetData>
    <row r="1" spans="1:8" x14ac:dyDescent="0.35">
      <c r="A1" s="13" t="s">
        <v>15</v>
      </c>
      <c r="B1" s="19" t="s">
        <v>16</v>
      </c>
      <c r="C1" s="19" t="s">
        <v>17</v>
      </c>
      <c r="D1" s="19" t="s">
        <v>18</v>
      </c>
      <c r="E1" s="19" t="s">
        <v>19</v>
      </c>
      <c r="F1" s="19" t="s">
        <v>20</v>
      </c>
      <c r="G1" s="19" t="s">
        <v>21</v>
      </c>
      <c r="H1" s="20" t="s">
        <v>22</v>
      </c>
    </row>
    <row r="2" spans="1:8" x14ac:dyDescent="0.35">
      <c r="A2">
        <f>PI()</f>
        <v>3.1415926535897931</v>
      </c>
      <c r="B2" s="12">
        <f>1.66E-27*G2</f>
        <v>1.6729978E-27</v>
      </c>
      <c r="C2" s="12">
        <v>1.3806490000000001E-23</v>
      </c>
      <c r="D2" s="12">
        <v>6.6260687599999996E-34</v>
      </c>
      <c r="E2">
        <v>8.3144626180000003</v>
      </c>
      <c r="F2" s="12">
        <v>6.0221410000000001E+23</v>
      </c>
      <c r="G2" s="12">
        <v>1.00783</v>
      </c>
      <c r="H2">
        <v>1</v>
      </c>
    </row>
    <row r="3" spans="1:8" x14ac:dyDescent="0.35">
      <c r="H3" s="43"/>
    </row>
    <row r="6" spans="1:8" x14ac:dyDescent="0.35">
      <c r="A6" s="12"/>
      <c r="H6" s="43"/>
    </row>
    <row r="7" spans="1:8" x14ac:dyDescent="0.35">
      <c r="A7" t="s">
        <v>27</v>
      </c>
      <c r="B7" t="s">
        <v>28</v>
      </c>
      <c r="F7" s="12"/>
      <c r="G7" s="12"/>
      <c r="H7" s="12"/>
    </row>
    <row r="8" spans="1:8" x14ac:dyDescent="0.35">
      <c r="A8">
        <v>2</v>
      </c>
      <c r="B8">
        <v>0</v>
      </c>
      <c r="F8" s="12"/>
    </row>
    <row r="9" spans="1:8" x14ac:dyDescent="0.35">
      <c r="B9" t="s">
        <v>29</v>
      </c>
    </row>
    <row r="10" spans="1:8" x14ac:dyDescent="0.35">
      <c r="B10">
        <v>0</v>
      </c>
    </row>
    <row r="11" spans="1:8" x14ac:dyDescent="0.35">
      <c r="B11" t="s">
        <v>29</v>
      </c>
    </row>
    <row r="12" spans="1:8" x14ac:dyDescent="0.35">
      <c r="B12" cm="1">
        <f t="array" ref="B12">Tabella9314716[Frequenza1]*29979300000</f>
        <v>0</v>
      </c>
    </row>
    <row r="13" spans="1:8" x14ac:dyDescent="0.35">
      <c r="A13" t="s">
        <v>38</v>
      </c>
      <c r="B13" t="s">
        <v>39</v>
      </c>
      <c r="C13" s="18" t="s">
        <v>48</v>
      </c>
    </row>
    <row r="14" spans="1:8" x14ac:dyDescent="0.35">
      <c r="A14" s="9">
        <v>298.14999999999998</v>
      </c>
      <c r="B14" s="9">
        <v>1</v>
      </c>
      <c r="C14" s="9">
        <v>1</v>
      </c>
    </row>
    <row r="15" spans="1:8" x14ac:dyDescent="0.35">
      <c r="A15" s="9">
        <v>400</v>
      </c>
      <c r="B15" s="9">
        <v>1</v>
      </c>
      <c r="C15" s="9">
        <v>1</v>
      </c>
    </row>
    <row r="16" spans="1:8" x14ac:dyDescent="0.35">
      <c r="A16" s="9">
        <v>500</v>
      </c>
      <c r="B16" s="9">
        <v>1</v>
      </c>
      <c r="C16" s="9">
        <v>1</v>
      </c>
    </row>
    <row r="17" spans="1:7" x14ac:dyDescent="0.35">
      <c r="A17" s="9">
        <v>600</v>
      </c>
      <c r="B17" s="9">
        <v>1</v>
      </c>
      <c r="C17" s="9">
        <v>1</v>
      </c>
    </row>
    <row r="18" spans="1:7" x14ac:dyDescent="0.35">
      <c r="A18" s="9">
        <v>700</v>
      </c>
      <c r="B18" s="9">
        <v>1</v>
      </c>
      <c r="C18" s="9">
        <v>1</v>
      </c>
    </row>
    <row r="19" spans="1:7" x14ac:dyDescent="0.35">
      <c r="A19" s="9">
        <v>800</v>
      </c>
      <c r="B19" s="9">
        <v>1</v>
      </c>
      <c r="C19" s="9">
        <v>1</v>
      </c>
    </row>
    <row r="20" spans="1:7" x14ac:dyDescent="0.35">
      <c r="A20" s="9">
        <v>900</v>
      </c>
      <c r="B20" s="9">
        <v>1</v>
      </c>
      <c r="C20" s="9">
        <v>1</v>
      </c>
    </row>
    <row r="21" spans="1:7" x14ac:dyDescent="0.35">
      <c r="A21" s="9">
        <v>1000</v>
      </c>
      <c r="B21" s="9">
        <v>1</v>
      </c>
      <c r="C21" s="9">
        <v>1</v>
      </c>
    </row>
    <row r="22" spans="1:7" x14ac:dyDescent="0.35">
      <c r="A22" s="9">
        <v>1100</v>
      </c>
      <c r="B22" s="9">
        <v>1</v>
      </c>
      <c r="C22" s="9">
        <v>1</v>
      </c>
    </row>
    <row r="23" spans="1:7" x14ac:dyDescent="0.35">
      <c r="A23" s="9">
        <v>1200</v>
      </c>
      <c r="B23" s="9">
        <v>1</v>
      </c>
      <c r="C23" s="9">
        <v>1</v>
      </c>
    </row>
    <row r="24" spans="1:7" x14ac:dyDescent="0.35">
      <c r="A24" s="9">
        <v>1300</v>
      </c>
      <c r="B24" s="9">
        <v>1</v>
      </c>
      <c r="C24" s="9">
        <v>1</v>
      </c>
    </row>
    <row r="25" spans="1:7" x14ac:dyDescent="0.35">
      <c r="A25" s="9">
        <v>1400</v>
      </c>
      <c r="B25" s="9">
        <v>1</v>
      </c>
      <c r="C25" s="9">
        <v>1</v>
      </c>
    </row>
    <row r="26" spans="1:7" x14ac:dyDescent="0.35">
      <c r="A26" s="9">
        <v>1500</v>
      </c>
      <c r="B26" s="9">
        <v>1</v>
      </c>
      <c r="C26" s="9">
        <v>1</v>
      </c>
    </row>
    <row r="27" spans="1:7" x14ac:dyDescent="0.35">
      <c r="A27" s="9">
        <v>1600</v>
      </c>
      <c r="B27" s="9">
        <v>1</v>
      </c>
      <c r="C27" s="9">
        <v>1</v>
      </c>
    </row>
    <row r="28" spans="1:7" x14ac:dyDescent="0.35">
      <c r="A28" s="9">
        <v>1700</v>
      </c>
      <c r="B28" s="9">
        <v>1</v>
      </c>
      <c r="C28" s="9">
        <v>1</v>
      </c>
    </row>
    <row r="29" spans="1:7" x14ac:dyDescent="0.35">
      <c r="A29" s="9">
        <v>1800</v>
      </c>
      <c r="B29" s="9">
        <v>1</v>
      </c>
      <c r="C29" s="9">
        <v>1</v>
      </c>
    </row>
    <row r="30" spans="1:7" x14ac:dyDescent="0.35">
      <c r="A30" s="9">
        <v>1900</v>
      </c>
      <c r="B30" s="9">
        <v>1</v>
      </c>
      <c r="C30" s="9">
        <v>1</v>
      </c>
    </row>
    <row r="31" spans="1:7" x14ac:dyDescent="0.35">
      <c r="A31" s="9">
        <v>2000</v>
      </c>
      <c r="B31" s="9">
        <v>1</v>
      </c>
      <c r="C31" s="9">
        <v>1</v>
      </c>
    </row>
    <row r="32" spans="1:7" x14ac:dyDescent="0.35">
      <c r="A32" s="44"/>
      <c r="B32" s="44"/>
      <c r="C32" s="44"/>
      <c r="D32" s="44"/>
      <c r="E32" s="44"/>
      <c r="F32" s="44"/>
      <c r="G32" s="44"/>
    </row>
    <row r="33" spans="1:7" ht="15" thickBot="1" x14ac:dyDescent="0.4"/>
    <row r="34" spans="1:7" ht="15" thickBot="1" x14ac:dyDescent="0.4">
      <c r="A34" s="50" t="s">
        <v>38</v>
      </c>
      <c r="B34" s="50" t="s">
        <v>55</v>
      </c>
      <c r="C34" s="50" t="s">
        <v>56</v>
      </c>
      <c r="D34" s="50" t="s">
        <v>57</v>
      </c>
      <c r="E34" s="50" t="s">
        <v>58</v>
      </c>
      <c r="F34" s="50" t="s">
        <v>59</v>
      </c>
      <c r="G34" s="50" t="s">
        <v>48</v>
      </c>
    </row>
    <row r="35" spans="1:7" x14ac:dyDescent="0.35">
      <c r="A35" s="48">
        <v>298.14999999999998</v>
      </c>
      <c r="B35" s="49">
        <f>($C$2*A35)/101325</f>
        <v>4.0625758633111278E-26</v>
      </c>
      <c r="C35" s="49">
        <f>POWER((2*PI()*$B$2*$C$2*A35)/(POWER($D$2,2)),1.5)*B35</f>
        <v>39748.767858155887</v>
      </c>
      <c r="D35" s="49">
        <f t="shared" ref="D35:D52" si="0">C14</f>
        <v>1</v>
      </c>
      <c r="E35" s="49">
        <v>1</v>
      </c>
      <c r="F35" s="49">
        <v>2</v>
      </c>
      <c r="G35" s="51">
        <f>PRODUCT(C35:F35)</f>
        <v>79497.535716311773</v>
      </c>
    </row>
    <row r="36" spans="1:7" x14ac:dyDescent="0.35">
      <c r="A36" s="1">
        <v>400</v>
      </c>
      <c r="B36" s="49">
        <f t="shared" ref="B36:B52" si="1">($C$2*A36)/101325</f>
        <v>5.4503784850727862E-26</v>
      </c>
      <c r="C36" s="49">
        <f t="shared" ref="C36:C52" si="2">POWER((2*PI()*$B$2*$C$2*A36)/(POWER($D$2,2)),1.5)*B36</f>
        <v>82867.95374345631</v>
      </c>
      <c r="D36" s="46">
        <f t="shared" si="0"/>
        <v>1</v>
      </c>
      <c r="E36" s="46">
        <v>1</v>
      </c>
      <c r="F36" s="46">
        <v>2</v>
      </c>
      <c r="G36" s="52">
        <f t="shared" ref="G36:G52" si="3">PRODUCT(C36:F36)</f>
        <v>165735.90748691262</v>
      </c>
    </row>
    <row r="37" spans="1:7" x14ac:dyDescent="0.35">
      <c r="A37" s="1">
        <v>500</v>
      </c>
      <c r="B37" s="49">
        <f t="shared" si="1"/>
        <v>6.8129731063409828E-26</v>
      </c>
      <c r="C37" s="49">
        <f t="shared" si="2"/>
        <v>144764.35759896474</v>
      </c>
      <c r="D37" s="46">
        <f t="shared" si="0"/>
        <v>1</v>
      </c>
      <c r="E37" s="46">
        <v>1</v>
      </c>
      <c r="F37" s="46">
        <v>2</v>
      </c>
      <c r="G37" s="52">
        <f t="shared" si="3"/>
        <v>289528.71519792947</v>
      </c>
    </row>
    <row r="38" spans="1:7" x14ac:dyDescent="0.35">
      <c r="A38" s="1">
        <v>600</v>
      </c>
      <c r="B38" s="49">
        <f t="shared" si="1"/>
        <v>8.1755677276091782E-26</v>
      </c>
      <c r="C38" s="49">
        <f t="shared" si="2"/>
        <v>228357.22803752901</v>
      </c>
      <c r="D38" s="46">
        <f t="shared" si="0"/>
        <v>1</v>
      </c>
      <c r="E38" s="46">
        <v>1</v>
      </c>
      <c r="F38" s="46">
        <v>2</v>
      </c>
      <c r="G38" s="52">
        <f t="shared" si="3"/>
        <v>456714.45607505803</v>
      </c>
    </row>
    <row r="39" spans="1:7" x14ac:dyDescent="0.35">
      <c r="A39" s="1">
        <v>700</v>
      </c>
      <c r="B39" s="49">
        <f t="shared" si="1"/>
        <v>9.5381623488773759E-26</v>
      </c>
      <c r="C39" s="49">
        <f t="shared" si="2"/>
        <v>335723.49580741907</v>
      </c>
      <c r="D39" s="46">
        <f t="shared" si="0"/>
        <v>1</v>
      </c>
      <c r="E39" s="46">
        <v>1</v>
      </c>
      <c r="F39" s="46">
        <v>2</v>
      </c>
      <c r="G39" s="52">
        <f t="shared" si="3"/>
        <v>671446.99161483813</v>
      </c>
    </row>
    <row r="40" spans="1:7" x14ac:dyDescent="0.35">
      <c r="A40" s="1">
        <v>800</v>
      </c>
      <c r="B40" s="49">
        <f t="shared" si="1"/>
        <v>1.0900756970145572E-25</v>
      </c>
      <c r="C40" s="49">
        <f t="shared" si="2"/>
        <v>468771.9362804101</v>
      </c>
      <c r="D40" s="46">
        <f t="shared" si="0"/>
        <v>1</v>
      </c>
      <c r="E40" s="46">
        <v>1</v>
      </c>
      <c r="F40" s="46">
        <v>2</v>
      </c>
      <c r="G40" s="52">
        <f t="shared" si="3"/>
        <v>937543.87256082019</v>
      </c>
    </row>
    <row r="41" spans="1:7" x14ac:dyDescent="0.35">
      <c r="A41" s="1">
        <v>900</v>
      </c>
      <c r="B41" s="49">
        <f t="shared" si="1"/>
        <v>1.2263351591413768E-25</v>
      </c>
      <c r="C41" s="49">
        <f t="shared" si="2"/>
        <v>629278.5237393633</v>
      </c>
      <c r="D41" s="46">
        <f t="shared" si="0"/>
        <v>1</v>
      </c>
      <c r="E41" s="46">
        <v>1</v>
      </c>
      <c r="F41" s="46">
        <v>2</v>
      </c>
      <c r="G41" s="52">
        <f t="shared" si="3"/>
        <v>1258557.0474787266</v>
      </c>
    </row>
    <row r="42" spans="1:7" x14ac:dyDescent="0.35">
      <c r="A42" s="1">
        <v>1000</v>
      </c>
      <c r="B42" s="49">
        <f t="shared" si="1"/>
        <v>1.3625946212681966E-25</v>
      </c>
      <c r="C42" s="49">
        <f t="shared" si="2"/>
        <v>818910.87145874056</v>
      </c>
      <c r="D42" s="46">
        <f t="shared" si="0"/>
        <v>1</v>
      </c>
      <c r="E42" s="46">
        <v>1</v>
      </c>
      <c r="F42" s="46">
        <v>2</v>
      </c>
      <c r="G42" s="52">
        <f t="shared" si="3"/>
        <v>1637821.7429174811</v>
      </c>
    </row>
    <row r="43" spans="1:7" x14ac:dyDescent="0.35">
      <c r="A43" s="1">
        <v>1100</v>
      </c>
      <c r="B43" s="49">
        <f t="shared" si="1"/>
        <v>1.4988540833950161E-25</v>
      </c>
      <c r="C43" s="49">
        <f t="shared" si="2"/>
        <v>1039245.9710968665</v>
      </c>
      <c r="D43" s="46">
        <f t="shared" si="0"/>
        <v>1</v>
      </c>
      <c r="E43" s="46">
        <v>1</v>
      </c>
      <c r="F43" s="46">
        <v>2</v>
      </c>
      <c r="G43" s="52">
        <f t="shared" si="3"/>
        <v>2078491.9421937331</v>
      </c>
    </row>
    <row r="44" spans="1:7" x14ac:dyDescent="0.35">
      <c r="A44" s="1">
        <v>1200</v>
      </c>
      <c r="B44" s="49">
        <f t="shared" si="1"/>
        <v>1.6351135455218356E-25</v>
      </c>
      <c r="C44" s="49">
        <f t="shared" si="2"/>
        <v>1291783.5558263999</v>
      </c>
      <c r="D44" s="46">
        <f t="shared" si="0"/>
        <v>1</v>
      </c>
      <c r="E44" s="46">
        <v>1</v>
      </c>
      <c r="F44" s="46">
        <v>2</v>
      </c>
      <c r="G44" s="52">
        <f t="shared" si="3"/>
        <v>2583567.1116527999</v>
      </c>
    </row>
    <row r="45" spans="1:7" x14ac:dyDescent="0.35">
      <c r="A45" s="1">
        <v>1300</v>
      </c>
      <c r="B45" s="49">
        <f t="shared" si="1"/>
        <v>1.7713730076486554E-25</v>
      </c>
      <c r="C45" s="49">
        <f t="shared" si="2"/>
        <v>1577956.4661625621</v>
      </c>
      <c r="D45" s="46">
        <f t="shared" si="0"/>
        <v>1</v>
      </c>
      <c r="E45" s="46">
        <v>1</v>
      </c>
      <c r="F45" s="46">
        <v>2</v>
      </c>
      <c r="G45" s="52">
        <f t="shared" si="3"/>
        <v>3155912.9323251243</v>
      </c>
    </row>
    <row r="46" spans="1:7" x14ac:dyDescent="0.35">
      <c r="A46" s="1">
        <v>1400</v>
      </c>
      <c r="B46" s="49">
        <f t="shared" si="1"/>
        <v>1.9076324697754752E-25</v>
      </c>
      <c r="C46" s="49">
        <f t="shared" si="2"/>
        <v>1899138.8839126413</v>
      </c>
      <c r="D46" s="46">
        <f t="shared" si="0"/>
        <v>1</v>
      </c>
      <c r="E46" s="46">
        <v>1</v>
      </c>
      <c r="F46" s="46">
        <v>2</v>
      </c>
      <c r="G46" s="52">
        <f t="shared" si="3"/>
        <v>3798277.7678252826</v>
      </c>
    </row>
    <row r="47" spans="1:7" x14ac:dyDescent="0.35">
      <c r="A47" s="1">
        <v>1500</v>
      </c>
      <c r="B47" s="49">
        <f t="shared" si="1"/>
        <v>2.0438919319022949E-25</v>
      </c>
      <c r="C47" s="49">
        <f t="shared" si="2"/>
        <v>2256653.0023782821</v>
      </c>
      <c r="D47" s="46">
        <f t="shared" si="0"/>
        <v>1</v>
      </c>
      <c r="E47" s="46">
        <v>1</v>
      </c>
      <c r="F47" s="46">
        <v>2</v>
      </c>
      <c r="G47" s="52">
        <f t="shared" si="3"/>
        <v>4513306.0047565643</v>
      </c>
    </row>
    <row r="48" spans="1:7" x14ac:dyDescent="0.35">
      <c r="A48" s="1">
        <v>1600</v>
      </c>
      <c r="B48" s="49">
        <f t="shared" si="1"/>
        <v>2.1801513940291145E-25</v>
      </c>
      <c r="C48" s="49">
        <f t="shared" si="2"/>
        <v>2651774.5197905786</v>
      </c>
      <c r="D48" s="46">
        <f t="shared" si="0"/>
        <v>1</v>
      </c>
      <c r="E48" s="46">
        <v>1</v>
      </c>
      <c r="F48" s="46">
        <v>2</v>
      </c>
      <c r="G48" s="52">
        <f t="shared" si="3"/>
        <v>5303549.0395811573</v>
      </c>
    </row>
    <row r="49" spans="1:7" x14ac:dyDescent="0.35">
      <c r="A49" s="1">
        <v>1700</v>
      </c>
      <c r="B49" s="49">
        <f t="shared" si="1"/>
        <v>2.316410856155934E-25</v>
      </c>
      <c r="C49" s="49">
        <f t="shared" si="2"/>
        <v>3085737.2278133347</v>
      </c>
      <c r="D49" s="46">
        <f t="shared" si="0"/>
        <v>1</v>
      </c>
      <c r="E49" s="46">
        <v>1</v>
      </c>
      <c r="F49" s="46">
        <v>2</v>
      </c>
      <c r="G49" s="52">
        <f t="shared" si="3"/>
        <v>6171474.4556266693</v>
      </c>
    </row>
    <row r="50" spans="1:7" x14ac:dyDescent="0.35">
      <c r="A50" s="1">
        <v>1800</v>
      </c>
      <c r="B50" s="49">
        <f t="shared" si="1"/>
        <v>2.4526703182827536E-25</v>
      </c>
      <c r="C50" s="49">
        <f t="shared" si="2"/>
        <v>3559736.8911293191</v>
      </c>
      <c r="D50" s="46">
        <f t="shared" si="0"/>
        <v>1</v>
      </c>
      <c r="E50" s="46">
        <v>1</v>
      </c>
      <c r="F50" s="46">
        <v>2</v>
      </c>
      <c r="G50" s="52">
        <f t="shared" si="3"/>
        <v>7119473.7822586382</v>
      </c>
    </row>
    <row r="51" spans="1:7" x14ac:dyDescent="0.35">
      <c r="A51" s="1">
        <v>1900</v>
      </c>
      <c r="B51" s="49">
        <f t="shared" si="1"/>
        <v>2.5889297804095731E-25</v>
      </c>
      <c r="C51" s="49">
        <f t="shared" si="2"/>
        <v>4074934.5626652278</v>
      </c>
      <c r="D51" s="46">
        <f t="shared" si="0"/>
        <v>1</v>
      </c>
      <c r="E51" s="46">
        <v>1</v>
      </c>
      <c r="F51" s="46">
        <v>2</v>
      </c>
      <c r="G51" s="52">
        <f t="shared" si="3"/>
        <v>8149869.1253304556</v>
      </c>
    </row>
    <row r="52" spans="1:7" ht="15" thickBot="1" x14ac:dyDescent="0.4">
      <c r="A52" s="2">
        <v>2000</v>
      </c>
      <c r="B52" s="49">
        <f t="shared" si="1"/>
        <v>2.7251892425363931E-25</v>
      </c>
      <c r="C52" s="49">
        <f t="shared" si="2"/>
        <v>4632459.4431668324</v>
      </c>
      <c r="D52" s="47">
        <f t="shared" si="0"/>
        <v>1</v>
      </c>
      <c r="E52" s="47">
        <v>1</v>
      </c>
      <c r="F52" s="47">
        <v>2</v>
      </c>
      <c r="G52" s="53">
        <f t="shared" si="3"/>
        <v>9264918.8863336649</v>
      </c>
    </row>
    <row r="54" spans="1:7" x14ac:dyDescent="0.35">
      <c r="D54" s="44"/>
      <c r="E54" s="44"/>
      <c r="F54" s="44"/>
      <c r="G54" s="44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5D4B2-528F-419A-B63F-9C98BBFA183C}">
  <dimension ref="A1:K54"/>
  <sheetViews>
    <sheetView workbookViewId="0">
      <selection activeCell="C37" sqref="C37"/>
    </sheetView>
  </sheetViews>
  <sheetFormatPr defaultRowHeight="14.5" x14ac:dyDescent="0.35"/>
  <cols>
    <col min="1" max="1" width="16" bestFit="1" customWidth="1"/>
    <col min="2" max="2" width="15.08984375" bestFit="1" customWidth="1"/>
    <col min="3" max="3" width="15.6328125" bestFit="1" customWidth="1"/>
    <col min="4" max="5" width="15.08984375" bestFit="1" customWidth="1"/>
    <col min="6" max="7" width="22.6328125" bestFit="1" customWidth="1"/>
    <col min="8" max="8" width="22.54296875" bestFit="1" customWidth="1"/>
  </cols>
  <sheetData>
    <row r="1" spans="1:11" x14ac:dyDescent="0.35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/>
      <c r="J1" s="9"/>
      <c r="K1" s="9"/>
    </row>
    <row r="2" spans="1:11" x14ac:dyDescent="0.35">
      <c r="A2" s="9">
        <f>PI()</f>
        <v>3.1415926535897931</v>
      </c>
      <c r="B2" s="22">
        <f>1.66E-27*Tabella33322[[#This Row],[Massa '[g/mol']]]</f>
        <v>2.6611957999999999E-26</v>
      </c>
      <c r="C2" s="22">
        <v>1.3806490000000001E-23</v>
      </c>
      <c r="D2" s="22">
        <v>6.6260687599999996E-34</v>
      </c>
      <c r="E2" s="9">
        <v>8.3144626180000003</v>
      </c>
      <c r="F2" s="22">
        <v>6.0221410000000001E+23</v>
      </c>
      <c r="G2" s="22">
        <v>16.031300000000002</v>
      </c>
      <c r="H2" s="9">
        <v>5</v>
      </c>
      <c r="I2" s="9"/>
      <c r="J2" s="9"/>
      <c r="K2" s="9"/>
    </row>
    <row r="3" spans="1:1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3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35">
      <c r="A5" s="8" t="s">
        <v>23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thickBot="1" x14ac:dyDescent="0.4">
      <c r="A6" s="8">
        <v>12</v>
      </c>
      <c r="B6" s="9"/>
      <c r="C6" s="9"/>
      <c r="D6" s="9"/>
      <c r="E6" s="9"/>
      <c r="F6" s="24" t="s">
        <v>24</v>
      </c>
      <c r="G6" s="24" t="s">
        <v>25</v>
      </c>
      <c r="H6" s="24" t="s">
        <v>26</v>
      </c>
      <c r="I6" s="9"/>
      <c r="J6" s="9"/>
      <c r="K6" s="9"/>
    </row>
    <row r="7" spans="1:11" ht="15" thickBot="1" x14ac:dyDescent="0.4">
      <c r="A7" s="22"/>
      <c r="B7" s="9"/>
      <c r="C7" s="9"/>
      <c r="D7" s="9"/>
      <c r="E7" s="9"/>
      <c r="F7" s="25">
        <v>7.5557800000000004</v>
      </c>
      <c r="G7" s="14">
        <v>7.5555399999999997</v>
      </c>
      <c r="H7" s="15">
        <v>7.5555399999999997</v>
      </c>
      <c r="I7" s="9"/>
      <c r="J7" s="9"/>
      <c r="K7" s="9"/>
    </row>
    <row r="8" spans="1:11" x14ac:dyDescent="0.35">
      <c r="A8" s="9" t="s">
        <v>23</v>
      </c>
      <c r="B8" s="9" t="s">
        <v>27</v>
      </c>
      <c r="C8" s="9" t="s">
        <v>28</v>
      </c>
      <c r="D8" s="9"/>
      <c r="E8" s="9"/>
      <c r="F8" s="9"/>
      <c r="G8" s="22"/>
      <c r="H8" s="22"/>
      <c r="I8" s="22"/>
      <c r="J8" s="9"/>
      <c r="K8" s="9"/>
    </row>
    <row r="9" spans="1:11" x14ac:dyDescent="0.35">
      <c r="A9" s="9">
        <v>3</v>
      </c>
      <c r="B9" s="9">
        <v>1</v>
      </c>
      <c r="C9" s="9">
        <v>0</v>
      </c>
      <c r="D9" s="9"/>
      <c r="E9" s="9"/>
      <c r="F9" s="9"/>
      <c r="G9" s="22"/>
      <c r="H9" s="9"/>
      <c r="I9" s="9"/>
      <c r="J9" s="9"/>
      <c r="K9" s="9"/>
    </row>
    <row r="10" spans="1:11" x14ac:dyDescent="0.35">
      <c r="A10" s="9"/>
      <c r="B10" s="9" t="s">
        <v>29</v>
      </c>
      <c r="C10" s="9" t="s">
        <v>30</v>
      </c>
      <c r="D10" s="9" t="s">
        <v>31</v>
      </c>
      <c r="E10" s="9" t="s">
        <v>32</v>
      </c>
      <c r="F10" s="9" t="s">
        <v>33</v>
      </c>
      <c r="G10" s="9" t="s">
        <v>34</v>
      </c>
      <c r="H10" s="9" t="s">
        <v>35</v>
      </c>
      <c r="I10" s="9" t="s">
        <v>36</v>
      </c>
      <c r="J10" s="9" t="s">
        <v>37</v>
      </c>
      <c r="K10" s="9"/>
    </row>
    <row r="11" spans="1:11" ht="15" thickBot="1" x14ac:dyDescent="0.4">
      <c r="A11" s="9"/>
      <c r="B11" s="9">
        <v>1347.6588999999999</v>
      </c>
      <c r="C11" s="16">
        <v>1347.6601000000001</v>
      </c>
      <c r="D11" s="16">
        <v>1347.8755000000001</v>
      </c>
      <c r="E11" s="16">
        <v>1563.8518999999999</v>
      </c>
      <c r="F11" s="16">
        <v>1563.8532</v>
      </c>
      <c r="G11" s="16">
        <v>3036.0944</v>
      </c>
      <c r="H11" s="16">
        <v>3148.7404999999999</v>
      </c>
      <c r="I11" s="16">
        <v>3148.7406999999998</v>
      </c>
      <c r="J11" s="17">
        <v>3148.9899</v>
      </c>
      <c r="K11" s="9"/>
    </row>
    <row r="12" spans="1:11" x14ac:dyDescent="0.35">
      <c r="A12" s="9"/>
      <c r="B12" s="9" t="s">
        <v>29</v>
      </c>
      <c r="C12" s="9" t="s">
        <v>30</v>
      </c>
      <c r="D12" s="9" t="s">
        <v>31</v>
      </c>
      <c r="E12" s="9" t="s">
        <v>32</v>
      </c>
      <c r="F12" s="9" t="s">
        <v>33</v>
      </c>
      <c r="G12" s="9" t="s">
        <v>34</v>
      </c>
      <c r="H12" s="9" t="s">
        <v>35</v>
      </c>
      <c r="I12" s="9" t="s">
        <v>36</v>
      </c>
      <c r="J12" s="9" t="s">
        <v>37</v>
      </c>
      <c r="K12" s="9"/>
    </row>
    <row r="13" spans="1:11" x14ac:dyDescent="0.35">
      <c r="A13" s="9"/>
      <c r="B13" s="9" cm="1">
        <f t="array" ref="B13">Tabella9314726[Frequenza1]*29979300000</f>
        <v>40401870460770</v>
      </c>
      <c r="C13" s="9" cm="1">
        <f t="array" ref="C13">Tabella9314726[Frequenza2]*29979300000</f>
        <v>40401906435930</v>
      </c>
      <c r="D13" s="9" cm="1">
        <f t="array" ref="D13">Tabella9314726[Frequenza3]*29979300000</f>
        <v>40408363977150</v>
      </c>
      <c r="E13" s="9" cm="1">
        <f t="array" ref="E13">Tabella9314726[Frequenza4]*29979300000</f>
        <v>46883185265670</v>
      </c>
      <c r="F13" s="9" cm="1">
        <f t="array" ref="F13">Tabella9314726[Frequenza5]*29979300000</f>
        <v>46883224238760</v>
      </c>
      <c r="G13" s="9" cm="1">
        <f t="array" ref="G13">Tabella9314726[Frequenza6]*29979300000</f>
        <v>91019984845920</v>
      </c>
      <c r="H13" s="9" cm="1">
        <f t="array" ref="H13">Tabella9314726[Frequenza7]*29979300000</f>
        <v>94397036071650</v>
      </c>
      <c r="I13" s="9" cm="1">
        <f t="array" ref="I13">Tabella9314726[Frequenza8]*29979300000</f>
        <v>94397042067510</v>
      </c>
      <c r="J13" s="9" cm="1">
        <f t="array" ref="J13">Tabella9314726[Frequenza9]*29979300000</f>
        <v>94404512909070</v>
      </c>
      <c r="K13" s="9"/>
    </row>
    <row r="14" spans="1:11" x14ac:dyDescent="0.35">
      <c r="A14" s="9" t="s">
        <v>38</v>
      </c>
      <c r="B14" s="9" t="s">
        <v>39</v>
      </c>
      <c r="C14" s="9" t="s">
        <v>40</v>
      </c>
      <c r="D14" s="9" t="s">
        <v>41</v>
      </c>
      <c r="E14" s="9" t="s">
        <v>42</v>
      </c>
      <c r="F14" s="9" t="s">
        <v>43</v>
      </c>
      <c r="G14" s="9" t="s">
        <v>44</v>
      </c>
      <c r="H14" s="9" t="s">
        <v>45</v>
      </c>
      <c r="I14" s="9" t="s">
        <v>46</v>
      </c>
      <c r="J14" s="9" t="s">
        <v>47</v>
      </c>
      <c r="K14" s="26" t="s">
        <v>48</v>
      </c>
    </row>
    <row r="15" spans="1:11" x14ac:dyDescent="0.35">
      <c r="A15" s="9">
        <v>298.14999999999998</v>
      </c>
      <c r="B15" s="22" cm="1">
        <f t="array" ref="B15">1/(1-EXP(-(Tabella33322[Planck h]*Tabella93825[Frequenza1])/(Tabella33322[Boltzmann k]*Tabella837[[#This Row],[Temperatura]])))</f>
        <v>1.0015006105045561</v>
      </c>
      <c r="C15" s="22" cm="1">
        <f t="array" ref="C15">1/(1-EXP(-(Tabella33322[Planck h]*Tabella93825[Frequenza2])/(Tabella33322[Boltzmann k]*Tabella837[[#This Row],[Temperatura]])))</f>
        <v>1.0015006018017658</v>
      </c>
      <c r="D15" s="22" cm="1">
        <f t="array" ref="D15">1/(1-EXP(-(Tabella33322[Planck h]*Tabella93825[Frequenza3])/(Tabella33322[Boltzmann k]*Tabella837[[#This Row],[Temperatura]])))</f>
        <v>1.0014990404694983</v>
      </c>
      <c r="E15" s="22" cm="1">
        <f t="array" ref="E15">1/(1-EXP(-(Tabella33322[Planck h]*Tabella93825[Frequenza4])/(Tabella33322[Boltzmann k]*Tabella837[[#This Row],[Temperatura]])))</f>
        <v>1.0005281475242318</v>
      </c>
      <c r="F15" s="22" cm="1">
        <f t="array" ref="F15">1/(1-EXP(-(Tabella33322[Planck h]*Tabella93825[Frequenza5])/(Tabella33322[Boltzmann k]*Tabella837[[#This Row],[Temperatura]])))</f>
        <v>1.0005281442092138</v>
      </c>
      <c r="G15" s="22" cm="1">
        <f t="array" ref="G15">1/(1-EXP(-(Tabella33322[Planck h]*Tabella93825[Frequenza6])/(Tabella33322[Boltzmann k]*Tabella837[[#This Row],[Temperatura]])))</f>
        <v>1.0000004335551056</v>
      </c>
      <c r="H15" s="22" cm="1">
        <f t="array" ref="H15">1/(1-EXP(-(Tabella33322[Planck h]*Tabella93825[Frequenza7])/(Tabella33322[Boltzmann k]*Tabella837[[#This Row],[Temperatura]])))</f>
        <v>1.0000002517467641</v>
      </c>
      <c r="I15" s="22" cm="1">
        <f t="array" ref="I15">1/(1-EXP(-(Tabella33322[Planck h]*Tabella93825[Frequenza8])/(Tabella33322[Boltzmann k]*Tabella837[[#This Row],[Temperatura]])))</f>
        <v>1.0000002517465212</v>
      </c>
      <c r="J15" s="22" cm="1">
        <f t="array" ref="J15">1/(1-EXP(-(Tabella33322[Planck h]*Tabella93825[Frequenza9])/(Tabella33322[Boltzmann k]*Tabella837[[#This Row],[Temperatura]])))</f>
        <v>1.0000002514439623</v>
      </c>
      <c r="K15" s="90">
        <f>PRODUCT(Tabella837[[#This Row],[Qvib1]:[Qvib9]])</f>
        <v>1.0055695346625402</v>
      </c>
    </row>
    <row r="16" spans="1:11" x14ac:dyDescent="0.35">
      <c r="A16" s="9">
        <v>400</v>
      </c>
      <c r="B16" s="22" cm="1">
        <f t="array" ref="B16">1/(1-EXP(-(Tabella33322[Planck h]*Tabella93825[Frequenza1])/(Tabella33322[Boltzmann k]*Tabella837[[#This Row],[Temperatura]])))</f>
        <v>1.0079103784672654</v>
      </c>
      <c r="C16" s="22" cm="1">
        <f t="array" ref="C16">1/(1-EXP(-(Tabella33322[Planck h]*Tabella93825[Frequenza2])/(Tabella33322[Boltzmann k]*Tabella837[[#This Row],[Temperatura]])))</f>
        <v>1.0079103440533863</v>
      </c>
      <c r="D16" s="22" cm="1">
        <f t="array" ref="D16">1/(1-EXP(-(Tabella33322[Planck h]*Tabella93825[Frequenza3])/(Tabella33322[Boltzmann k]*Tabella837[[#This Row],[Temperatura]])))</f>
        <v>1.0079041692059025</v>
      </c>
      <c r="E16" s="22" cm="1">
        <f t="array" ref="E16">1/(1-EXP(-(Tabella33322[Planck h]*Tabella93825[Frequenza4])/(Tabella33322[Boltzmann k]*Tabella837[[#This Row],[Temperatura]])))</f>
        <v>1.0036192765149103</v>
      </c>
      <c r="F16" s="22" cm="1">
        <f t="array" ref="F16">1/(1-EXP(-(Tabella33322[Planck h]*Tabella93825[Frequenza5])/(Tabella33322[Boltzmann k]*Tabella837[[#This Row],[Temperatura]])))</f>
        <v>1.0036192595298443</v>
      </c>
      <c r="G16" s="22" cm="1">
        <f t="array" ref="G16">1/(1-EXP(-(Tabella33322[Planck h]*Tabella93825[Frequenza6])/(Tabella33322[Boltzmann k]*Tabella837[[#This Row],[Temperatura]])))</f>
        <v>1.0000180808819528</v>
      </c>
      <c r="H16" s="22" cm="1">
        <f t="array" ref="H16">1/(1-EXP(-(Tabella33322[Planck h]*Tabella93825[Frequenza7])/(Tabella33322[Boltzmann k]*Tabella837[[#This Row],[Temperatura]])))</f>
        <v>1.0000120572598203</v>
      </c>
      <c r="I16" s="22" cm="1">
        <f t="array" ref="I16">1/(1-EXP(-(Tabella33322[Planck h]*Tabella93825[Frequenza8])/(Tabella33322[Boltzmann k]*Tabella837[[#This Row],[Temperatura]])))</f>
        <v>1.0000120572511462</v>
      </c>
      <c r="J16" s="22" cm="1">
        <f t="array" ref="J16">1/(1-EXP(-(Tabella33322[Planck h]*Tabella93825[Frequenza9])/(Tabella33322[Boltzmann k]*Tabella837[[#This Row],[Temperatura]])))</f>
        <v>1.0000120464482278</v>
      </c>
      <c r="K16" s="90">
        <f>PRODUCT(Tabella837[[#This Row],[Qvib1]:[Qvib9]])</f>
        <v>1.0313939961704275</v>
      </c>
    </row>
    <row r="17" spans="1:11" x14ac:dyDescent="0.35">
      <c r="A17" s="9">
        <v>500</v>
      </c>
      <c r="B17" s="22" cm="1">
        <f t="array" ref="B17">1/(1-EXP(-(Tabella33322[Planck h]*Tabella93825[Frequenza1])/(Tabella33322[Boltzmann k]*Tabella837[[#This Row],[Temperatura]])))</f>
        <v>1.0211300901660196</v>
      </c>
      <c r="C17" s="22" cm="1">
        <f t="array" ref="C17">1/(1-EXP(-(Tabella33322[Planck h]*Tabella93825[Frequenza2])/(Tabella33322[Boltzmann k]*Tabella837[[#This Row],[Temperatura]])))</f>
        <v>1.0211300156607435</v>
      </c>
      <c r="D17" s="22" cm="1">
        <f t="array" ref="D17">1/(1-EXP(-(Tabella33322[Planck h]*Tabella93825[Frequenza3])/(Tabella33322[Boltzmann k]*Tabella837[[#This Row],[Temperatura]])))</f>
        <v>1.0211166463066208</v>
      </c>
      <c r="E17" s="22" cm="1">
        <f t="array" ref="E17">1/(1-EXP(-(Tabella33322[Planck h]*Tabella93825[Frequenza4])/(Tabella33322[Boltzmann k]*Tabella837[[#This Row],[Temperatura]])))</f>
        <v>1.0112329396129045</v>
      </c>
      <c r="F17" s="22" cm="1">
        <f t="array" ref="F17">1/(1-EXP(-(Tabella33322[Planck h]*Tabella93825[Frequenza5])/(Tabella33322[Boltzmann k]*Tabella837[[#This Row],[Temperatura]])))</f>
        <v>1.0112328971205014</v>
      </c>
      <c r="G17" s="22" cm="1">
        <f t="array" ref="G17">1/(1-EXP(-(Tabella33322[Planck h]*Tabella93825[Frequenza6])/(Tabella33322[Boltzmann k]*Tabella837[[#This Row],[Temperatura]])))</f>
        <v>1.0001606346250307</v>
      </c>
      <c r="H17" s="22" cm="1">
        <f t="array" ref="H17">1/(1-EXP(-(Tabella33322[Planck h]*Tabella93825[Frequenza7])/(Tabella33322[Boltzmann k]*Tabella837[[#This Row],[Temperatura]])))</f>
        <v>1.0001161569366157</v>
      </c>
      <c r="I17" s="22" cm="1">
        <f t="array" ref="I17">1/(1-EXP(-(Tabella33322[Planck h]*Tabella93825[Frequenza8])/(Tabella33322[Boltzmann k]*Tabella837[[#This Row],[Temperatura]])))</f>
        <v>1.0001161568697583</v>
      </c>
      <c r="J17" s="22" cm="1">
        <f t="array" ref="J17">1/(1-EXP(-(Tabella33322[Planck h]*Tabella93825[Frequenza9])/(Tabella33322[Boltzmann k]*Tabella837[[#This Row],[Temperatura]])))</f>
        <v>1.000116073595307</v>
      </c>
      <c r="K17" s="90">
        <f>PRODUCT(Tabella837[[#This Row],[Qvib1]:[Qvib9]])</f>
        <v>1.0893336532995745</v>
      </c>
    </row>
    <row r="18" spans="1:11" x14ac:dyDescent="0.35">
      <c r="A18" s="9">
        <v>600</v>
      </c>
      <c r="B18" s="22" cm="1">
        <f t="array" ref="B18">1/(1-EXP(-(Tabella33322[Planck h]*Tabella93825[Frequenza1])/(Tabella33322[Boltzmann k]*Tabella837[[#This Row],[Temperatura]])))</f>
        <v>1.0411165086375105</v>
      </c>
      <c r="C18" s="22" cm="1">
        <f t="array" ref="C18">1/(1-EXP(-(Tabella33322[Planck h]*Tabella93825[Frequenza2])/(Tabella33322[Boltzmann k]*Tabella837[[#This Row],[Temperatura]])))</f>
        <v>1.0411163854578434</v>
      </c>
      <c r="D18" s="22" cm="1">
        <f t="array" ref="D18">1/(1-EXP(-(Tabella33322[Planck h]*Tabella93825[Frequenza3])/(Tabella33322[Boltzmann k]*Tabella837[[#This Row],[Temperatura]])))</f>
        <v>1.0410942809206989</v>
      </c>
      <c r="E18" s="22" cm="1">
        <f t="array" ref="E18">1/(1-EXP(-(Tabella33322[Planck h]*Tabella93825[Frequenza4])/(Tabella33322[Boltzmann k]*Tabella837[[#This Row],[Temperatura]])))</f>
        <v>1.02408260729996</v>
      </c>
      <c r="F18" s="22" cm="1">
        <f t="array" ref="F18">1/(1-EXP(-(Tabella33322[Planck h]*Tabella93825[Frequenza5])/(Tabella33322[Boltzmann k]*Tabella837[[#This Row],[Temperatura]])))</f>
        <v>1.0240825304180736</v>
      </c>
      <c r="G18" s="22" cm="1">
        <f t="array" ref="G18">1/(1-EXP(-(Tabella33322[Planck h]*Tabella93825[Frequenza6])/(Tabella33322[Boltzmann k]*Tabella837[[#This Row],[Temperatura]])))</f>
        <v>1.0006893510643782</v>
      </c>
      <c r="H18" s="22" cm="1">
        <f t="array" ref="H18">1/(1-EXP(-(Tabella33322[Planck h]*Tabella93825[Frequenza7])/(Tabella33322[Boltzmann k]*Tabella837[[#This Row],[Temperatura]])))</f>
        <v>1.0005260867194739</v>
      </c>
      <c r="I18" s="22" cm="1">
        <f t="array" ref="I18">1/(1-EXP(-(Tabella33322[Planck h]*Tabella93825[Frequenza8])/(Tabella33322[Boltzmann k]*Tabella837[[#This Row],[Temperatura]])))</f>
        <v>1.0005260864670338</v>
      </c>
      <c r="J18" s="22" cm="1">
        <f t="array" ref="J18">1/(1-EXP(-(Tabella33322[Planck h]*Tabella93825[Frequenza9])/(Tabella33322[Boltzmann k]*Tabella837[[#This Row],[Temperatura]])))</f>
        <v>1.0005257720206628</v>
      </c>
      <c r="K18" s="90">
        <f>PRODUCT(Tabella837[[#This Row],[Qvib1]:[Qvib9]])</f>
        <v>1.1861592891260844</v>
      </c>
    </row>
    <row r="19" spans="1:11" x14ac:dyDescent="0.35">
      <c r="A19" s="9">
        <v>700</v>
      </c>
      <c r="B19" s="22" cm="1">
        <f t="array" ref="B19">1/(1-EXP(-(Tabella33322[Planck h]*Tabella93825[Frequenza1])/(Tabella33322[Boltzmann k]*Tabella837[[#This Row],[Temperatura]])))</f>
        <v>1.0668526986556961</v>
      </c>
      <c r="C19" s="22" cm="1">
        <f t="array" ref="C19">1/(1-EXP(-(Tabella33322[Planck h]*Tabella93825[Frequenza2])/(Tabella33322[Boltzmann k]*Tabella837[[#This Row],[Temperatura]])))</f>
        <v>1.0668525227418006</v>
      </c>
      <c r="D19" s="22" cm="1">
        <f t="array" ref="D19">1/(1-EXP(-(Tabella33322[Planck h]*Tabella93825[Frequenza3])/(Tabella33322[Boltzmann k]*Tabella837[[#This Row],[Temperatura]])))</f>
        <v>1.0668209541648057</v>
      </c>
      <c r="E19" s="22" cm="1">
        <f t="array" ref="E19">1/(1-EXP(-(Tabella33322[Planck h]*Tabella93825[Frequenza4])/(Tabella33322[Boltzmann k]*Tabella837[[#This Row],[Temperatura]])))</f>
        <v>1.0418640466769351</v>
      </c>
      <c r="F19" s="22" cm="1">
        <f t="array" ref="F19">1/(1-EXP(-(Tabella33322[Planck h]*Tabella93825[Frequenza5])/(Tabella33322[Boltzmann k]*Tabella837[[#This Row],[Temperatura]])))</f>
        <v>1.0418639301326225</v>
      </c>
      <c r="G19" s="22" cm="1">
        <f t="array" ref="G19">1/(1-EXP(-(Tabella33322[Planck h]*Tabella93825[Frequenza6])/(Tabella33322[Boltzmann k]*Tabella837[[#This Row],[Temperatura]])))</f>
        <v>1.001952911676975</v>
      </c>
      <c r="H19" s="22" cm="1">
        <f t="array" ref="H19">1/(1-EXP(-(Tabella33322[Planck h]*Tabella93825[Frequenza7])/(Tabella33322[Boltzmann k]*Tabella837[[#This Row],[Temperatura]])))</f>
        <v>1.0015486525224515</v>
      </c>
      <c r="I19" s="22" cm="1">
        <f t="array" ref="I19">1/(1-EXP(-(Tabella33322[Planck h]*Tabella93825[Frequenza8])/(Tabella33322[Boltzmann k]*Tabella837[[#This Row],[Temperatura]])))</f>
        <v>1.0015486518848462</v>
      </c>
      <c r="J19" s="22" cm="1">
        <f t="array" ref="J19">1/(1-EXP(-(Tabella33322[Planck h]*Tabella93825[Frequenza9])/(Tabella33322[Boltzmann k]*Tabella837[[#This Row],[Temperatura]])))</f>
        <v>1.001547857632632</v>
      </c>
      <c r="K19" s="90">
        <f>PRODUCT(Tabella837[[#This Row],[Qvib1]:[Qvib9]])</f>
        <v>1.3267391963814312</v>
      </c>
    </row>
    <row r="20" spans="1:11" x14ac:dyDescent="0.35">
      <c r="A20" s="9">
        <v>800</v>
      </c>
      <c r="B20" s="22" cm="1">
        <f t="array" ref="B20">1/(1-EXP(-(Tabella33322[Planck h]*Tabella93825[Frequenza1])/(Tabella33322[Boltzmann k]*Tabella837[[#This Row],[Temperatura]])))</f>
        <v>1.0972017697363048</v>
      </c>
      <c r="C20" s="22" cm="1">
        <f t="array" ref="C20">1/(1-EXP(-(Tabella33322[Planck h]*Tabella93825[Frequenza2])/(Tabella33322[Boltzmann k]*Tabella837[[#This Row],[Temperatura]])))</f>
        <v>1.0972015395680024</v>
      </c>
      <c r="D20" s="22" cm="1">
        <f t="array" ref="D20">1/(1-EXP(-(Tabella33322[Planck h]*Tabella93825[Frequenza3])/(Tabella33322[Boltzmann k]*Tabella837[[#This Row],[Temperatura]])))</f>
        <v>1.0971602339675655</v>
      </c>
      <c r="E20" s="22" cm="1">
        <f t="array" ref="E20">1/(1-EXP(-(Tabella33322[Planck h]*Tabella93825[Frequenza4])/(Tabella33322[Boltzmann k]*Tabella837[[#This Row],[Temperatura]])))</f>
        <v>1.0638884699507098</v>
      </c>
      <c r="F20" s="22" cm="1">
        <f t="array" ref="F20">1/(1-EXP(-(Tabella33322[Planck h]*Tabella93825[Frequenza5])/(Tabella33322[Boltzmann k]*Tabella837[[#This Row],[Temperatura]])))</f>
        <v>1.0638883110354778</v>
      </c>
      <c r="G20" s="22" cm="1">
        <f t="array" ref="G20">1/(1-EXP(-(Tabella33322[Planck h]*Tabella93825[Frequenza6])/(Tabella33322[Boltzmann k]*Tabella837[[#This Row],[Temperatura]])))</f>
        <v>1.0042702813559592</v>
      </c>
      <c r="H20" s="22" cm="1">
        <f t="array" ref="H20">1/(1-EXP(-(Tabella33322[Planck h]*Tabella93825[Frequenza7])/(Tabella33322[Boltzmann k]*Tabella837[[#This Row],[Temperatura]])))</f>
        <v>1.0034844347159402</v>
      </c>
      <c r="I20" s="22" cm="1">
        <f t="array" ref="I20">1/(1-EXP(-(Tabella33322[Planck h]*Tabella93825[Frequenza8])/(Tabella33322[Boltzmann k]*Tabella837[[#This Row],[Temperatura]])))</f>
        <v>1.0034844334582402</v>
      </c>
      <c r="J20" s="22" cm="1">
        <f t="array" ref="J20">1/(1-EXP(-(Tabella33322[Planck h]*Tabella93825[Frequenza9])/(Tabella33322[Boltzmann k]*Tabella837[[#This Row],[Temperatura]])))</f>
        <v>1.0034828667179407</v>
      </c>
      <c r="K20" s="90">
        <f>PRODUCT(Tabella837[[#This Row],[Qvib1]:[Qvib9]])</f>
        <v>1.5171096085363804</v>
      </c>
    </row>
    <row r="21" spans="1:11" x14ac:dyDescent="0.35">
      <c r="A21" s="9">
        <v>900</v>
      </c>
      <c r="B21" s="22" cm="1">
        <f t="array" ref="B21">1/(1-EXP(-(Tabella33322[Planck h]*Tabella93825[Frequenza1])/(Tabella33322[Boltzmann k]*Tabella837[[#This Row],[Temperatura]])))</f>
        <v>1.1311829689652075</v>
      </c>
      <c r="C21" s="22" cm="1">
        <f t="array" ref="C21">1/(1-EXP(-(Tabella33322[Planck h]*Tabella93825[Frequenza2])/(Tabella33322[Boltzmann k]*Tabella837[[#This Row],[Temperatura]])))</f>
        <v>1.131182684294574</v>
      </c>
      <c r="D21" s="22" cm="1">
        <f t="array" ref="D21">1/(1-EXP(-(Tabella33322[Planck h]*Tabella93825[Frequenza3])/(Tabella33322[Boltzmann k]*Tabella837[[#This Row],[Temperatura]])))</f>
        <v>1.1311315970818363</v>
      </c>
      <c r="E21" s="22" cm="1">
        <f t="array" ref="E21">1/(1-EXP(-(Tabella33322[Planck h]*Tabella93825[Frequenza4])/(Tabella33322[Boltzmann k]*Tabella837[[#This Row],[Temperatura]])))</f>
        <v>1.0894214253162657</v>
      </c>
      <c r="F21" s="22" cm="1">
        <f t="array" ref="F21">1/(1-EXP(-(Tabella33322[Planck h]*Tabella93825[Frequenza5])/(Tabella33322[Boltzmann k]*Tabella837[[#This Row],[Temperatura]])))</f>
        <v>1.0894212228596585</v>
      </c>
      <c r="G21" s="22" cm="1">
        <f t="array" ref="G21">1/(1-EXP(-(Tabella33322[Planck h]*Tabella93825[Frequenza6])/(Tabella33322[Boltzmann k]*Tabella837[[#This Row],[Temperatura]])))</f>
        <v>1.0078613093825322</v>
      </c>
      <c r="H21" s="22" cm="1">
        <f t="array" ref="H21">1/(1-EXP(-(Tabella33322[Planck h]*Tabella93825[Frequenza7])/(Tabella33322[Boltzmann k]*Tabella837[[#This Row],[Temperatura]])))</f>
        <v>1.0065572908455853</v>
      </c>
      <c r="I21" s="22" cm="1">
        <f t="array" ref="I21">1/(1-EXP(-(Tabella33322[Planck h]*Tabella93825[Frequenza8])/(Tabella33322[Boltzmann k]*Tabella837[[#This Row],[Temperatura]])))</f>
        <v>1.0065572887352838</v>
      </c>
      <c r="J21" s="22" cm="1">
        <f t="array" ref="J21">1/(1-EXP(-(Tabella33322[Planck h]*Tabella93825[Frequenza9])/(Tabella33322[Boltzmann k]*Tabella837[[#This Row],[Temperatura]])))</f>
        <v>1.0065546598306094</v>
      </c>
      <c r="K21" s="90">
        <f>PRODUCT(Tabella837[[#This Row],[Qvib1]:[Qvib9]])</f>
        <v>1.7655727538423323</v>
      </c>
    </row>
    <row r="22" spans="1:11" x14ac:dyDescent="0.35">
      <c r="A22" s="9">
        <v>1000</v>
      </c>
      <c r="B22" s="22" cm="1">
        <f t="array" ref="B22">1/(1-EXP(-(Tabella33322[Planck h]*Tabella93825[Frequenza1])/(Tabella33322[Boltzmann k]*Tabella837[[#This Row],[Temperatura]])))</f>
        <v>1.1680197456099741</v>
      </c>
      <c r="C22" s="22" cm="1">
        <f t="array" ref="C22">1/(1-EXP(-(Tabella33322[Planck h]*Tabella93825[Frequenza2])/(Tabella33322[Boltzmann k]*Tabella837[[#This Row],[Temperatura]])))</f>
        <v>1.1680194067772118</v>
      </c>
      <c r="D22" s="22" cm="1">
        <f t="array" ref="D22">1/(1-EXP(-(Tabella33322[Planck h]*Tabella93825[Frequenza3])/(Tabella33322[Boltzmann k]*Tabella837[[#This Row],[Temperatura]])))</f>
        <v>1.167958598955922</v>
      </c>
      <c r="E22" s="22" cm="1">
        <f t="array" ref="E22">1/(1-EXP(-(Tabella33322[Planck h]*Tabella93825[Frequenza4])/(Tabella33322[Boltzmann k]*Tabella837[[#This Row],[Temperatura]])))</f>
        <v>1.1178121052375787</v>
      </c>
      <c r="F22" s="22" cm="1">
        <f t="array" ref="F22">1/(1-EXP(-(Tabella33322[Planck h]*Tabella93825[Frequenza5])/(Tabella33322[Boltzmann k]*Tabella837[[#This Row],[Temperatura]])))</f>
        <v>1.1178118589198227</v>
      </c>
      <c r="G22" s="22" cm="1">
        <f t="array" ref="G22">1/(1-EXP(-(Tabella33322[Planck h]*Tabella93825[Frequenza6])/(Tabella33322[Boltzmann k]*Tabella837[[#This Row],[Temperatura]])))</f>
        <v>1.0128358241113256</v>
      </c>
      <c r="H22" s="22" cm="1">
        <f t="array" ref="H22">1/(1-EXP(-(Tabella33322[Planck h]*Tabella93825[Frequenza7])/(Tabella33322[Boltzmann k]*Tabella837[[#This Row],[Temperatura]])))</f>
        <v>1.0108943956169245</v>
      </c>
      <c r="I22" s="22" cm="1">
        <f t="array" ref="I22">1/(1-EXP(-(Tabella33322[Planck h]*Tabella93825[Frequenza8])/(Tabella33322[Boltzmann k]*Tabella837[[#This Row],[Temperatura]])))</f>
        <v>1.010894392447846</v>
      </c>
      <c r="J22" s="22" cm="1">
        <f t="array" ref="J22">1/(1-EXP(-(Tabella33322[Planck h]*Tabella93825[Frequenza9])/(Tabella33322[Boltzmann k]*Tabella837[[#This Row],[Temperatura]])))</f>
        <v>1.0108904444997493</v>
      </c>
      <c r="K22" s="90">
        <f>PRODUCT(Tabella837[[#This Row],[Qvib1]:[Qvib9]])</f>
        <v>2.0831470820109272</v>
      </c>
    </row>
    <row r="23" spans="1:11" x14ac:dyDescent="0.35">
      <c r="A23" s="9">
        <v>1100</v>
      </c>
      <c r="B23" s="22" cm="1">
        <f t="array" ref="B23">1/(1-EXP(-(Tabella33322[Planck h]*Tabella93825[Frequenza1])/(Tabella33322[Boltzmann k]*Tabella837[[#This Row],[Temperatura]])))</f>
        <v>1.2071154924464478</v>
      </c>
      <c r="C23" s="22" cm="1">
        <f t="array" ref="C23">1/(1-EXP(-(Tabella33322[Planck h]*Tabella93825[Frequenza2])/(Tabella33322[Boltzmann k]*Tabella837[[#This Row],[Temperatura]])))</f>
        <v>1.2071151000332256</v>
      </c>
      <c r="D23" s="22" cm="1">
        <f t="array" ref="D23">1/(1-EXP(-(Tabella33322[Planck h]*Tabella93825[Frequenza3])/(Tabella33322[Boltzmann k]*Tabella837[[#This Row],[Temperatura]])))</f>
        <v>1.2070446759685258</v>
      </c>
      <c r="E23" s="22" cm="1">
        <f t="array" ref="E23">1/(1-EXP(-(Tabella33322[Planck h]*Tabella93825[Frequenza4])/(Tabella33322[Boltzmann k]*Tabella837[[#This Row],[Temperatura]])))</f>
        <v>1.148523603579813</v>
      </c>
      <c r="F23" s="22" cm="1">
        <f t="array" ref="F23">1/(1-EXP(-(Tabella33322[Planck h]*Tabella93825[Frequenza5])/(Tabella33322[Boltzmann k]*Tabella837[[#This Row],[Temperatura]])))</f>
        <v>1.1485233135252282</v>
      </c>
      <c r="G23" s="22" cm="1">
        <f t="array" ref="G23">1/(1-EXP(-(Tabella33322[Planck h]*Tabella93825[Frequenza6])/(Tabella33322[Boltzmann k]*Tabella837[[#This Row],[Temperatura]])))</f>
        <v>1.0192138793567498</v>
      </c>
      <c r="H23" s="22" cm="1">
        <f t="array" ref="H23">1/(1-EXP(-(Tabella33322[Planck h]*Tabella93825[Frequenza7])/(Tabella33322[Boltzmann k]*Tabella837[[#This Row],[Temperatura]])))</f>
        <v>1.0165380720252963</v>
      </c>
      <c r="I23" s="22" cm="1">
        <f t="array" ref="I23">1/(1-EXP(-(Tabella33322[Planck h]*Tabella93825[Frequenza8])/(Tabella33322[Boltzmann k]*Tabella837[[#This Row],[Temperatura]])))</f>
        <v>1.0165380676274511</v>
      </c>
      <c r="J23" s="22" cm="1">
        <f t="array" ref="J23">1/(1-EXP(-(Tabella33322[Planck h]*Tabella93825[Frequenza9])/(Tabella33322[Boltzmann k]*Tabella837[[#This Row],[Temperatura]])))</f>
        <v>1.0165325888357497</v>
      </c>
      <c r="K23" s="90">
        <f>PRODUCT(Tabella837[[#This Row],[Qvib1]:[Qvib9]])</f>
        <v>2.4839023725215923</v>
      </c>
    </row>
    <row r="24" spans="1:11" x14ac:dyDescent="0.35">
      <c r="A24" s="9">
        <v>1200</v>
      </c>
      <c r="B24" s="22" cm="1">
        <f t="array" ref="B24">1/(1-EXP(-(Tabella33322[Planck h]*Tabella93825[Frequenza1])/(Tabella33322[Boltzmann k]*Tabella837[[#This Row],[Temperatura]])))</f>
        <v>1.2480152179617809</v>
      </c>
      <c r="C24" s="22" cm="1">
        <f t="array" ref="C24">1/(1-EXP(-(Tabella33322[Planck h]*Tabella93825[Frequenza2])/(Tabella33322[Boltzmann k]*Tabella837[[#This Row],[Temperatura]])))</f>
        <v>1.2480147726215942</v>
      </c>
      <c r="D24" s="22" cm="1">
        <f t="array" ref="D24">1/(1-EXP(-(Tabella33322[Planck h]*Tabella93825[Frequenza3])/(Tabella33322[Boltzmann k]*Tabella837[[#This Row],[Temperatura]])))</f>
        <v>1.2479348495843159</v>
      </c>
      <c r="E24" s="22" cm="1">
        <f t="array" ref="E24">1/(1-EXP(-(Tabella33322[Planck h]*Tabella93825[Frequenza4])/(Tabella33322[Boltzmann k]*Tabella837[[#This Row],[Temperatura]])))</f>
        <v>1.1811258474420439</v>
      </c>
      <c r="F24" s="22" cm="1">
        <f t="array" ref="F24">1/(1-EXP(-(Tabella33322[Planck h]*Tabella93825[Frequenza5])/(Tabella33322[Boltzmann k]*Tabella837[[#This Row],[Temperatura]])))</f>
        <v>1.1811255139907604</v>
      </c>
      <c r="G24" s="22" cm="1">
        <f t="array" ref="G24">1/(1-EXP(-(Tabella33322[Planck h]*Tabella93825[Frequenza6])/(Tabella33322[Boltzmann k]*Tabella837[[#This Row],[Temperatura]])))</f>
        <v>1.0269538950213613</v>
      </c>
      <c r="H24" s="22" cm="1">
        <f t="array" ref="H24">1/(1-EXP(-(Tabella33322[Planck h]*Tabella93825[Frequenza7])/(Tabella33322[Boltzmann k]*Tabella837[[#This Row],[Temperatura]])))</f>
        <v>1.0234686996201512</v>
      </c>
      <c r="I24" s="22" cm="1">
        <f t="array" ref="I24">1/(1-EXP(-(Tabella33322[Planck h]*Tabella93825[Frequenza8])/(Tabella33322[Boltzmann k]*Tabella837[[#This Row],[Temperatura]])))</f>
        <v>1.0234686938603641</v>
      </c>
      <c r="J24" s="22" cm="1">
        <f t="array" ref="J24">1/(1-EXP(-(Tabella33322[Planck h]*Tabella93825[Frequenza9])/(Tabella33322[Boltzmann k]*Tabella837[[#This Row],[Temperatura]])))</f>
        <v>1.023461518288894</v>
      </c>
      <c r="K24" s="90">
        <f>PRODUCT(Tabella837[[#This Row],[Qvib1]:[Qvib9]])</f>
        <v>2.9853505671270111</v>
      </c>
    </row>
    <row r="25" spans="1:11" x14ac:dyDescent="0.35">
      <c r="A25" s="9">
        <v>1300</v>
      </c>
      <c r="B25" s="22" cm="1">
        <f t="array" ref="B25">1/(1-EXP(-(Tabella33322[Planck h]*Tabella93825[Frequenza1])/(Tabella33322[Boltzmann k]*Tabella837[[#This Row],[Temperatura]])))</f>
        <v>1.2903709324176875</v>
      </c>
      <c r="C25" s="22" cm="1">
        <f t="array" ref="C25">1/(1-EXP(-(Tabella33322[Planck h]*Tabella93825[Frequenza2])/(Tabella33322[Boltzmann k]*Tabella837[[#This Row],[Temperatura]])))</f>
        <v>1.2903704347960085</v>
      </c>
      <c r="D25" s="22" cm="1">
        <f t="array" ref="D25">1/(1-EXP(-(Tabella33322[Planck h]*Tabella93825[Frequenza3])/(Tabella33322[Boltzmann k]*Tabella837[[#This Row],[Temperatura]])))</f>
        <v>1.2902811286259142</v>
      </c>
      <c r="E25" s="22" cm="1">
        <f t="array" ref="E25">1/(1-EXP(-(Tabella33322[Planck h]*Tabella93825[Frequenza4])/(Tabella33322[Boltzmann k]*Tabella837[[#This Row],[Temperatura]])))</f>
        <v>1.215277949007834</v>
      </c>
      <c r="F25" s="22" cm="1">
        <f t="array" ref="F25">1/(1-EXP(-(Tabella33322[Planck h]*Tabella93825[Frequenza5])/(Tabella33322[Boltzmann k]*Tabella837[[#This Row],[Temperatura]])))</f>
        <v>1.2152775725911524</v>
      </c>
      <c r="G25" s="22" cm="1">
        <f t="array" ref="G25">1/(1-EXP(-(Tabella33322[Planck h]*Tabella93825[Frequenza6])/(Tabella33322[Boltzmann k]*Tabella837[[#This Row],[Temperatura]])))</f>
        <v>1.0359774899094947</v>
      </c>
      <c r="H25" s="22" cm="1">
        <f t="array" ref="H25">1/(1-EXP(-(Tabella33322[Planck h]*Tabella93825[Frequenza7])/(Tabella33322[Boltzmann k]*Tabella837[[#This Row],[Temperatura]])))</f>
        <v>1.0316270846756759</v>
      </c>
      <c r="I25" s="22" cm="1">
        <f t="array" ref="I25">1/(1-EXP(-(Tabella33322[Planck h]*Tabella93825[Frequenza8])/(Tabella33322[Boltzmann k]*Tabella837[[#This Row],[Temperatura]])))</f>
        <v>1.0316270774535903</v>
      </c>
      <c r="J25" s="22" cm="1">
        <f t="array" ref="J25">1/(1-EXP(-(Tabella33322[Planck h]*Tabella93825[Frequenza9])/(Tabella33322[Boltzmann k]*Tabella837[[#This Row],[Temperatura]])))</f>
        <v>1.0316180800552559</v>
      </c>
      <c r="K25" s="90">
        <f>PRODUCT(Tabella837[[#This Row],[Qvib1]:[Qvib9]])</f>
        <v>3.608935780423713</v>
      </c>
    </row>
    <row r="26" spans="1:11" x14ac:dyDescent="0.35">
      <c r="A26" s="9">
        <v>1400</v>
      </c>
      <c r="B26" s="22" cm="1">
        <f t="array" ref="B26">1/(1-EXP(-(Tabella33322[Planck h]*Tabella93825[Frequenza1])/(Tabella33322[Boltzmann k]*Tabella837[[#This Row],[Temperatura]])))</f>
        <v>1.3339144555083862</v>
      </c>
      <c r="C26" s="22" cm="1">
        <f t="array" ref="C26">1/(1-EXP(-(Tabella33322[Planck h]*Tabella93825[Frequenza2])/(Tabella33322[Boltzmann k]*Tabella837[[#This Row],[Temperatura]])))</f>
        <v>1.3339139062077439</v>
      </c>
      <c r="D26" s="22" cm="1">
        <f t="array" ref="D26">1/(1-EXP(-(Tabella33322[Planck h]*Tabella93825[Frequenza3])/(Tabella33322[Boltzmann k]*Tabella837[[#This Row],[Temperatura]])))</f>
        <v>1.3338153250423594</v>
      </c>
      <c r="E26" s="22" cm="1">
        <f t="array" ref="E26">1/(1-EXP(-(Tabella33322[Planck h]*Tabella93825[Frequenza4])/(Tabella33322[Boltzmann k]*Tabella837[[#This Row],[Temperatura]])))</f>
        <v>1.2507100307922723</v>
      </c>
      <c r="F26" s="22" cm="1">
        <f t="array" ref="F26">1/(1-EXP(-(Tabella33322[Planck h]*Tabella93825[Frequenza5])/(Tabella33322[Boltzmann k]*Tabella837[[#This Row],[Temperatura]])))</f>
        <v>1.2507096118662213</v>
      </c>
      <c r="G26" s="22" cm="1">
        <f t="array" ref="G26">1/(1-EXP(-(Tabella33322[Planck h]*Tabella93825[Frequenza6])/(Tabella33322[Boltzmann k]*Tabella837[[#This Row],[Temperatura]])))</f>
        <v>1.0461878022159254</v>
      </c>
      <c r="H26" s="22" cm="1">
        <f t="array" ref="H26">1/(1-EXP(-(Tabella33322[Planck h]*Tabella93825[Frequenza7])/(Tabella33322[Boltzmann k]*Tabella837[[#This Row],[Temperatura]])))</f>
        <v>1.0409320354026326</v>
      </c>
      <c r="I26" s="22" cm="1">
        <f t="array" ref="I26">1/(1-EXP(-(Tabella33322[Planck h]*Tabella93825[Frequenza8])/(Tabella33322[Boltzmann k]*Tabella837[[#This Row],[Temperatura]])))</f>
        <v>1.0409320266450999</v>
      </c>
      <c r="J26" s="22" cm="1">
        <f t="array" ref="J26">1/(1-EXP(-(Tabella33322[Planck h]*Tabella93825[Frequenza9])/(Tabella33322[Boltzmann k]*Tabella837[[#This Row],[Temperatura]])))</f>
        <v>1.0409211162720031</v>
      </c>
      <c r="K26" s="90">
        <f>PRODUCT(Tabella837[[#This Row],[Qvib1]:[Qvib9]])</f>
        <v>4.3806324784126867</v>
      </c>
    </row>
    <row r="27" spans="1:11" x14ac:dyDescent="0.35">
      <c r="A27" s="9">
        <v>1500</v>
      </c>
      <c r="B27" s="22" cm="1">
        <f t="array" ref="B27">1/(1-EXP(-(Tabella33322[Planck h]*Tabella93825[Frequenza1])/(Tabella33322[Boltzmann k]*Tabella837[[#This Row],[Temperatura]])))</f>
        <v>1.3784371077120441</v>
      </c>
      <c r="C27" s="22" cm="1">
        <f t="array" ref="C27">1/(1-EXP(-(Tabella33322[Planck h]*Tabella93825[Frequenza2])/(Tabella33322[Boltzmann k]*Tabella837[[#This Row],[Temperatura]])))</f>
        <v>1.3784365072793083</v>
      </c>
      <c r="D27" s="22" cm="1">
        <f t="array" ref="D27">1/(1-EXP(-(Tabella33322[Planck h]*Tabella93825[Frequenza3])/(Tabella33322[Boltzmann k]*Tabella837[[#This Row],[Temperatura]])))</f>
        <v>1.3783287492698688</v>
      </c>
      <c r="E27" s="22" cm="1">
        <f t="array" ref="E27">1/(1-EXP(-(Tabella33322[Planck h]*Tabella93825[Frequenza4])/(Tabella33322[Boltzmann k]*Tabella837[[#This Row],[Temperatura]])))</f>
        <v>1.2872076620264694</v>
      </c>
      <c r="F27" s="22" cm="1">
        <f t="array" ref="F27">1/(1-EXP(-(Tabella33322[Planck h]*Tabella93825[Frequenza5])/(Tabella33322[Boltzmann k]*Tabella837[[#This Row],[Temperatura]])))</f>
        <v>1.2872072010375903</v>
      </c>
      <c r="G27" s="22" cm="1">
        <f t="array" ref="G27">1/(1-EXP(-(Tabella33322[Planck h]*Tabella93825[Frequenza6])/(Tabella33322[Boltzmann k]*Tabella837[[#This Row],[Temperatura]])))</f>
        <v>1.0574816616060518</v>
      </c>
      <c r="H27" s="22" cm="1">
        <f t="array" ref="H27">1/(1-EXP(-(Tabella33322[Planck h]*Tabella93825[Frequenza7])/(Tabella33322[Boltzmann k]*Tabella837[[#This Row],[Temperatura]])))</f>
        <v>1.051292657422219</v>
      </c>
      <c r="I27" s="22" cm="1">
        <f t="array" ref="I27">1/(1-EXP(-(Tabella33322[Planck h]*Tabella93825[Frequenza8])/(Tabella33322[Boltzmann k]*Tabella837[[#This Row],[Temperatura]])))</f>
        <v>1.0512926470776676</v>
      </c>
      <c r="J27" s="22" cm="1">
        <f t="array" ref="J27">1/(1-EXP(-(Tabella33322[Planck h]*Tabella93825[Frequenza9])/(Tabella33322[Boltzmann k]*Tabella837[[#This Row],[Temperatura]])))</f>
        <v>1.051279759466202</v>
      </c>
      <c r="K27" s="90">
        <f>PRODUCT(Tabella837[[#This Row],[Qvib1]:[Qvib9]])</f>
        <v>5.3316547617208876</v>
      </c>
    </row>
    <row r="28" spans="1:11" x14ac:dyDescent="0.35">
      <c r="A28" s="9">
        <v>1600</v>
      </c>
      <c r="B28" s="22" cm="1">
        <f t="array" ref="B28">1/(1-EXP(-(Tabella33322[Planck h]*Tabella93825[Frequenza1])/(Tabella33322[Boltzmann k]*Tabella837[[#This Row],[Temperatura]])))</f>
        <v>1.4237748148214349</v>
      </c>
      <c r="C28" s="22" cm="1">
        <f t="array" ref="C28">1/(1-EXP(-(Tabella33322[Planck h]*Tabella93825[Frequenza2])/(Tabella33322[Boltzmann k]*Tabella837[[#This Row],[Temperatura]])))</f>
        <v>1.4237741637458299</v>
      </c>
      <c r="D28" s="22" cm="1">
        <f t="array" ref="D28">1/(1-EXP(-(Tabella33322[Planck h]*Tabella93825[Frequenza3])/(Tabella33322[Boltzmann k]*Tabella837[[#This Row],[Temperatura]])))</f>
        <v>1.423657316699092</v>
      </c>
      <c r="E28" s="22" cm="1">
        <f t="array" ref="E28">1/(1-EXP(-(Tabella33322[Planck h]*Tabella93825[Frequenza4])/(Tabella33322[Boltzmann k]*Tabella837[[#This Row],[Temperatura]])))</f>
        <v>1.3245994335547602</v>
      </c>
      <c r="F28" s="22" cm="1">
        <f t="array" ref="F28">1/(1-EXP(-(Tabella33322[Planck h]*Tabella93825[Frequenza5])/(Tabella33322[Boltzmann k]*Tabella837[[#This Row],[Temperatura]])))</f>
        <v>1.3245989309235902</v>
      </c>
      <c r="G28" s="22" cm="1">
        <f t="array" ref="G28">1/(1-EXP(-(Tabella33322[Planck h]*Tabella93825[Frequenza6])/(Tabella33322[Boltzmann k]*Tabella837[[#This Row],[Temperatura]])))</f>
        <v>1.0697570484071597</v>
      </c>
      <c r="H28" s="22" cm="1">
        <f t="array" ref="H28">1/(1-EXP(-(Tabella33322[Planck h]*Tabella93825[Frequenza7])/(Tabella33322[Boltzmann k]*Tabella837[[#This Row],[Temperatura]])))</f>
        <v>1.062616287394762</v>
      </c>
      <c r="I28" s="22" cm="1">
        <f t="array" ref="I28">1/(1-EXP(-(Tabella33322[Planck h]*Tabella93825[Frequenza8])/(Tabella33322[Boltzmann k]*Tabella837[[#This Row],[Temperatura]])))</f>
        <v>1.0626162754282413</v>
      </c>
      <c r="J28" s="22" cm="1">
        <f t="array" ref="J28">1/(1-EXP(-(Tabella33322[Planck h]*Tabella93825[Frequenza9])/(Tabella33322[Boltzmann k]*Tabella837[[#This Row],[Temperatura]])))</f>
        <v>1.0626013670246599</v>
      </c>
      <c r="K28" s="90">
        <f>PRODUCT(Tabella837[[#This Row],[Qvib1]:[Qvib9]])</f>
        <v>6.4992808244117084</v>
      </c>
    </row>
    <row r="29" spans="1:11" x14ac:dyDescent="0.35">
      <c r="A29" s="9">
        <v>1700</v>
      </c>
      <c r="B29" s="22" cm="1">
        <f t="array" ref="B29">1/(1-EXP(-(Tabella33322[Planck h]*Tabella93825[Frequenza1])/(Tabella33322[Boltzmann k]*Tabella837[[#This Row],[Temperatura]])))</f>
        <v>1.4697972224201088</v>
      </c>
      <c r="C29" s="22" cm="1">
        <f t="array" ref="C29">1/(1-EXP(-(Tabella33322[Planck h]*Tabella93825[Frequenza2])/(Tabella33322[Boltzmann k]*Tabella837[[#This Row],[Temperatura]])))</f>
        <v>1.4697965211361455</v>
      </c>
      <c r="D29" s="22" cm="1">
        <f t="array" ref="D29">1/(1-EXP(-(Tabella33322[Planck h]*Tabella93825[Frequenza3])/(Tabella33322[Boltzmann k]*Tabella837[[#This Row],[Temperatura]])))</f>
        <v>1.4696706630402177</v>
      </c>
      <c r="E29" s="22" cm="1">
        <f t="array" ref="E29">1/(1-EXP(-(Tabella33322[Planck h]*Tabella93825[Frequenza4])/(Tabella33322[Boltzmann k]*Tabella837[[#This Row],[Temperatura]])))</f>
        <v>1.362747332822019</v>
      </c>
      <c r="F29" s="22" cm="1">
        <f t="array" ref="F29">1/(1-EXP(-(Tabella33322[Planck h]*Tabella93825[Frequenza5])/(Tabella33322[Boltzmann k]*Tabella837[[#This Row],[Temperatura]])))</f>
        <v>1.3627467889362053</v>
      </c>
      <c r="G29" s="22" cm="1">
        <f t="array" ref="G29">1/(1-EXP(-(Tabella33322[Planck h]*Tabella93825[Frequenza6])/(Tabella33322[Boltzmann k]*Tabella837[[#This Row],[Temperatura]])))</f>
        <v>1.0829172928419402</v>
      </c>
      <c r="H29" s="22" cm="1">
        <f t="array" ref="H29">1/(1-EXP(-(Tabella33322[Planck h]*Tabella93825[Frequenza7])/(Tabella33322[Boltzmann k]*Tabella837[[#This Row],[Temperatura]])))</f>
        <v>1.0748132485236959</v>
      </c>
      <c r="I29" s="22" cm="1">
        <f t="array" ref="I29">1/(1-EXP(-(Tabella33322[Planck h]*Tabella93825[Frequenza8])/(Tabella33322[Boltzmann k]*Tabella837[[#This Row],[Temperatura]])))</f>
        <v>1.0748132349128003</v>
      </c>
      <c r="J29" s="22" cm="1">
        <f t="array" ref="J29">1/(1-EXP(-(Tabella33322[Planck h]*Tabella93825[Frequenza9])/(Tabella33322[Boltzmann k]*Tabella837[[#This Row],[Temperatura]])))</f>
        <v>1.0747962777944711</v>
      </c>
      <c r="K29" s="90">
        <f>PRODUCT(Tabella837[[#This Row],[Qvib1]:[Qvib9]])</f>
        <v>7.927798985814241</v>
      </c>
    </row>
    <row r="30" spans="1:11" x14ac:dyDescent="0.35">
      <c r="A30" s="9">
        <v>1800</v>
      </c>
      <c r="B30" s="22" cm="1">
        <f t="array" ref="B30">1/(1-EXP(-(Tabella33322[Planck h]*Tabella93825[Frequenza1])/(Tabella33322[Boltzmann k]*Tabella837[[#This Row],[Temperatura]])))</f>
        <v>1.5163997135541909</v>
      </c>
      <c r="C30" s="22" cm="1">
        <f t="array" ref="C30">1/(1-EXP(-(Tabella33322[Planck h]*Tabella93825[Frequenza2])/(Tabella33322[Boltzmann k]*Tabella837[[#This Row],[Temperatura]])))</f>
        <v>1.5163989624466061</v>
      </c>
      <c r="D30" s="22" cm="1">
        <f t="array" ref="D30">1/(1-EXP(-(Tabella33322[Planck h]*Tabella93825[Frequenza3])/(Tabella33322[Boltzmann k]*Tabella837[[#This Row],[Temperatura]])))</f>
        <v>1.5162641623565338</v>
      </c>
      <c r="E30" s="22" cm="1">
        <f t="array" ref="E30">1/(1-EXP(-(Tabella33322[Planck h]*Tabella93825[Frequenza4])/(Tabella33322[Boltzmann k]*Tabella837[[#This Row],[Temperatura]])))</f>
        <v>1.4015393783754551</v>
      </c>
      <c r="F30" s="22" cm="1">
        <f t="array" ref="F30">1/(1-EXP(-(Tabella33322[Planck h]*Tabella93825[Frequenza5])/(Tabella33322[Boltzmann k]*Tabella837[[#This Row],[Temperatura]])))</f>
        <v>1.4015387935880224</v>
      </c>
      <c r="G30" s="22" cm="1">
        <f t="array" ref="G30">1/(1-EXP(-(Tabella33322[Planck h]*Tabella93825[Frequenza6])/(Tabella33322[Boltzmann k]*Tabella837[[#This Row],[Temperatura]])))</f>
        <v>1.0968731600977042</v>
      </c>
      <c r="H30" s="22" cm="1">
        <f t="array" ref="H30">1/(1-EXP(-(Tabella33322[Planck h]*Tabella93825[Frequenza7])/(Tabella33322[Boltzmann k]*Tabella837[[#This Row],[Temperatura]])))</f>
        <v>1.0877994529833508</v>
      </c>
      <c r="I30" s="22" cm="1">
        <f t="array" ref="I30">1/(1-EXP(-(Tabella33322[Planck h]*Tabella93825[Frequenza8])/(Tabella33322[Boltzmann k]*Tabella837[[#This Row],[Temperatura]])))</f>
        <v>1.087799437714996</v>
      </c>
      <c r="J30" s="22" cm="1">
        <f t="array" ref="J30">1/(1-EXP(-(Tabella33322[Planck h]*Tabella93825[Frequenza9])/(Tabella33322[Boltzmann k]*Tabella837[[#This Row],[Temperatura]])))</f>
        <v>1.0877804155741204</v>
      </c>
      <c r="K30" s="90">
        <f>PRODUCT(Tabella837[[#This Row],[Qvib1]:[Qvib9]])</f>
        <v>9.6695838008543387</v>
      </c>
    </row>
    <row r="31" spans="1:11" x14ac:dyDescent="0.35">
      <c r="A31" s="9">
        <v>1900</v>
      </c>
      <c r="B31" s="22" cm="1">
        <f t="array" ref="B31">1/(1-EXP(-(Tabella33322[Planck h]*Tabella93825[Frequenza1])/(Tabella33322[Boltzmann k]*Tabella837[[#This Row],[Temperatura]])))</f>
        <v>1.5634975144070515</v>
      </c>
      <c r="C31" s="22" cm="1">
        <f t="array" ref="C31">1/(1-EXP(-(Tabella33322[Planck h]*Tabella93825[Frequenza2])/(Tabella33322[Boltzmann k]*Tabella837[[#This Row],[Temperatura]])))</f>
        <v>1.5634967138162996</v>
      </c>
      <c r="D31" s="22" cm="1">
        <f t="array" ref="D31">1/(1-EXP(-(Tabella33322[Planck h]*Tabella93825[Frequenza3])/(Tabella33322[Boltzmann k]*Tabella837[[#This Row],[Temperatura]])))</f>
        <v>1.5633530328397567</v>
      </c>
      <c r="E31" s="22" cm="1">
        <f t="array" ref="E31">1/(1-EXP(-(Tabella33322[Planck h]*Tabella93825[Frequenza4])/(Tabella33322[Boltzmann k]*Tabella837[[#This Row],[Temperatura]])))</f>
        <v>1.44088400103912</v>
      </c>
      <c r="F31" s="22" cm="1">
        <f t="array" ref="F31">1/(1-EXP(-(Tabella33322[Planck h]*Tabella93825[Frequenza5])/(Tabella33322[Boltzmann k]*Tabella837[[#This Row],[Temperatura]])))</f>
        <v>1.4408833756693968</v>
      </c>
      <c r="G31" s="22" cm="1">
        <f t="array" ref="G31">1/(1-EXP(-(Tabella33322[Planck h]*Tabella93825[Frequenza6])/(Tabella33322[Boltzmann k]*Tabella837[[#This Row],[Temperatura]])))</f>
        <v>1.1115436315223228</v>
      </c>
      <c r="H31" s="22" cm="1">
        <f t="array" ref="H31">1/(1-EXP(-(Tabella33322[Planck h]*Tabella93825[Frequenza7])/(Tabella33322[Boltzmann k]*Tabella837[[#This Row],[Temperatura]])))</f>
        <v>1.1014976188766081</v>
      </c>
      <c r="I31" s="22" cm="1">
        <f t="array" ref="I31">1/(1-EXP(-(Tabella33322[Planck h]*Tabella93825[Frequenza8])/(Tabella33322[Boltzmann k]*Tabella837[[#This Row],[Temperatura]])))</f>
        <v>1.1014976019445435</v>
      </c>
      <c r="J31" s="22" cm="1">
        <f t="array" ref="J31">1/(1-EXP(-(Tabella33322[Planck h]*Tabella93825[Frequenza9])/(Tabella33322[Boltzmann k]*Tabella837[[#This Row],[Temperatura]])))</f>
        <v>1.1014765069885248</v>
      </c>
      <c r="K31" s="90">
        <f>PRODUCT(Tabella837[[#This Row],[Qvib1]:[Qvib9]])</f>
        <v>11.786312463082597</v>
      </c>
    </row>
    <row r="32" spans="1:11" x14ac:dyDescent="0.35">
      <c r="A32" s="9">
        <v>2000</v>
      </c>
      <c r="B32" s="22" cm="1">
        <f t="array" ref="B32">1/(1-EXP(-(Tabella33322[Planck h]*Tabella93825[Frequenza1])/(Tabella33322[Boltzmann k]*Tabella837[[#This Row],[Temperatura]])))</f>
        <v>1.6110213037616521</v>
      </c>
      <c r="C32" s="22" cm="1">
        <f t="array" ref="C32">1/(1-EXP(-(Tabella33322[Planck h]*Tabella93825[Frequenza2])/(Tabella33322[Boltzmann k]*Tabella837[[#This Row],[Temperatura]])))</f>
        <v>1.6110204539892674</v>
      </c>
      <c r="D32" s="22" cm="1">
        <f t="array" ref="D32">1/(1-EXP(-(Tabella33322[Planck h]*Tabella93825[Frequenza3])/(Tabella33322[Boltzmann k]*Tabella837[[#This Row],[Temperatura]])))</f>
        <v>1.6108679462485236</v>
      </c>
      <c r="E32" s="22" cm="1">
        <f t="array" ref="E32">1/(1-EXP(-(Tabella33322[Planck h]*Tabella93825[Frequenza4])/(Tabella33322[Boltzmann k]*Tabella837[[#This Row],[Temperatura]])))</f>
        <v>1.4807057499574734</v>
      </c>
      <c r="F32" s="22" cm="1">
        <f t="array" ref="F32">1/(1-EXP(-(Tabella33322[Planck h]*Tabella93825[Frequenza5])/(Tabella33322[Boltzmann k]*Tabella837[[#This Row],[Temperatura]])))</f>
        <v>1.4807050842933023</v>
      </c>
      <c r="G32" s="22" cm="1">
        <f t="array" ref="G32">1/(1-EXP(-(Tabella33322[Planck h]*Tabella93825[Frequenza6])/(Tabella33322[Boltzmann k]*Tabella837[[#This Row],[Temperatura]])))</f>
        <v>1.1268559209887719</v>
      </c>
      <c r="H32" s="22" cm="1">
        <f t="array" ref="H32">1/(1-EXP(-(Tabella33322[Planck h]*Tabella93825[Frequenza7])/(Tabella33322[Boltzmann k]*Tabella837[[#This Row],[Temperatura]])))</f>
        <v>1.1158376349074219</v>
      </c>
      <c r="I32" s="22" cm="1">
        <f t="array" ref="I32">1/(1-EXP(-(Tabella33322[Planck h]*Tabella93825[Frequenza8])/(Tabella33322[Boltzmann k]*Tabella837[[#This Row],[Temperatura]])))</f>
        <v>1.1158376163103405</v>
      </c>
      <c r="J32" s="22" cm="1">
        <f t="array" ref="J32">1/(1-EXP(-(Tabella33322[Planck h]*Tabella93825[Frequenza9])/(Tabella33322[Boltzmann k]*Tabella837[[#This Row],[Temperatura]])))</f>
        <v>1.1158144469069742</v>
      </c>
      <c r="K32" s="90">
        <f>PRODUCT(Tabella837[[#This Row],[Qvib1]:[Qvib9]])</f>
        <v>14.350333111698646</v>
      </c>
    </row>
    <row r="36" spans="1:8" x14ac:dyDescent="0.35">
      <c r="A36" s="28" t="s">
        <v>38</v>
      </c>
      <c r="B36" s="29" t="s">
        <v>55</v>
      </c>
      <c r="C36" s="29" t="s">
        <v>56</v>
      </c>
      <c r="D36" s="29" t="s">
        <v>57</v>
      </c>
      <c r="E36" s="29" t="s">
        <v>58</v>
      </c>
      <c r="F36" s="30" t="s">
        <v>59</v>
      </c>
      <c r="H36" s="132" t="s">
        <v>48</v>
      </c>
    </row>
    <row r="37" spans="1:8" x14ac:dyDescent="0.35">
      <c r="A37" s="21">
        <v>298.14999999999998</v>
      </c>
      <c r="B37" s="22" cm="1">
        <f t="array" ref="B37">(Tabella33322[Boltzmann k]*A37)/101325</f>
        <v>4.0625758633111278E-26</v>
      </c>
      <c r="C37" s="22" cm="1">
        <f t="array" ref="C37">POWER((2*PI()*Tabella33322[Massa '[kg']]*Tabella33322[Boltzmann k]*A37)/(POWER(Tabella33322[Planck h],2)),1.5)*B37</f>
        <v>2521714.1772048417</v>
      </c>
      <c r="D37" s="23">
        <f>K15</f>
        <v>1.0055695346625402</v>
      </c>
      <c r="E37" s="22" cm="1">
        <f t="array" ref="E37">((SQRT(PI())/Tabella63623[Simmetria]))*(SQRT(POWER(A37,3)/PRODUCT($F$7,$G$7,$H$7)))</f>
        <v>146.45383245358968</v>
      </c>
      <c r="F37" s="9" cm="1">
        <f t="array" ref="F37">[1]!Tabella636[Gel]*EXP(0)</f>
        <v>1</v>
      </c>
      <c r="H37" s="22">
        <f>C37*D37*E37*F37</f>
        <v>371371616.6584481</v>
      </c>
    </row>
    <row r="38" spans="1:8" x14ac:dyDescent="0.35">
      <c r="A38" s="21">
        <v>400</v>
      </c>
      <c r="B38" s="22" cm="1">
        <f t="array" ref="B38">(Tabella33322[Boltzmann k]*A38)/101325</f>
        <v>5.4503784850727862E-26</v>
      </c>
      <c r="C38" s="22" cm="1">
        <f t="array" ref="C38">POWER((2*PI()*Tabella33322[Massa '[kg']]*Tabella33322[Boltzmann k]*A38)/(POWER(Tabella33322[Planck h],2)),1.5)*B38</f>
        <v>5257252.1124814758</v>
      </c>
      <c r="D38" s="23">
        <f t="shared" ref="D38:D54" si="0">K16</f>
        <v>1.0313939961704275</v>
      </c>
      <c r="E38" s="22" cm="1">
        <f t="array" ref="E38">((SQRT(PI())/Tabella63623[Simmetria]))*(SQRT(POWER(A38,3)/PRODUCT($F$7,$G$7,$H$7)))</f>
        <v>227.58231321110347</v>
      </c>
      <c r="F38" s="9" cm="1">
        <f t="array" ref="F38">[1]!Tabella636[Gel]*EXP(0)</f>
        <v>1</v>
      </c>
      <c r="H38" s="22">
        <f t="shared" ref="H38:H53" si="1">C38*D38*E38*F38</f>
        <v>1234019182.1074164</v>
      </c>
    </row>
    <row r="39" spans="1:8" x14ac:dyDescent="0.35">
      <c r="A39" s="21">
        <v>500</v>
      </c>
      <c r="B39" s="22" cm="1">
        <f t="array" ref="B39">(Tabella33322[Boltzmann k]*A39)/101325</f>
        <v>6.8129731063409828E-26</v>
      </c>
      <c r="C39" s="22" cm="1">
        <f t="array" ref="C39">POWER((2*PI()*Tabella33322[Massa '[kg']]*Tabella33322[Boltzmann k]*A39)/(POWER(Tabella33322[Planck h],2)),1.5)*B39</f>
        <v>9184041.4830959775</v>
      </c>
      <c r="D39" s="23">
        <f t="shared" si="0"/>
        <v>1.0893336532995745</v>
      </c>
      <c r="E39" s="22" cm="1">
        <f t="array" ref="E39">((SQRT(PI())/Tabella63623[Simmetria]))*(SQRT(POWER(A39,3)/PRODUCT($F$7,$G$7,$H$7)))</f>
        <v>318.05595176042237</v>
      </c>
      <c r="F39" s="9" cm="1">
        <f t="array" ref="F39">[1]!Tabella636[Gel]*EXP(0)</f>
        <v>1</v>
      </c>
      <c r="H39" s="22">
        <f t="shared" si="1"/>
        <v>3181986145.1194334</v>
      </c>
    </row>
    <row r="40" spans="1:8" x14ac:dyDescent="0.35">
      <c r="A40" s="21">
        <v>600</v>
      </c>
      <c r="B40" s="22" cm="1">
        <f t="array" ref="B40">(Tabella33322[Boltzmann k]*A40)/101325</f>
        <v>8.1755677276091782E-26</v>
      </c>
      <c r="C40" s="22" cm="1">
        <f t="array" ref="C40">POWER((2*PI()*Tabella33322[Massa '[kg']]*Tabella33322[Boltzmann k]*A40)/(POWER(Tabella33322[Planck h],2)),1.5)*B40</f>
        <v>14487283.265342049</v>
      </c>
      <c r="D40" s="23">
        <f t="shared" si="0"/>
        <v>1.1861592891260844</v>
      </c>
      <c r="E40" s="22" cm="1">
        <f t="array" ref="E40">((SQRT(PI())/Tabella63623[Simmetria]))*(SQRT(POWER(A40,3)/PRODUCT($F$7,$G$7,$H$7)))</f>
        <v>418.09540638709984</v>
      </c>
      <c r="F40" s="9" cm="1">
        <f t="array" ref="F40">[1]!Tabella636[Gel]*EXP(0)</f>
        <v>1</v>
      </c>
      <c r="H40" s="22">
        <f t="shared" si="1"/>
        <v>7184645793.7849464</v>
      </c>
    </row>
    <row r="41" spans="1:8" x14ac:dyDescent="0.35">
      <c r="A41" s="21">
        <v>700</v>
      </c>
      <c r="B41" s="22" cm="1">
        <f t="array" ref="B41">(Tabella33322[Boltzmann k]*A41)/101325</f>
        <v>9.5381623488773759E-26</v>
      </c>
      <c r="C41" s="22" cm="1">
        <f t="array" ref="C41">POWER((2*PI()*Tabella33322[Massa '[kg']]*Tabella33322[Boltzmann k]*A41)/(POWER(Tabella33322[Planck h],2)),1.5)*B41</f>
        <v>21298740.680954941</v>
      </c>
      <c r="D41" s="23">
        <f t="shared" si="0"/>
        <v>1.3267391963814312</v>
      </c>
      <c r="E41" s="22" cm="1">
        <f t="array" ref="E41">((SQRT(PI())/Tabella63623[Simmetria]))*(SQRT(POWER(A41,3)/PRODUCT($F$7,$G$7,$H$7)))</f>
        <v>526.8604281092156</v>
      </c>
      <c r="F41" s="9" cm="1">
        <f t="array" ref="F41">[1]!Tabella636[Gel]*EXP(0)</f>
        <v>1</v>
      </c>
      <c r="H41" s="22">
        <f t="shared" si="1"/>
        <v>14887955643.140982</v>
      </c>
    </row>
    <row r="42" spans="1:8" x14ac:dyDescent="0.35">
      <c r="A42" s="21">
        <v>800</v>
      </c>
      <c r="B42" s="22" cm="1">
        <f t="array" ref="B42">(Tabella33322[Boltzmann k]*A42)/101325</f>
        <v>1.0900756970145572E-25</v>
      </c>
      <c r="C42" s="22" cm="1">
        <f t="array" ref="C42">POWER((2*PI()*Tabella33322[Massa '[kg']]*Tabella33322[Boltzmann k]*A42)/(POWER(Tabella33322[Planck h],2)),1.5)*B42</f>
        <v>29739508.953143712</v>
      </c>
      <c r="D42" s="23">
        <f t="shared" si="0"/>
        <v>1.5171096085363804</v>
      </c>
      <c r="E42" s="22" cm="1">
        <f t="array" ref="E42">((SQRT(PI())/Tabella63623[Simmetria]))*(SQRT(POWER(A42,3)/PRODUCT($F$7,$G$7,$H$7)))</f>
        <v>643.69998779876835</v>
      </c>
      <c r="F42" s="9" cm="1">
        <f t="array" ref="F42">[1]!Tabella636[Gel]*EXP(0)</f>
        <v>1</v>
      </c>
      <c r="H42" s="22">
        <f t="shared" si="1"/>
        <v>29042517063.231297</v>
      </c>
    </row>
    <row r="43" spans="1:8" x14ac:dyDescent="0.35">
      <c r="A43" s="21">
        <v>900</v>
      </c>
      <c r="B43" s="22" cm="1">
        <f t="array" ref="B43">(Tabella33322[Boltzmann k]*A43)/101325</f>
        <v>1.2263351591413768E-25</v>
      </c>
      <c r="C43" s="22" cm="1">
        <f t="array" ref="C43">POWER((2*PI()*Tabella33322[Massa '[kg']]*Tabella33322[Boltzmann k]*A43)/(POWER(Tabella33322[Planck h],2)),1.5)*B43</f>
        <v>39922258.229156271</v>
      </c>
      <c r="D43" s="23">
        <f t="shared" si="0"/>
        <v>1.7655727538423323</v>
      </c>
      <c r="E43" s="22" cm="1">
        <f t="array" ref="E43">((SQRT(PI())/Tabella63623[Simmetria]))*(SQRT(POWER(A43,3)/PRODUCT($F$7,$G$7,$H$7)))</f>
        <v>768.09030708747423</v>
      </c>
      <c r="F43" s="9" cm="1">
        <f t="array" ref="F43">[1]!Tabella636[Gel]*EXP(0)</f>
        <v>1</v>
      </c>
      <c r="H43" s="22">
        <f t="shared" si="1"/>
        <v>54139345630.051491</v>
      </c>
    </row>
    <row r="44" spans="1:8" x14ac:dyDescent="0.35">
      <c r="A44" s="21">
        <v>1000</v>
      </c>
      <c r="B44" s="22" cm="1">
        <f t="array" ref="B44">(Tabella33322[Boltzmann k]*A44)/101325</f>
        <v>1.3625946212681966E-25</v>
      </c>
      <c r="C44" s="22" cm="1">
        <f t="array" ref="C44">POWER((2*PI()*Tabella33322[Massa '[kg']]*Tabella33322[Boltzmann k]*A44)/(POWER(Tabella33322[Planck h],2)),1.5)*B44</f>
        <v>51952784.09116593</v>
      </c>
      <c r="D44" s="23">
        <f t="shared" si="0"/>
        <v>2.0831470820109272</v>
      </c>
      <c r="E44" s="22" cm="1">
        <f t="array" ref="E44">((SQRT(PI())/Tabella63623[Simmetria]))*(SQRT(POWER(A44,3)/PRODUCT($F$7,$G$7,$H$7)))</f>
        <v>899.5980811461443</v>
      </c>
      <c r="F44" s="9" cm="1">
        <f t="array" ref="F44">[1]!Tabella636[Gel]*EXP(0)</f>
        <v>1</v>
      </c>
      <c r="H44" s="22">
        <f t="shared" si="1"/>
        <v>97359263738.92157</v>
      </c>
    </row>
    <row r="45" spans="1:8" x14ac:dyDescent="0.35">
      <c r="A45" s="21">
        <v>1100</v>
      </c>
      <c r="B45" s="22" cm="1">
        <f t="array" ref="B45">(Tabella33322[Boltzmann k]*A45)/101325</f>
        <v>1.4988540833950161E-25</v>
      </c>
      <c r="C45" s="22" cm="1">
        <f t="array" ref="C45">POWER((2*PI()*Tabella33322[Massa '[kg']]*Tabella33322[Boltzmann k]*A45)/(POWER(Tabella33322[Planck h],2)),1.5)*B45</f>
        <v>65931132.96668528</v>
      </c>
      <c r="D45" s="23">
        <f t="shared" si="0"/>
        <v>2.4839023725215923</v>
      </c>
      <c r="E45" s="22" cm="1">
        <f t="array" ref="E45">((SQRT(PI())/Tabella63623[Simmetria]))*(SQRT(POWER(A45,3)/PRODUCT($F$7,$G$7,$H$7)))</f>
        <v>1037.857070033263</v>
      </c>
      <c r="F45" s="9" cm="1">
        <f t="array" ref="F45">[1]!Tabella636[Gel]*EXP(0)</f>
        <v>1</v>
      </c>
      <c r="H45" s="22">
        <f t="shared" si="1"/>
        <v>169966217367.69315</v>
      </c>
    </row>
    <row r="46" spans="1:8" x14ac:dyDescent="0.35">
      <c r="A46" s="21">
        <v>1200</v>
      </c>
      <c r="B46" s="22" cm="1">
        <f t="array" ref="B46">(Tabella33322[Boltzmann k]*A46)/101325</f>
        <v>1.6351135455218356E-25</v>
      </c>
      <c r="C46" s="22" cm="1">
        <f t="array" ref="C46">POWER((2*PI()*Tabella33322[Massa '[kg']]*Tabella33322[Boltzmann k]*A46)/(POWER(Tabella33322[Planck h],2)),1.5)*B46</f>
        <v>81952449.903150246</v>
      </c>
      <c r="D46" s="23">
        <f t="shared" si="0"/>
        <v>2.9853505671270111</v>
      </c>
      <c r="E46" s="22" cm="1">
        <f t="array" ref="E46">((SQRT(PI())/Tabella63623[Simmetria]))*(SQRT(POWER(A46,3)/PRODUCT($F$7,$G$7,$H$7)))</f>
        <v>1182.5523881570548</v>
      </c>
      <c r="F46" s="9" cm="1">
        <f t="array" ref="F46">[1]!Tabella636[Gel]*EXP(0)</f>
        <v>1</v>
      </c>
      <c r="H46" s="22">
        <f t="shared" si="1"/>
        <v>289319474599.53979</v>
      </c>
    </row>
    <row r="47" spans="1:8" x14ac:dyDescent="0.35">
      <c r="A47" s="21">
        <v>1300</v>
      </c>
      <c r="B47" s="22" cm="1">
        <f t="array" ref="B47">(Tabella33322[Boltzmann k]*A47)/101325</f>
        <v>1.7713730076486554E-25</v>
      </c>
      <c r="C47" s="22" cm="1">
        <f t="array" ref="C47">POWER((2*PI()*Tabella33322[Massa '[kg']]*Tabella33322[Boltzmann k]*A47)/(POWER(Tabella33322[Planck h],2)),1.5)*B47</f>
        <v>100107636.18972704</v>
      </c>
      <c r="D47" s="23">
        <f t="shared" si="0"/>
        <v>3.608935780423713</v>
      </c>
      <c r="E47" s="22" cm="1">
        <f t="array" ref="E47">((SQRT(PI())/Tabella63623[Simmetria]))*(SQRT(POWER(A47,3)/PRODUCT($F$7,$G$7,$H$7)))</f>
        <v>1333.4095119659262</v>
      </c>
      <c r="F47" s="9" cm="1">
        <f t="array" ref="F47">[1]!Tabella636[Gel]*EXP(0)</f>
        <v>1</v>
      </c>
      <c r="H47" s="22">
        <f t="shared" si="1"/>
        <v>481736895489.36389</v>
      </c>
    </row>
    <row r="48" spans="1:8" x14ac:dyDescent="0.35">
      <c r="A48" s="21">
        <v>1400</v>
      </c>
      <c r="B48" s="22" cm="1">
        <f t="array" ref="B48">(Tabella33322[Boltzmann k]*A48)/101325</f>
        <v>1.9076324697754752E-25</v>
      </c>
      <c r="C48" s="22" cm="1">
        <f t="array" ref="C48">POWER((2*PI()*Tabella33322[Massa '[kg']]*Tabella33322[Boltzmann k]*A48)/(POWER(Tabella33322[Planck h],2)),1.5)*B48</f>
        <v>120483871.72989482</v>
      </c>
      <c r="D48" s="23">
        <f t="shared" si="0"/>
        <v>4.3806324784126867</v>
      </c>
      <c r="E48" s="22" cm="1">
        <f t="array" ref="E48">((SQRT(PI())/Tabella63623[Simmetria]))*(SQRT(POWER(A48,3)/PRODUCT($F$7,$G$7,$H$7)))</f>
        <v>1490.1863258194956</v>
      </c>
      <c r="F48" s="9" cm="1">
        <f t="array" ref="F48">[1]!Tabella636[Gel]*EXP(0)</f>
        <v>1</v>
      </c>
      <c r="H48" s="22">
        <f t="shared" si="1"/>
        <v>786513728761.62512</v>
      </c>
    </row>
    <row r="49" spans="1:8" x14ac:dyDescent="0.35">
      <c r="A49" s="21">
        <v>1500</v>
      </c>
      <c r="B49" s="22" cm="1">
        <f t="array" ref="B49">(Tabella33322[Boltzmann k]*A49)/101325</f>
        <v>2.0438919319022949E-25</v>
      </c>
      <c r="C49" s="22" cm="1">
        <f t="array" ref="C49">POWER((2*PI()*Tabella33322[Massa '[kg']]*Tabella33322[Boltzmann k]*A49)/(POWER(Tabella33322[Planck h],2)),1.5)*B49</f>
        <v>143165038.20788366</v>
      </c>
      <c r="D49" s="23">
        <f t="shared" si="0"/>
        <v>5.3316547617208876</v>
      </c>
      <c r="E49" s="22" cm="1">
        <f t="array" ref="E49">((SQRT(PI())/Tabella63623[Simmetria]))*(SQRT(POWER(A49,3)/PRODUCT($F$7,$G$7,$H$7)))</f>
        <v>1652.6672042961823</v>
      </c>
      <c r="F49" s="9" cm="1">
        <f t="array" ref="F49">[1]!Tabella636[Gel]*EXP(0)</f>
        <v>1</v>
      </c>
      <c r="H49" s="22">
        <f t="shared" si="1"/>
        <v>1261491714690.4055</v>
      </c>
    </row>
    <row r="50" spans="1:8" x14ac:dyDescent="0.35">
      <c r="A50" s="21">
        <v>1600</v>
      </c>
      <c r="B50" s="22" cm="1">
        <f t="array" ref="B50">(Tabella33322[Boltzmann k]*A50)/101325</f>
        <v>2.1801513940291145E-25</v>
      </c>
      <c r="C50" s="22" cm="1">
        <f t="array" ref="C50">POWER((2*PI()*Tabella33322[Massa '[kg']]*Tabella33322[Boltzmann k]*A50)/(POWER(Tabella33322[Planck h],2)),1.5)*B50</f>
        <v>168232067.59940818</v>
      </c>
      <c r="D50" s="23">
        <f t="shared" si="0"/>
        <v>6.4992808244117084</v>
      </c>
      <c r="E50" s="22" cm="1">
        <f t="array" ref="E50">((SQRT(PI())/Tabella63623[Simmetria]))*(SQRT(POWER(A50,3)/PRODUCT($F$7,$G$7,$H$7)))</f>
        <v>1820.6585056888277</v>
      </c>
      <c r="F50" s="9" cm="1">
        <f t="array" ref="F50">[1]!Tabella636[Gel]*EXP(0)</f>
        <v>1</v>
      </c>
      <c r="H50" s="22">
        <f t="shared" si="1"/>
        <v>1990685162676.5178</v>
      </c>
    </row>
    <row r="51" spans="1:8" x14ac:dyDescent="0.35">
      <c r="A51" s="21">
        <v>1700</v>
      </c>
      <c r="B51" s="22" cm="1">
        <f t="array" ref="B51">(Tabella33322[Boltzmann k]*A51)/101325</f>
        <v>2.316410856155934E-25</v>
      </c>
      <c r="C51" s="22" cm="1">
        <f t="array" ref="C51">POWER((2*PI()*Tabella33322[Massa '[kg']]*Tabella33322[Boltzmann k]*A51)/(POWER(Tabella33322[Planck h],2)),1.5)*B51</f>
        <v>195763233.27237222</v>
      </c>
      <c r="D51" s="23">
        <f t="shared" si="0"/>
        <v>7.927798985814241</v>
      </c>
      <c r="E51" s="22" cm="1">
        <f t="array" ref="E51">((SQRT(PI())/Tabella63623[Simmetria]))*(SQRT(POWER(A51,3)/PRODUCT($F$7,$G$7,$H$7)))</f>
        <v>1993.985071270035</v>
      </c>
      <c r="F51" s="9" cm="1">
        <f t="array" ref="F51">[1]!Tabella636[Gel]*EXP(0)</f>
        <v>1</v>
      </c>
      <c r="H51" s="22">
        <f t="shared" si="1"/>
        <v>3094608126055.3145</v>
      </c>
    </row>
    <row r="52" spans="1:8" x14ac:dyDescent="0.35">
      <c r="A52" s="21">
        <v>1800</v>
      </c>
      <c r="B52" s="22" cm="1">
        <f t="array" ref="B52">(Tabella33322[Boltzmann k]*A52)/101325</f>
        <v>2.4526703182827536E-25</v>
      </c>
      <c r="C52" s="22" cm="1">
        <f t="array" ref="C52">POWER((2*PI()*Tabella33322[Massa '[kg']]*Tabella33322[Boltzmann k]*A52)/(POWER(Tabella33322[Planck h],2)),1.5)*B52</f>
        <v>225834396.11293221</v>
      </c>
      <c r="D52" s="23">
        <f t="shared" si="0"/>
        <v>9.6695838008543387</v>
      </c>
      <c r="E52" s="22" cm="1">
        <f t="array" ref="E52">((SQRT(PI())/Tabella63623[Simmetria]))*(SQRT(POWER(A52,3)/PRODUCT($F$7,$G$7,$H$7)))</f>
        <v>2172.4874588208427</v>
      </c>
      <c r="F52" s="9" cm="1">
        <f t="array" ref="F52">[1]!Tabella636[Gel]*EXP(0)</f>
        <v>1</v>
      </c>
      <c r="H52" s="22">
        <f t="shared" si="1"/>
        <v>4744114346838.8037</v>
      </c>
    </row>
    <row r="53" spans="1:8" x14ac:dyDescent="0.35">
      <c r="A53" s="21">
        <v>1900</v>
      </c>
      <c r="B53" s="22" cm="1">
        <f t="array" ref="B53">(Tabella33322[Boltzmann k]*A53)/101325</f>
        <v>2.5889297804095731E-25</v>
      </c>
      <c r="C53" s="22" cm="1">
        <f t="array" ref="C53">POWER((2*PI()*Tabella33322[Massa '[kg']]*Tabella33322[Boltzmann k]*A53)/(POWER(Tabella33322[Planck h],2)),1.5)*B53</f>
        <v>258519214.84772423</v>
      </c>
      <c r="D53" s="23">
        <f t="shared" si="0"/>
        <v>11.786312463082597</v>
      </c>
      <c r="E53" s="22" cm="1">
        <f t="array" ref="E53">((SQRT(PI())/Tabella63623[Simmetria]))*(SQRT(POWER(A53,3)/PRODUCT($F$7,$G$7,$H$7)))</f>
        <v>2356.0197234830011</v>
      </c>
      <c r="F53" s="9" cm="1">
        <f t="array" ref="F53">[1]!Tabella636[Gel]*EXP(0)</f>
        <v>1</v>
      </c>
      <c r="H53" s="22">
        <f t="shared" si="1"/>
        <v>7178764399863.5098</v>
      </c>
    </row>
    <row r="54" spans="1:8" x14ac:dyDescent="0.35">
      <c r="A54" s="21">
        <v>2000</v>
      </c>
      <c r="B54" s="22" cm="1">
        <f t="array" ref="B54">(Tabella33322[Boltzmann k]*A54)/101325</f>
        <v>2.7251892425363931E-25</v>
      </c>
      <c r="C54" s="22" cm="1">
        <f t="array" ref="C54">POWER((2*PI()*Tabella33322[Massa '[kg']]*Tabella33322[Boltzmann k]*A54)/(POWER(Tabella33322[Planck h],2)),1.5)*B54</f>
        <v>293889327.45907289</v>
      </c>
      <c r="D54" s="23">
        <f t="shared" si="0"/>
        <v>14.350333111698646</v>
      </c>
      <c r="E54" s="22" cm="1">
        <f t="array" ref="E54">((SQRT(PI())/Tabella63623[Simmetria]))*(SQRT(POWER(A54,3)/PRODUCT($F$7,$G$7,$H$7)))</f>
        <v>2544.447614083379</v>
      </c>
      <c r="F54" s="9" cm="1">
        <f t="array" ref="F54">[1]!Tabella636[Gel]*EXP(0)</f>
        <v>1</v>
      </c>
      <c r="H54" s="22">
        <f>C54*D54*E54*F54</f>
        <v>10730978168393.566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3C58-2795-4EF5-BC6F-18E1A60B9B99}">
  <dimension ref="A1:M107"/>
  <sheetViews>
    <sheetView zoomScale="85" zoomScaleNormal="85" workbookViewId="0">
      <selection activeCell="M35" sqref="M35"/>
    </sheetView>
  </sheetViews>
  <sheetFormatPr defaultColWidth="9.1796875" defaultRowHeight="14.5" x14ac:dyDescent="0.35"/>
  <cols>
    <col min="1" max="1" width="22" style="9" bestFit="1" customWidth="1"/>
    <col min="2" max="2" width="13.7265625" style="9" bestFit="1" customWidth="1"/>
    <col min="3" max="3" width="12" style="9" bestFit="1" customWidth="1"/>
    <col min="4" max="4" width="18" style="9" customWidth="1"/>
    <col min="5" max="5" width="26.7265625" style="9" bestFit="1" customWidth="1"/>
    <col min="6" max="6" width="40.26953125" style="9" customWidth="1"/>
    <col min="7" max="7" width="27.1796875" style="9" bestFit="1" customWidth="1"/>
    <col min="8" max="8" width="23.54296875" style="9" bestFit="1" customWidth="1"/>
    <col min="9" max="9" width="24.7265625" style="9" bestFit="1" customWidth="1"/>
    <col min="10" max="10" width="20" style="9" bestFit="1" customWidth="1"/>
    <col min="11" max="11" width="18.36328125" style="9" bestFit="1" customWidth="1"/>
    <col min="12" max="12" width="19.6328125" style="9" bestFit="1" customWidth="1"/>
    <col min="13" max="13" width="37.6328125" style="9" customWidth="1"/>
    <col min="14" max="14" width="19" style="9" bestFit="1" customWidth="1"/>
    <col min="15" max="16384" width="9.1796875" style="9"/>
  </cols>
  <sheetData>
    <row r="1" spans="1:13" x14ac:dyDescent="0.35">
      <c r="A1" s="61" t="s">
        <v>14</v>
      </c>
      <c r="B1" s="61" t="s">
        <v>17</v>
      </c>
      <c r="C1" s="61" t="s">
        <v>18</v>
      </c>
      <c r="D1" s="61" t="s">
        <v>87</v>
      </c>
      <c r="I1" s="79" t="s">
        <v>89</v>
      </c>
    </row>
    <row r="2" spans="1:13" x14ac:dyDescent="0.35">
      <c r="A2" s="4">
        <v>8.3144626180000003</v>
      </c>
      <c r="B2" s="54">
        <v>1.3806490000000001E-23</v>
      </c>
      <c r="C2" s="54">
        <v>6.6260687599999996E-34</v>
      </c>
      <c r="D2" s="22">
        <v>6.0220000000000003E+23</v>
      </c>
    </row>
    <row r="3" spans="1:13" ht="15" thickBot="1" x14ac:dyDescent="0.4"/>
    <row r="4" spans="1:13" ht="15" thickBot="1" x14ac:dyDescent="0.4">
      <c r="B4" s="63" t="s">
        <v>4</v>
      </c>
      <c r="C4" s="63" t="s">
        <v>5</v>
      </c>
      <c r="D4" s="63" t="s">
        <v>6</v>
      </c>
      <c r="E4" s="63" t="s">
        <v>7</v>
      </c>
      <c r="F4" s="64" t="s">
        <v>8</v>
      </c>
      <c r="H4" s="65" t="s">
        <v>10</v>
      </c>
      <c r="I4" s="66" t="s">
        <v>61</v>
      </c>
      <c r="J4" s="65" t="s">
        <v>84</v>
      </c>
      <c r="K4" s="67" t="s">
        <v>11</v>
      </c>
      <c r="L4" s="68" t="s">
        <v>80</v>
      </c>
      <c r="M4" s="65" t="s">
        <v>85</v>
      </c>
    </row>
    <row r="5" spans="1:13" ht="15" thickBot="1" x14ac:dyDescent="0.4">
      <c r="A5" s="62" t="s">
        <v>3</v>
      </c>
      <c r="B5" s="4">
        <v>-40.526138247299997</v>
      </c>
      <c r="C5" s="4">
        <v>-0.50027299999999997</v>
      </c>
      <c r="D5" s="4">
        <v>-39.8473348956</v>
      </c>
      <c r="E5" s="4">
        <v>-1.1785393361200001</v>
      </c>
      <c r="F5" s="74">
        <v>-41.011797089300003</v>
      </c>
      <c r="H5" s="69">
        <f>F5+F7-(B5+C5+B7)</f>
        <v>1.2675157999993303E-2</v>
      </c>
      <c r="I5" s="75">
        <f>H5*627.5</f>
        <v>7.9536616449957975</v>
      </c>
      <c r="J5" s="7">
        <f>H5*4.359744E-18</f>
        <v>5.52604440395228E-20</v>
      </c>
      <c r="K5" s="69">
        <f>F5+F7-(D5+E5+D7+E7)</f>
        <v>1.6919142419986599E-2</v>
      </c>
      <c r="L5" s="76">
        <f>627.5*K5</f>
        <v>10.616761868541591</v>
      </c>
      <c r="M5" s="7">
        <f>K5*4.359744E-18</f>
        <v>7.3763129650682054E-20</v>
      </c>
    </row>
    <row r="6" spans="1:13" x14ac:dyDescent="0.35">
      <c r="B6" s="71" t="s">
        <v>4</v>
      </c>
      <c r="C6" s="71" t="s">
        <v>5</v>
      </c>
      <c r="D6" s="71" t="s">
        <v>6</v>
      </c>
      <c r="E6" s="71" t="s">
        <v>7</v>
      </c>
      <c r="F6" s="72" t="s">
        <v>8</v>
      </c>
      <c r="I6" s="65" t="s">
        <v>12</v>
      </c>
      <c r="L6" s="65" t="s">
        <v>13</v>
      </c>
    </row>
    <row r="7" spans="1:13" ht="15" thickBot="1" x14ac:dyDescent="0.4">
      <c r="A7" s="70" t="s">
        <v>9</v>
      </c>
      <c r="B7" s="6">
        <v>4.4774000000000001E-2</v>
      </c>
      <c r="C7" s="6">
        <v>0</v>
      </c>
      <c r="D7" s="6">
        <v>2.9819999999999999E-2</v>
      </c>
      <c r="E7" s="6">
        <v>1.0173E-2</v>
      </c>
      <c r="F7" s="73">
        <v>4.2834999999999998E-2</v>
      </c>
      <c r="H7" s="7"/>
      <c r="I7" s="11">
        <f>I5*4.184</f>
        <v>33.278120322662417</v>
      </c>
      <c r="L7" s="11">
        <f>L5*4.184</f>
        <v>44.420531657978017</v>
      </c>
    </row>
    <row r="9" spans="1:13" ht="18.5" x14ac:dyDescent="0.45">
      <c r="A9" s="79" t="s">
        <v>79</v>
      </c>
      <c r="D9" s="125"/>
      <c r="H9"/>
    </row>
    <row r="10" spans="1:13" ht="15" thickBot="1" x14ac:dyDescent="0.4">
      <c r="E10" s="9" t="s">
        <v>86</v>
      </c>
      <c r="H10" s="8" t="s">
        <v>8</v>
      </c>
    </row>
    <row r="11" spans="1:13" ht="15" thickBot="1" x14ac:dyDescent="0.4">
      <c r="A11" s="59" t="s">
        <v>2</v>
      </c>
      <c r="B11" s="60" t="s">
        <v>0</v>
      </c>
      <c r="C11" s="60" t="s">
        <v>1</v>
      </c>
      <c r="D11" s="116" t="s">
        <v>60</v>
      </c>
      <c r="E11" s="126" t="s">
        <v>78</v>
      </c>
      <c r="F11" s="124" t="s">
        <v>75</v>
      </c>
      <c r="G11" s="134" t="s">
        <v>83</v>
      </c>
      <c r="H11" s="134" t="s">
        <v>78</v>
      </c>
    </row>
    <row r="12" spans="1:13" ht="15" thickBot="1" x14ac:dyDescent="0.4">
      <c r="A12" s="100">
        <v>298.14999999999998</v>
      </c>
      <c r="B12" s="131">
        <v>371371616.6584481</v>
      </c>
      <c r="C12" s="131">
        <v>79497.535716311773</v>
      </c>
      <c r="D12" s="136">
        <v>29630703.138781227</v>
      </c>
      <c r="E12" s="130">
        <v>4.2100000000000001E-19</v>
      </c>
      <c r="F12" s="137">
        <f>D12/(B12*C12)</f>
        <v>1.0036437459520718E-6</v>
      </c>
      <c r="G12" s="135">
        <f>F12*EXP(-$J$5/($B$2*A12))*6.022E+23*($B$2*A12)^2/(101300*$C$2)</f>
        <v>0.22559508958149352</v>
      </c>
      <c r="H12" s="139">
        <f>G12*(100^3)/$D$2</f>
        <v>3.7461821584439309E-19</v>
      </c>
    </row>
    <row r="13" spans="1:13" ht="15" thickBot="1" x14ac:dyDescent="0.4">
      <c r="A13" s="3">
        <v>400</v>
      </c>
      <c r="B13" s="4">
        <v>1234019182.1074164</v>
      </c>
      <c r="C13" s="4">
        <v>165735.90748691262</v>
      </c>
      <c r="D13" s="117">
        <v>493080473.87110025</v>
      </c>
      <c r="E13" s="130">
        <v>3.8999999999999999E-17</v>
      </c>
      <c r="F13" s="137">
        <f>D13/(B13*C13)</f>
        <v>2.4109004802149305E-6</v>
      </c>
      <c r="G13" s="135">
        <f t="shared" ref="G13:G29" si="0">F13*EXP(-$J$5/($B$2*A13))*6.022E+23*($B$2*A13)^2/(101300*$C$2)</f>
        <v>29.763539084612578</v>
      </c>
      <c r="H13" s="139">
        <f t="shared" ref="H13:H29" si="1">G13*(100^3)/$D$2</f>
        <v>4.9424674667241078E-17</v>
      </c>
    </row>
    <row r="14" spans="1:13" ht="15" thickBot="1" x14ac:dyDescent="0.4">
      <c r="A14" s="3">
        <v>500</v>
      </c>
      <c r="B14" s="4">
        <v>3181986145.1194334</v>
      </c>
      <c r="C14" s="4">
        <v>289528.71519792947</v>
      </c>
      <c r="D14" s="117">
        <v>3639680852.7751827</v>
      </c>
      <c r="E14" s="130">
        <v>6.8800000000000004E-16</v>
      </c>
      <c r="F14" s="137">
        <f>D14/(B14*C14)</f>
        <v>3.950693851839917E-6</v>
      </c>
      <c r="G14" s="135">
        <f t="shared" si="0"/>
        <v>563.80641795621125</v>
      </c>
      <c r="H14" s="139">
        <f t="shared" si="1"/>
        <v>9.3624446688178547E-16</v>
      </c>
    </row>
    <row r="15" spans="1:13" ht="15" thickBot="1" x14ac:dyDescent="0.4">
      <c r="A15" s="3">
        <v>600</v>
      </c>
      <c r="B15" s="4">
        <v>7184645793.7849464</v>
      </c>
      <c r="C15" s="4">
        <v>456714.45607505803</v>
      </c>
      <c r="D15" s="117">
        <v>18077082394.479176</v>
      </c>
      <c r="E15" s="130">
        <v>5.1499999999999997E-15</v>
      </c>
      <c r="F15" s="137">
        <f>D15/(B15*C15)</f>
        <v>5.5090690674526197E-6</v>
      </c>
      <c r="G15" s="135">
        <f t="shared" si="0"/>
        <v>4298.5128741133094</v>
      </c>
      <c r="H15" s="139">
        <f t="shared" si="1"/>
        <v>7.1380154003874293E-15</v>
      </c>
    </row>
    <row r="16" spans="1:13" ht="15" thickBot="1" x14ac:dyDescent="0.4">
      <c r="A16" s="3">
        <v>700</v>
      </c>
      <c r="B16" s="4">
        <v>14887955643.140982</v>
      </c>
      <c r="C16" s="4">
        <v>671446.99161483813</v>
      </c>
      <c r="D16" s="117">
        <v>70499889359.962418</v>
      </c>
      <c r="E16" s="130">
        <v>2.3299999999999999E-14</v>
      </c>
      <c r="F16" s="137">
        <f>D16/(B16*C16)</f>
        <v>7.0524763247321447E-6</v>
      </c>
      <c r="G16" s="135">
        <f t="shared" si="0"/>
        <v>19424.385592209637</v>
      </c>
      <c r="H16" s="139">
        <f t="shared" si="1"/>
        <v>3.2255705068431812E-14</v>
      </c>
    </row>
    <row r="17" spans="1:13" ht="15" thickBot="1" x14ac:dyDescent="0.4">
      <c r="A17" s="3">
        <v>800</v>
      </c>
      <c r="B17" s="4">
        <v>29042517063.231297</v>
      </c>
      <c r="C17" s="4">
        <v>937543.87256082019</v>
      </c>
      <c r="D17" s="117">
        <v>233524272428.12747</v>
      </c>
      <c r="E17" s="130">
        <v>7.6399999999999995E-14</v>
      </c>
      <c r="F17" s="137">
        <f>D17/(B17*C17)</f>
        <v>8.5764226418896345E-6</v>
      </c>
      <c r="G17" s="135">
        <f t="shared" si="0"/>
        <v>63052.130721674977</v>
      </c>
      <c r="H17" s="139">
        <f t="shared" si="1"/>
        <v>1.0470297363280468E-13</v>
      </c>
    </row>
    <row r="18" spans="1:13" ht="15" thickBot="1" x14ac:dyDescent="0.4">
      <c r="A18" s="3">
        <v>900</v>
      </c>
      <c r="B18" s="4">
        <v>54139345630.051491</v>
      </c>
      <c r="C18" s="4">
        <v>1258557.0474787266</v>
      </c>
      <c r="D18" s="117">
        <v>686972048141.49683</v>
      </c>
      <c r="E18" s="130">
        <v>2.0000000000000001E-13</v>
      </c>
      <c r="F18" s="137">
        <f>D18/(B18*C18)</f>
        <v>1.0082150092875575E-5</v>
      </c>
      <c r="G18" s="135">
        <f t="shared" si="0"/>
        <v>163560.02347539863</v>
      </c>
      <c r="H18" s="139">
        <f t="shared" si="1"/>
        <v>2.7160415721587281E-13</v>
      </c>
    </row>
    <row r="19" spans="1:13" ht="15" thickBot="1" x14ac:dyDescent="0.4">
      <c r="A19" s="3">
        <v>1000</v>
      </c>
      <c r="B19" s="4">
        <v>97359263738.92157</v>
      </c>
      <c r="C19" s="4">
        <v>1637821.7429174811</v>
      </c>
      <c r="D19" s="117">
        <v>1845049961243.2903</v>
      </c>
      <c r="E19" s="130">
        <v>4.4800000000000001E-13</v>
      </c>
      <c r="F19" s="137">
        <f>D19/(B19*C19)</f>
        <v>1.157082212768405E-5</v>
      </c>
      <c r="G19" s="135">
        <f t="shared" si="0"/>
        <v>361529.29884837422</v>
      </c>
      <c r="H19" s="139">
        <f t="shared" si="1"/>
        <v>6.0034755703815041E-13</v>
      </c>
    </row>
    <row r="20" spans="1:13" ht="15" thickBot="1" x14ac:dyDescent="0.4">
      <c r="A20" s="3">
        <v>1100</v>
      </c>
      <c r="B20" s="4">
        <v>169966217367.69315</v>
      </c>
      <c r="C20" s="4">
        <v>2078491.9421937331</v>
      </c>
      <c r="D20" s="117">
        <v>4607620570044.4219</v>
      </c>
      <c r="E20" s="130">
        <v>8.9000000000000004E-13</v>
      </c>
      <c r="F20" s="137">
        <f>D20/(B20*C20)</f>
        <v>1.3042647415030172E-5</v>
      </c>
      <c r="G20" s="135">
        <f t="shared" si="0"/>
        <v>709503.07692585187</v>
      </c>
      <c r="H20" s="139">
        <f t="shared" si="1"/>
        <v>1.1781851161173231E-12</v>
      </c>
    </row>
    <row r="21" spans="1:13" ht="15" thickBot="1" x14ac:dyDescent="0.4">
      <c r="A21" s="3">
        <v>1200</v>
      </c>
      <c r="B21" s="4">
        <v>289319474599.53979</v>
      </c>
      <c r="C21" s="4">
        <v>2583567.1116527999</v>
      </c>
      <c r="D21" s="117">
        <v>10836269469842.055</v>
      </c>
      <c r="E21" s="130">
        <v>1.61E-12</v>
      </c>
      <c r="F21" s="137">
        <f>D21/(B21*C21)</f>
        <v>1.4497141607580639E-5</v>
      </c>
      <c r="G21" s="135">
        <f t="shared" si="0"/>
        <v>1270967.9425592429</v>
      </c>
      <c r="H21" s="139">
        <f t="shared" si="1"/>
        <v>2.1105412530043886E-12</v>
      </c>
    </row>
    <row r="22" spans="1:13" ht="15" thickBot="1" x14ac:dyDescent="0.4">
      <c r="A22" s="3">
        <v>1300</v>
      </c>
      <c r="B22" s="4">
        <v>481736895489.36389</v>
      </c>
      <c r="C22" s="4">
        <v>3155912.9323251243</v>
      </c>
      <c r="D22" s="117">
        <v>24224016403650.043</v>
      </c>
      <c r="E22" s="130">
        <v>2.7200000000000001E-12</v>
      </c>
      <c r="F22" s="137">
        <f>D22/(B22*C22)</f>
        <v>1.5933501636727147E-5</v>
      </c>
      <c r="G22" s="135">
        <f t="shared" si="0"/>
        <v>2118920.9275626023</v>
      </c>
      <c r="H22" s="139">
        <f t="shared" si="1"/>
        <v>3.5186332241159121E-12</v>
      </c>
    </row>
    <row r="23" spans="1:13" ht="15" thickBot="1" x14ac:dyDescent="0.4">
      <c r="A23" s="3">
        <v>1400</v>
      </c>
      <c r="B23" s="4">
        <v>786513728761.62512</v>
      </c>
      <c r="C23" s="4">
        <v>3798277.7678252826</v>
      </c>
      <c r="D23" s="117">
        <v>51833954399971.508</v>
      </c>
      <c r="E23" s="130">
        <v>4.3200000000000002E-12</v>
      </c>
      <c r="F23" s="137">
        <f>D23/(B23*C23)</f>
        <v>1.7350872286195902E-5</v>
      </c>
      <c r="G23" s="135">
        <f t="shared" si="0"/>
        <v>3334288.2174879382</v>
      </c>
      <c r="H23" s="139">
        <f t="shared" si="1"/>
        <v>5.5368452631815648E-12</v>
      </c>
    </row>
    <row r="24" spans="1:13" ht="15" thickBot="1" x14ac:dyDescent="0.4">
      <c r="A24" s="3">
        <v>1500</v>
      </c>
      <c r="B24" s="4">
        <v>1261491714690.4055</v>
      </c>
      <c r="C24" s="4">
        <v>4513306.0047565643</v>
      </c>
      <c r="D24" s="117">
        <v>106744532758079.06</v>
      </c>
      <c r="E24" s="130">
        <v>6.5600000000000003E-12</v>
      </c>
      <c r="F24" s="137">
        <f>D24/(B24*C24)</f>
        <v>1.8748497023200341E-5</v>
      </c>
      <c r="G24" s="135">
        <f t="shared" si="0"/>
        <v>5004366.8839859841</v>
      </c>
      <c r="H24" s="139">
        <f t="shared" si="1"/>
        <v>8.3101409564695853E-12</v>
      </c>
    </row>
    <row r="25" spans="1:13" ht="15" thickBot="1" x14ac:dyDescent="0.4">
      <c r="A25" s="3">
        <v>1600</v>
      </c>
      <c r="B25" s="4">
        <v>1990685162676.5178</v>
      </c>
      <c r="C25" s="4">
        <v>5303549.0395811573</v>
      </c>
      <c r="D25" s="117">
        <v>212481950851062.72</v>
      </c>
      <c r="E25" s="130">
        <v>9.5600000000000005E-12</v>
      </c>
      <c r="F25" s="137">
        <f>D25/(B25*C25)</f>
        <v>2.0125787212522858E-5</v>
      </c>
      <c r="G25" s="135">
        <f t="shared" si="0"/>
        <v>7221386.9643723872</v>
      </c>
      <c r="H25" s="139">
        <f t="shared" si="1"/>
        <v>1.1991675463919606E-11</v>
      </c>
    </row>
    <row r="26" spans="1:13" ht="15" thickBot="1" x14ac:dyDescent="0.4">
      <c r="A26" s="3">
        <v>1700</v>
      </c>
      <c r="B26" s="4">
        <v>3094608126055.3145</v>
      </c>
      <c r="C26" s="4">
        <v>6171474.4556266693</v>
      </c>
      <c r="D26" s="117">
        <v>410276105112608</v>
      </c>
      <c r="E26" s="130">
        <v>1.35E-11</v>
      </c>
      <c r="F26" s="137">
        <f>D26/(B26*C26)</f>
        <v>2.1482342015866903E-5</v>
      </c>
      <c r="G26" s="135">
        <f t="shared" si="0"/>
        <v>10081240.145764316</v>
      </c>
      <c r="H26" s="139">
        <f t="shared" si="1"/>
        <v>1.6740684400140013E-11</v>
      </c>
    </row>
    <row r="27" spans="1:13" ht="15" thickBot="1" x14ac:dyDescent="0.4">
      <c r="A27" s="3">
        <v>1800</v>
      </c>
      <c r="B27" s="4">
        <v>4744114346838.8037</v>
      </c>
      <c r="C27" s="4">
        <v>7119473.7822586382</v>
      </c>
      <c r="D27" s="117">
        <v>770689613634622.88</v>
      </c>
      <c r="E27" s="130">
        <v>1.8500000000000001E-11</v>
      </c>
      <c r="F27" s="137">
        <f>D27/(B27*C27)</f>
        <v>2.2817941526840428E-5</v>
      </c>
      <c r="G27" s="135">
        <f t="shared" si="0"/>
        <v>13682388.98001913</v>
      </c>
      <c r="H27" s="139">
        <f t="shared" si="1"/>
        <v>2.2720672500862052E-11</v>
      </c>
    </row>
    <row r="28" spans="1:13" ht="15" thickBot="1" x14ac:dyDescent="0.4">
      <c r="A28" s="3">
        <v>1900</v>
      </c>
      <c r="B28" s="4">
        <v>7178764399863.5098</v>
      </c>
      <c r="C28" s="4">
        <v>8149869.1253304556</v>
      </c>
      <c r="D28" s="117">
        <v>1411897399388296.5</v>
      </c>
      <c r="E28" s="130">
        <v>2.4699999999999999E-11</v>
      </c>
      <c r="F28" s="137">
        <f>D28/(B28*C28)</f>
        <v>2.4132527133921127E-5</v>
      </c>
      <c r="G28" s="135">
        <f t="shared" si="0"/>
        <v>18124951.7132558</v>
      </c>
      <c r="H28" s="139">
        <f t="shared" si="1"/>
        <v>3.0097893911085688E-11</v>
      </c>
    </row>
    <row r="29" spans="1:13" ht="15" thickBot="1" x14ac:dyDescent="0.4">
      <c r="A29" s="5">
        <v>2000</v>
      </c>
      <c r="B29" s="6">
        <v>10730978168393.566</v>
      </c>
      <c r="C29" s="6">
        <v>9264918.8863336649</v>
      </c>
      <c r="D29" s="118">
        <v>2527912293734375.5</v>
      </c>
      <c r="E29" s="130">
        <v>3.2399999999999999E-11</v>
      </c>
      <c r="F29" s="138">
        <f>D29/(B29*C29)</f>
        <v>2.5426177190640477E-5</v>
      </c>
      <c r="G29" s="135">
        <f t="shared" si="0"/>
        <v>23509947.952504873</v>
      </c>
      <c r="H29" s="139">
        <f t="shared" si="1"/>
        <v>3.9040099555803508E-11</v>
      </c>
    </row>
    <row r="30" spans="1:13" x14ac:dyDescent="0.35">
      <c r="E30" s="12"/>
    </row>
    <row r="31" spans="1:13" ht="87.5" thickBot="1" x14ac:dyDescent="0.4">
      <c r="E31" s="12"/>
      <c r="M31" s="129" t="s">
        <v>81</v>
      </c>
    </row>
    <row r="32" spans="1:13" ht="19" thickBot="1" x14ac:dyDescent="0.5">
      <c r="A32" s="87" t="s">
        <v>64</v>
      </c>
      <c r="B32" s="88" t="s">
        <v>65</v>
      </c>
      <c r="E32" s="12"/>
      <c r="M32" s="9" t="s">
        <v>88</v>
      </c>
    </row>
    <row r="33" spans="1:13" ht="58" x14ac:dyDescent="0.35">
      <c r="A33" s="149">
        <v>1.1299999999999999</v>
      </c>
      <c r="B33" s="150">
        <v>-41.026856899800002</v>
      </c>
      <c r="E33" s="12"/>
      <c r="M33" s="129" t="s">
        <v>92</v>
      </c>
    </row>
    <row r="34" spans="1:13" ht="18.5" x14ac:dyDescent="0.45">
      <c r="A34" s="83">
        <v>1.2</v>
      </c>
      <c r="B34" s="84">
        <v>-41.021173940600001</v>
      </c>
      <c r="E34" s="12"/>
      <c r="M34" s="9" t="s">
        <v>93</v>
      </c>
    </row>
    <row r="35" spans="1:13" ht="18.5" x14ac:dyDescent="0.45">
      <c r="A35" s="83">
        <v>1.3</v>
      </c>
      <c r="B35" s="121">
        <v>-41.013199601799997</v>
      </c>
    </row>
    <row r="36" spans="1:13" ht="18.5" x14ac:dyDescent="0.45">
      <c r="A36" s="83">
        <v>1.5</v>
      </c>
      <c r="B36" s="84">
        <v>-41.012461177600002</v>
      </c>
    </row>
    <row r="37" spans="1:13" ht="19" thickBot="1" x14ac:dyDescent="0.5">
      <c r="A37" s="85">
        <v>2</v>
      </c>
      <c r="B37" s="86">
        <v>-41.021546732600001</v>
      </c>
    </row>
    <row r="51" spans="1:9" ht="26" x14ac:dyDescent="0.6">
      <c r="A51" s="82" t="s">
        <v>62</v>
      </c>
      <c r="I51" s="82" t="s">
        <v>63</v>
      </c>
    </row>
    <row r="67" spans="1:10" ht="15" thickBot="1" x14ac:dyDescent="0.4"/>
    <row r="68" spans="1:10" ht="44" thickBot="1" x14ac:dyDescent="0.4">
      <c r="F68" s="122" t="s">
        <v>76</v>
      </c>
      <c r="G68" s="123" t="s">
        <v>77</v>
      </c>
    </row>
    <row r="70" spans="1:10" x14ac:dyDescent="0.35">
      <c r="F70" s="9" t="s">
        <v>82</v>
      </c>
    </row>
    <row r="77" spans="1:10" ht="72.5" x14ac:dyDescent="0.35">
      <c r="I77" s="120" t="s">
        <v>73</v>
      </c>
      <c r="J77" s="45" t="s">
        <v>74</v>
      </c>
    </row>
    <row r="78" spans="1:10" ht="15" thickBot="1" x14ac:dyDescent="0.4"/>
    <row r="79" spans="1:10" ht="15" thickBot="1" x14ac:dyDescent="0.4">
      <c r="A79" s="10" t="s">
        <v>72</v>
      </c>
    </row>
    <row r="80" spans="1:10" x14ac:dyDescent="0.35">
      <c r="A80" s="128">
        <v>4.4078869999999997</v>
      </c>
      <c r="H80"/>
    </row>
    <row r="81" spans="1:11" x14ac:dyDescent="0.35">
      <c r="A81" s="119">
        <v>2.226019</v>
      </c>
      <c r="H81" s="22"/>
      <c r="J81" s="22"/>
      <c r="K81" s="22"/>
    </row>
    <row r="82" spans="1:11" x14ac:dyDescent="0.35">
      <c r="A82" s="119">
        <v>1.6652340000000001</v>
      </c>
      <c r="H82" s="22"/>
      <c r="J82" s="22"/>
    </row>
    <row r="83" spans="1:11" x14ac:dyDescent="0.35">
      <c r="A83" s="119">
        <v>1.4293450000000001</v>
      </c>
      <c r="H83" s="22"/>
      <c r="J83" s="22"/>
    </row>
    <row r="84" spans="1:11" x14ac:dyDescent="0.35">
      <c r="A84" s="119">
        <v>1.304854</v>
      </c>
      <c r="H84" s="22"/>
      <c r="J84" s="22"/>
    </row>
    <row r="85" spans="1:11" x14ac:dyDescent="0.35">
      <c r="A85" s="119">
        <v>1.2300040000000001</v>
      </c>
      <c r="H85" s="22"/>
      <c r="J85" s="22"/>
    </row>
    <row r="86" spans="1:11" x14ac:dyDescent="0.35">
      <c r="A86" s="119">
        <v>1.181012</v>
      </c>
      <c r="H86" s="22"/>
      <c r="J86" s="22"/>
    </row>
    <row r="87" spans="1:11" x14ac:dyDescent="0.35">
      <c r="A87" s="119">
        <v>1.1469659999999999</v>
      </c>
      <c r="H87" s="22"/>
      <c r="J87" s="22"/>
    </row>
    <row r="88" spans="1:11" x14ac:dyDescent="0.35">
      <c r="A88" s="119">
        <v>1.1222240000000001</v>
      </c>
      <c r="H88" s="22"/>
      <c r="J88" s="22"/>
    </row>
    <row r="89" spans="1:11" x14ac:dyDescent="0.35">
      <c r="A89" s="119">
        <v>1.10361</v>
      </c>
      <c r="H89" s="22"/>
      <c r="J89" s="22"/>
    </row>
    <row r="90" spans="1:11" x14ac:dyDescent="0.35">
      <c r="A90" s="119">
        <v>1.0892109999999999</v>
      </c>
      <c r="H90" s="22"/>
      <c r="J90" s="22"/>
    </row>
    <row r="91" spans="1:11" x14ac:dyDescent="0.35">
      <c r="A91" s="119">
        <v>1.077817</v>
      </c>
      <c r="H91" s="22"/>
      <c r="J91" s="22"/>
    </row>
    <row r="92" spans="1:11" x14ac:dyDescent="0.35">
      <c r="A92" s="119">
        <v>1.068627</v>
      </c>
      <c r="H92" s="22"/>
      <c r="J92" s="22"/>
    </row>
    <row r="93" spans="1:11" x14ac:dyDescent="0.35">
      <c r="A93" s="119">
        <v>1.061094</v>
      </c>
      <c r="H93" s="22"/>
      <c r="J93" s="22"/>
    </row>
    <row r="94" spans="1:11" x14ac:dyDescent="0.35">
      <c r="A94" s="119">
        <v>1.0548329999999999</v>
      </c>
      <c r="H94" s="22"/>
      <c r="J94" s="22"/>
    </row>
    <row r="95" spans="1:11" x14ac:dyDescent="0.35">
      <c r="A95" s="119">
        <v>1.049566</v>
      </c>
      <c r="H95" s="22"/>
      <c r="J95" s="22"/>
    </row>
    <row r="96" spans="1:11" x14ac:dyDescent="0.35">
      <c r="A96" s="119">
        <v>1.0450870000000001</v>
      </c>
      <c r="H96" s="22"/>
      <c r="J96" s="22"/>
    </row>
    <row r="97" spans="1:10" ht="15" thickBot="1" x14ac:dyDescent="0.4">
      <c r="A97" s="11">
        <v>1.0412440000000001</v>
      </c>
      <c r="H97" s="22"/>
      <c r="J97" s="22"/>
    </row>
    <row r="98" spans="1:10" x14ac:dyDescent="0.35">
      <c r="H98" s="22"/>
      <c r="J98" s="22"/>
    </row>
    <row r="103" spans="1:10" x14ac:dyDescent="0.35">
      <c r="A103" s="22"/>
      <c r="B103" s="22"/>
      <c r="C103" s="22"/>
      <c r="E103" s="22"/>
      <c r="F103" s="22"/>
      <c r="G103" s="22"/>
      <c r="H103" s="22"/>
      <c r="I103" s="22"/>
      <c r="J103" s="22"/>
    </row>
    <row r="104" spans="1:10" x14ac:dyDescent="0.35">
      <c r="A104" s="22"/>
      <c r="B104" s="22"/>
      <c r="C104" s="22"/>
      <c r="D104" s="22"/>
      <c r="E104" s="22"/>
      <c r="F104" s="22"/>
      <c r="G104" s="22"/>
      <c r="H104" s="22"/>
      <c r="I104" s="22"/>
      <c r="J104" s="22"/>
    </row>
    <row r="107" spans="1:10" x14ac:dyDescent="0.35">
      <c r="E107" s="133"/>
    </row>
  </sheetData>
  <phoneticPr fontId="3" type="noConversion"/>
  <hyperlinks>
    <hyperlink ref="A9" r:id="rId1" display="https://kinetics.nist.gov/kinetics/Detail?id=1984WAR197C:14" xr:uid="{59449029-F910-40E9-98C4-DE56E6D9FCDD}"/>
    <hyperlink ref="I1" r:id="rId2" xr:uid="{48D3E285-7BCB-4828-AD00-0BD0D3B987B6}"/>
  </hyperlinks>
  <pageMargins left="0.7" right="0.7" top="0.75" bottom="0.75" header="0.3" footer="0.3"/>
  <pageSetup paperSize="9"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F9EB-EB74-417C-AF3E-0E6AA10B19C5}">
  <dimension ref="A1:O53"/>
  <sheetViews>
    <sheetView topLeftCell="A21" workbookViewId="0">
      <selection activeCell="I36" sqref="I36:I53"/>
    </sheetView>
  </sheetViews>
  <sheetFormatPr defaultColWidth="9.1796875" defaultRowHeight="14.5" x14ac:dyDescent="0.35"/>
  <cols>
    <col min="1" max="1" width="14.7265625" style="9" bestFit="1" customWidth="1"/>
    <col min="2" max="2" width="13.54296875" style="9" bestFit="1" customWidth="1"/>
    <col min="3" max="3" width="14.1796875" style="9" bestFit="1" customWidth="1"/>
    <col min="4" max="5" width="13.54296875" style="9" bestFit="1" customWidth="1"/>
    <col min="6" max="7" width="24.81640625" style="9" bestFit="1" customWidth="1"/>
    <col min="8" max="8" width="24.7265625" style="9" bestFit="1" customWidth="1"/>
    <col min="9" max="10" width="13.54296875" style="9" bestFit="1" customWidth="1"/>
    <col min="11" max="13" width="14.54296875" style="9" bestFit="1" customWidth="1"/>
    <col min="14" max="14" width="10.26953125" style="9" customWidth="1"/>
    <col min="15" max="16384" width="9.1796875" style="9"/>
  </cols>
  <sheetData>
    <row r="1" spans="1:15" x14ac:dyDescent="0.35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</row>
    <row r="2" spans="1:15" x14ac:dyDescent="0.35">
      <c r="A2" s="9">
        <f>PI()</f>
        <v>3.1415926535897931</v>
      </c>
      <c r="B2" s="22">
        <f>1.66E-27*Tabella33317[[#This Row],[Massa '[g/mol']]]</f>
        <v>2.9937054199999994E-26</v>
      </c>
      <c r="C2" s="22">
        <v>1.3806490000000001E-23</v>
      </c>
      <c r="D2" s="22">
        <v>6.6260687599999996E-34</v>
      </c>
      <c r="E2" s="9">
        <v>8.3144626180000003</v>
      </c>
      <c r="F2" s="22">
        <v>6.0221410000000001E+23</v>
      </c>
      <c r="G2" s="22">
        <v>18.034369999999999</v>
      </c>
      <c r="H2" s="9">
        <v>5</v>
      </c>
    </row>
    <row r="5" spans="1:15" x14ac:dyDescent="0.35">
      <c r="A5" s="8"/>
    </row>
    <row r="6" spans="1:15" ht="15" thickBot="1" x14ac:dyDescent="0.4">
      <c r="A6" s="8"/>
      <c r="F6" s="24" t="s">
        <v>24</v>
      </c>
      <c r="G6" s="24" t="s">
        <v>25</v>
      </c>
      <c r="H6" s="24" t="s">
        <v>26</v>
      </c>
    </row>
    <row r="7" spans="1:15" ht="15" thickBot="1" x14ac:dyDescent="0.4">
      <c r="A7" s="22"/>
      <c r="F7" s="25">
        <v>11.69031</v>
      </c>
      <c r="G7" s="14">
        <v>3.5428700000000002</v>
      </c>
      <c r="H7" s="15">
        <v>3.2853400000000001</v>
      </c>
    </row>
    <row r="8" spans="1:15" x14ac:dyDescent="0.35">
      <c r="A8" s="9" t="s">
        <v>23</v>
      </c>
      <c r="B8" s="9" t="s">
        <v>27</v>
      </c>
      <c r="C8" s="9" t="s">
        <v>28</v>
      </c>
      <c r="G8" s="22"/>
      <c r="H8" s="22"/>
      <c r="I8" s="22"/>
    </row>
    <row r="9" spans="1:15" x14ac:dyDescent="0.35">
      <c r="A9" s="9">
        <v>1</v>
      </c>
      <c r="B9" s="9">
        <v>2</v>
      </c>
      <c r="C9" s="9">
        <v>0</v>
      </c>
      <c r="G9" s="22"/>
    </row>
    <row r="10" spans="1:15" x14ac:dyDescent="0.35">
      <c r="B10" s="9" t="s">
        <v>29</v>
      </c>
      <c r="C10" s="9" t="s">
        <v>30</v>
      </c>
      <c r="D10" s="9" t="s">
        <v>31</v>
      </c>
      <c r="E10" s="9" t="s">
        <v>32</v>
      </c>
      <c r="F10" s="9" t="s">
        <v>33</v>
      </c>
      <c r="G10" s="9" t="s">
        <v>34</v>
      </c>
      <c r="H10" s="9" t="s">
        <v>35</v>
      </c>
      <c r="I10" s="9" t="s">
        <v>36</v>
      </c>
      <c r="J10" s="9" t="s">
        <v>37</v>
      </c>
    </row>
    <row r="11" spans="1:15" ht="15" thickBot="1" x14ac:dyDescent="0.4">
      <c r="B11" s="81">
        <v>-1002.6978</v>
      </c>
      <c r="C11" s="16">
        <v>680.34659999999997</v>
      </c>
      <c r="D11" s="16">
        <v>702.22500000000002</v>
      </c>
      <c r="E11" s="16">
        <v>1097.5346999999999</v>
      </c>
      <c r="F11" s="16">
        <v>1218.0272</v>
      </c>
      <c r="G11" s="16">
        <v>1565.2659000000001</v>
      </c>
      <c r="H11" s="16">
        <v>2198.9353999999998</v>
      </c>
      <c r="I11" s="16">
        <v>3337.3471</v>
      </c>
      <c r="J11" s="17">
        <v>3427.0091000000002</v>
      </c>
    </row>
    <row r="12" spans="1:15" x14ac:dyDescent="0.35">
      <c r="B12" s="9" t="s">
        <v>29</v>
      </c>
      <c r="C12" s="9" t="s">
        <v>30</v>
      </c>
      <c r="D12" s="9" t="s">
        <v>31</v>
      </c>
      <c r="E12" s="9" t="s">
        <v>32</v>
      </c>
      <c r="F12" s="9" t="s">
        <v>33</v>
      </c>
      <c r="G12" s="9" t="s">
        <v>34</v>
      </c>
      <c r="H12" s="9" t="s">
        <v>35</v>
      </c>
      <c r="I12" s="9" t="s">
        <v>36</v>
      </c>
      <c r="J12" s="9" t="s">
        <v>37</v>
      </c>
    </row>
    <row r="13" spans="1:15" ht="15" thickBot="1" x14ac:dyDescent="0.4">
      <c r="B13" s="9" cm="1">
        <f t="array" ref="B13">Tabella9314721[Frequenza1]*29979300000</f>
        <v>-30060178155540</v>
      </c>
      <c r="C13" s="9" cm="1">
        <f t="array" ref="C13">Tabella9314721[Frequenza2]*29979300000</f>
        <v>20396314825380</v>
      </c>
      <c r="D13" s="9" cm="1">
        <f t="array" ref="D13">Tabella9314721[Frequenza3]*29979300000</f>
        <v>21052213942500</v>
      </c>
      <c r="E13" s="9" cm="1">
        <f t="array" ref="E13">Tabella9314721[Frequenza4]*29979300000</f>
        <v>32903322031709.996</v>
      </c>
      <c r="F13" s="9" cm="1">
        <f t="array" ref="F13">Tabella9314721[Frequenza5]*29979300000</f>
        <v>36515602836960</v>
      </c>
      <c r="G13" s="9" cm="1">
        <f t="array" ref="G13">Tabella9314721[Frequenza6]*29979300000</f>
        <v>46925575995870</v>
      </c>
      <c r="H13" s="9" cm="1">
        <f t="array" ref="H13">Tabella9314721[Frequenza7]*29979300000</f>
        <v>65922544037219.992</v>
      </c>
      <c r="I13" s="9" cm="1">
        <f t="array" ref="I13">Tabella9314721[Frequenza8]*29979300000</f>
        <v>100051329915030</v>
      </c>
      <c r="J13" s="9" cm="1">
        <f t="array" ref="J13">Tabella9314721[Frequenza9]*29979300000</f>
        <v>102739333911630</v>
      </c>
    </row>
    <row r="14" spans="1:15" x14ac:dyDescent="0.35">
      <c r="A14" s="31" t="s">
        <v>38</v>
      </c>
      <c r="B14" s="32" t="s">
        <v>39</v>
      </c>
      <c r="C14" s="32" t="s">
        <v>40</v>
      </c>
      <c r="D14" s="32" t="s">
        <v>41</v>
      </c>
      <c r="E14" s="32" t="s">
        <v>42</v>
      </c>
      <c r="F14" s="32" t="s">
        <v>43</v>
      </c>
      <c r="G14" s="32" t="s">
        <v>44</v>
      </c>
      <c r="H14" s="32" t="s">
        <v>45</v>
      </c>
      <c r="I14" s="32" t="s">
        <v>46</v>
      </c>
      <c r="J14" s="32" t="s">
        <v>47</v>
      </c>
      <c r="K14" s="33" t="s">
        <v>48</v>
      </c>
    </row>
    <row r="15" spans="1:15" x14ac:dyDescent="0.35">
      <c r="A15" s="34">
        <v>298.14999999999998</v>
      </c>
      <c r="B15" s="22" cm="1">
        <f t="array" ref="B15">1/(1-EXP(-(Tabella33317[Planck h]*Tabella93820[Frequenza1])/(Tabella33317[Boltzmann k]*Tabella83719[[#This Row],[Temperatura]])))</f>
        <v>-7.9804620972333661E-3</v>
      </c>
      <c r="C15" s="22" cm="1">
        <f t="array" ref="C15">1/(1-EXP(-(Tabella33317[Planck h]*Tabella93820[Frequenza2])/(Tabella33317[Boltzmann k]*Tabella83719[[#This Row],[Temperatura]])))</f>
        <v>1.0389721010209674</v>
      </c>
      <c r="D15" s="22" cm="1">
        <f t="array" ref="D15">1/(1-EXP(-(Tabella33317[Planck h]*Tabella93820[Frequenza3])/(Tabella33317[Boltzmann k]*Tabella83719[[#This Row],[Temperatura]])))</f>
        <v>1.0349308513506756</v>
      </c>
      <c r="E15" s="22" cm="1">
        <f t="array" ref="E15">1/(1-EXP(-(Tabella33317[Planck h]*Tabella93820[Frequenza4])/(Tabella33317[Boltzmann k]*Tabella83719[[#This Row],[Temperatura]])))</f>
        <v>1.0050350151055885</v>
      </c>
      <c r="F15" s="22" cm="1">
        <f t="array" ref="F15">1/(1-EXP(-(Tabella33317[Planck h]*Tabella93820[Frequenza5])/(Tabella33317[Boltzmann k]*Tabella83719[[#This Row],[Temperatura]])))</f>
        <v>1.0028087502263052</v>
      </c>
      <c r="G15" s="22" cm="1">
        <f t="array" ref="G15">1/(1-EXP(-(Tabella33317[Planck h]*Tabella93820[Frequenza6])/(Tabella33317[Boltzmann k]*Tabella83719[[#This Row],[Temperatura]])))</f>
        <v>1.0005245540803069</v>
      </c>
      <c r="H15" s="22" cm="1">
        <f t="array" ref="H15">1/(1-EXP(-(Tabella33317[Planck h]*Tabella93820[Frequenza7])/(Tabella33317[Boltzmann k]*Tabella83719[[#This Row],[Temperatura]])))</f>
        <v>1.0000246347194996</v>
      </c>
      <c r="I15" s="22" cm="1">
        <f t="array" ref="I15">1/(1-EXP(-(Tabella33317[Planck h]*Tabella93820[Frequenza8])/(Tabella33317[Boltzmann k]*Tabella83719[[#This Row],[Temperatura]])))</f>
        <v>1.000000101318268</v>
      </c>
      <c r="J15" s="22" cm="1">
        <f t="array" ref="J15">1/(1-EXP(-(Tabella33317[Planck h]*Tabella93820[Frequenza9])/(Tabella33317[Boltzmann k]*Tabella83719[[#This Row],[Temperatura]])))</f>
        <v>1.0000000657319934</v>
      </c>
      <c r="K15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8.6532866107443193E-3</v>
      </c>
      <c r="O15" s="22"/>
    </row>
    <row r="16" spans="1:15" x14ac:dyDescent="0.35">
      <c r="A16" s="34">
        <v>400</v>
      </c>
      <c r="B16" s="22" cm="1">
        <f t="array" ref="B16">1/(1-EXP(-(Tabella33317[Planck h]*Tabella93820[Frequenza1])/(Tabella33317[Boltzmann k]*Tabella83719[[#This Row],[Temperatura]])))</f>
        <v>-2.7899847656630308E-2</v>
      </c>
      <c r="C16" s="22" cm="1">
        <f t="array" ref="C16">1/(1-EXP(-(Tabella33317[Planck h]*Tabella93820[Frequenza2])/(Tabella33317[Boltzmann k]*Tabella83719[[#This Row],[Temperatura]])))</f>
        <v>1.0947363255145517</v>
      </c>
      <c r="D16" s="22" cm="1">
        <f t="array" ref="D16">1/(1-EXP(-(Tabella33317[Planck h]*Tabella93820[Frequenza3])/(Tabella33317[Boltzmann k]*Tabella83719[[#This Row],[Temperatura]])))</f>
        <v>1.0869434675625251</v>
      </c>
      <c r="E16" s="22" cm="1">
        <f t="array" ref="E16">1/(1-EXP(-(Tabella33317[Planck h]*Tabella93820[Frequenza4])/(Tabella33317[Boltzmann k]*Tabella83719[[#This Row],[Temperatura]])))</f>
        <v>1.0196773123587637</v>
      </c>
      <c r="F16" s="22" cm="1">
        <f t="array" ref="F16">1/(1-EXP(-(Tabella33317[Planck h]*Tabella93820[Frequenza5])/(Tabella33317[Boltzmann k]*Tabella83719[[#This Row],[Temperatura]])))</f>
        <v>1.0126690795875484</v>
      </c>
      <c r="G16" s="22" cm="1">
        <f t="array" ref="G16">1/(1-EXP(-(Tabella33317[Planck h]*Tabella93820[Frequenza6])/(Tabella33317[Boltzmann k]*Tabella83719[[#This Row],[Temperatura]])))</f>
        <v>1.0036008491860857</v>
      </c>
      <c r="H16" s="22" cm="1">
        <f t="array" ref="H16">1/(1-EXP(-(Tabella33317[Planck h]*Tabella93820[Frequenza7])/(Tabella33317[Boltzmann k]*Tabella83719[[#This Row],[Temperatura]])))</f>
        <v>1.0003673891783496</v>
      </c>
      <c r="I16" s="22" cm="1">
        <f t="array" ref="I16">1/(1-EXP(-(Tabella33317[Planck h]*Tabella93820[Frequenza8])/(Tabella33317[Boltzmann k]*Tabella83719[[#This Row],[Temperatura]])))</f>
        <v>1.0000061181079631</v>
      </c>
      <c r="J16" s="22" cm="1">
        <f t="array" ref="J16">1/(1-EXP(-(Tabella33317[Planck h]*Tabella93820[Frequenza9])/(Tabella33317[Boltzmann k]*Tabella83719[[#This Row],[Temperatura]])))</f>
        <v>1.0000044315156531</v>
      </c>
      <c r="K16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3.441705860550285E-2</v>
      </c>
    </row>
    <row r="17" spans="1:11" x14ac:dyDescent="0.35">
      <c r="A17" s="34">
        <v>500</v>
      </c>
      <c r="B17" s="22" cm="1">
        <f t="array" ref="B17">1/(1-EXP(-(Tabella33317[Planck h]*Tabella93820[Frequenza1])/(Tabella33317[Boltzmann k]*Tabella83719[[#This Row],[Temperatura]])))</f>
        <v>-5.9138972250243595E-2</v>
      </c>
      <c r="C17" s="22" cm="1">
        <f t="array" ref="C17">1/(1-EXP(-(Tabella33317[Planck h]*Tabella93820[Frequenza2])/(Tabella33317[Boltzmann k]*Tabella83719[[#This Row],[Temperatura]])))</f>
        <v>1.1643850095254022</v>
      </c>
      <c r="D17" s="22" cm="1">
        <f t="array" ref="D17">1/(1-EXP(-(Tabella33317[Planck h]*Tabella93820[Frequenza3])/(Tabella33317[Boltzmann k]*Tabella83719[[#This Row],[Temperatura]])))</f>
        <v>1.1528221529374274</v>
      </c>
      <c r="E17" s="22" cm="1">
        <f t="array" ref="E17">1/(1-EXP(-(Tabella33317[Planck h]*Tabella93820[Frequenza4])/(Tabella33317[Boltzmann k]*Tabella83719[[#This Row],[Temperatura]])))</f>
        <v>1.0443878627687764</v>
      </c>
      <c r="F17" s="22" cm="1">
        <f t="array" ref="F17">1/(1-EXP(-(Tabella33317[Planck h]*Tabella93820[Frequenza5])/(Tabella33317[Boltzmann k]*Tabella83719[[#This Row],[Temperatura]])))</f>
        <v>1.030979326262413</v>
      </c>
      <c r="G17" s="22" cm="1">
        <f t="array" ref="G17">1/(1-EXP(-(Tabella33317[Planck h]*Tabella93820[Frequenza6])/(Tabella33317[Boltzmann k]*Tabella83719[[#This Row],[Temperatura]])))</f>
        <v>1.0111868168698428</v>
      </c>
      <c r="H17" s="22" cm="1">
        <f t="array" ref="H17">1/(1-EXP(-(Tabella33317[Planck h]*Tabella93820[Frequenza7])/(Tabella33317[Boltzmann k]*Tabella83719[[#This Row],[Temperatura]])))</f>
        <v>1.001789575293121</v>
      </c>
      <c r="I17" s="22" cm="1">
        <f t="array" ref="I17">1/(1-EXP(-(Tabella33317[Planck h]*Tabella93820[Frequenza8])/(Tabella33317[Boltzmann k]*Tabella83719[[#This Row],[Temperatura]])))</f>
        <v>1.000067502661816</v>
      </c>
      <c r="J17" s="22" cm="1">
        <f t="array" ref="J17">1/(1-EXP(-(Tabella33317[Planck h]*Tabella93820[Frequenza9])/(Tabella33317[Boltzmann k]*Tabella83719[[#This Row],[Temperatura]])))</f>
        <v>1.0000521510358211</v>
      </c>
      <c r="K17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8.6597296723189193E-2</v>
      </c>
    </row>
    <row r="18" spans="1:11" x14ac:dyDescent="0.35">
      <c r="A18" s="34">
        <v>600</v>
      </c>
      <c r="B18" s="22" cm="1">
        <f t="array" ref="B18">1/(1-EXP(-(Tabella33317[Planck h]*Tabella93820[Frequenza1])/(Tabella33317[Boltzmann k]*Tabella83719[[#This Row],[Temperatura]])))</f>
        <v>-9.9283495990408199E-2</v>
      </c>
      <c r="C18" s="22" cm="1">
        <f t="array" ref="C18">1/(1-EXP(-(Tabella33317[Planck h]*Tabella93820[Frequenza2])/(Tabella33317[Boltzmann k]*Tabella83719[[#This Row],[Temperatura]])))</f>
        <v>1.243233954592277</v>
      </c>
      <c r="D18" s="22" cm="1">
        <f t="array" ref="D18">1/(1-EXP(-(Tabella33317[Planck h]*Tabella93820[Frequenza3])/(Tabella33317[Boltzmann k]*Tabella83719[[#This Row],[Temperatura]])))</f>
        <v>1.227967888691045</v>
      </c>
      <c r="E18" s="22" cm="1">
        <f t="array" ref="E18">1/(1-EXP(-(Tabella33317[Planck h]*Tabella93820[Frequenza4])/(Tabella33317[Boltzmann k]*Tabella83719[[#This Row],[Temperatura]])))</f>
        <v>1.0775226141222591</v>
      </c>
      <c r="F18" s="22" cm="1">
        <f t="array" ref="F18">1/(1-EXP(-(Tabella33317[Planck h]*Tabella93820[Frequenza5])/(Tabella33317[Boltzmann k]*Tabella83719[[#This Row],[Temperatura]])))</f>
        <v>1.0569609585472652</v>
      </c>
      <c r="G18" s="22" cm="1">
        <f t="array" ref="G18">1/(1-EXP(-(Tabella33317[Planck h]*Tabella93820[Frequenza6])/(Tabella33317[Boltzmann k]*Tabella83719[[#This Row],[Temperatura]])))</f>
        <v>1.0239991317445971</v>
      </c>
      <c r="H18" s="22" cm="1">
        <f t="array" ref="H18">1/(1-EXP(-(Tabella33317[Planck h]*Tabella93820[Frequenza7])/(Tabella33317[Boltzmann k]*Tabella83719[[#This Row],[Temperatura]])))</f>
        <v>1.0051547883128027</v>
      </c>
      <c r="I18" s="22" cm="1">
        <f t="array" ref="I18">1/(1-EXP(-(Tabella33317[Planck h]*Tabella93820[Frequenza8])/(Tabella33317[Boltzmann k]*Tabella83719[[#This Row],[Temperatura]])))</f>
        <v>1.0003346223564928</v>
      </c>
      <c r="J18" s="22" cm="1">
        <f t="array" ref="J18">1/(1-EXP(-(Tabella33317[Planck h]*Tabella93820[Frequenza9])/(Tabella33317[Boltzmann k]*Tabella83719[[#This Row],[Temperatura]])))</f>
        <v>1.0002698676092028</v>
      </c>
      <c r="K18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0.17778589175573098</v>
      </c>
    </row>
    <row r="19" spans="1:11" x14ac:dyDescent="0.35">
      <c r="A19" s="34">
        <v>700</v>
      </c>
      <c r="B19" s="22" cm="1">
        <f t="array" ref="B19">1/(1-EXP(-(Tabella33317[Planck h]*Tabella93820[Frequenza1])/(Tabella33317[Boltzmann k]*Tabella83719[[#This Row],[Temperatura]])))</f>
        <v>-0.145913425605844</v>
      </c>
      <c r="C19" s="22" cm="1">
        <f t="array" ref="C19">1/(1-EXP(-(Tabella33317[Planck h]*Tabella93820[Frequenza2])/(Tabella33317[Boltzmann k]*Tabella83719[[#This Row],[Temperatura]])))</f>
        <v>1.3280139913439473</v>
      </c>
      <c r="D19" s="22" cm="1">
        <f t="array" ref="D19">1/(1-EXP(-(Tabella33317[Planck h]*Tabella93820[Frequenza3])/(Tabella33317[Boltzmann k]*Tabella83719[[#This Row],[Temperatura]])))</f>
        <v>1.3091315110329695</v>
      </c>
      <c r="E19" s="22" cm="1">
        <f t="array" ref="E19">1/(1-EXP(-(Tabella33317[Planck h]*Tabella93820[Frequenza4])/(Tabella33317[Boltzmann k]*Tabella83719[[#This Row],[Temperatura]])))</f>
        <v>1.1170465789759898</v>
      </c>
      <c r="F19" s="22" cm="1">
        <f t="array" ref="F19">1/(1-EXP(-(Tabella33317[Planck h]*Tabella93820[Frequenza5])/(Tabella33317[Boltzmann k]*Tabella83719[[#This Row],[Temperatura]])))</f>
        <v>1.0890821406823397</v>
      </c>
      <c r="G19" s="22" cm="1">
        <f t="array" ref="G19">1/(1-EXP(-(Tabella33317[Planck h]*Tabella93820[Frequenza6])/(Tabella33317[Boltzmann k]*Tabella83719[[#This Row],[Temperatura]])))</f>
        <v>1.0417374815497498</v>
      </c>
      <c r="H19" s="22" cm="1">
        <f t="array" ref="H19">1/(1-EXP(-(Tabella33317[Planck h]*Tabella93820[Frequenza7])/(Tabella33317[Boltzmann k]*Tabella83719[[#This Row],[Temperatura]])))</f>
        <v>1.011012359228187</v>
      </c>
      <c r="I19" s="22" cm="1">
        <f t="array" ref="I19">1/(1-EXP(-(Tabella33317[Planck h]*Tabella93820[Frequenza8])/(Tabella33317[Boltzmann k]*Tabella83719[[#This Row],[Temperatura]])))</f>
        <v>1.0010504576016059</v>
      </c>
      <c r="J19" s="22" cm="1">
        <f t="array" ref="J19">1/(1-EXP(-(Tabella33317[Planck h]*Tabella93820[Frequenza9])/(Tabella33317[Boltzmann k]*Tabella83719[[#This Row],[Temperatura]])))</f>
        <v>1.0008735044349639</v>
      </c>
      <c r="K19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0.32565894817084773</v>
      </c>
    </row>
    <row r="20" spans="1:11" x14ac:dyDescent="0.35">
      <c r="A20" s="34">
        <v>800</v>
      </c>
      <c r="B20" s="22" cm="1">
        <f t="array" ref="B20">1/(1-EXP(-(Tabella33317[Planck h]*Tabella93820[Frequenza1])/(Tabella33317[Boltzmann k]*Tabella83719[[#This Row],[Temperatura]])))</f>
        <v>-0.19724638336342737</v>
      </c>
      <c r="C20" s="22" cm="1">
        <f t="array" ref="C20">1/(1-EXP(-(Tabella33317[Planck h]*Tabella93820[Frequenza2])/(Tabella33317[Boltzmann k]*Tabella83719[[#This Row],[Temperatura]])))</f>
        <v>1.4167787091949471</v>
      </c>
      <c r="D20" s="22" cm="1">
        <f t="array" ref="D20">1/(1-EXP(-(Tabella33317[Planck h]*Tabella93820[Frequenza3])/(Tabella33317[Boltzmann k]*Tabella83719[[#This Row],[Temperatura]])))</f>
        <v>1.3943562748987213</v>
      </c>
      <c r="E20" s="22" cm="1">
        <f t="array" ref="E20">1/(1-EXP(-(Tabella33317[Planck h]*Tabella93820[Frequenza4])/(Tabella33317[Boltzmann k]*Tabella83719[[#This Row],[Temperatura]])))</f>
        <v>1.1613265586696007</v>
      </c>
      <c r="F20" s="22" cm="1">
        <f t="array" ref="F20">1/(1-EXP(-(Tabella33317[Planck h]*Tabella93820[Frequenza5])/(Tabella33317[Boltzmann k]*Tabella83719[[#This Row],[Temperatura]])))</f>
        <v>1.1259368383061883</v>
      </c>
      <c r="G20" s="22" cm="1">
        <f t="array" ref="G20">1/(1-EXP(-(Tabella33317[Planck h]*Tabella93820[Frequenza6])/(Tabella33317[Boltzmann k]*Tabella83719[[#This Row],[Temperatura]])))</f>
        <v>1.0637158664525441</v>
      </c>
      <c r="H20" s="22" cm="1">
        <f t="array" ref="H20">1/(1-EXP(-(Tabella33317[Planck h]*Tabella93820[Frequenza7])/(Tabella33317[Boltzmann k]*Tabella83719[[#This Row],[Temperatura]])))</f>
        <v>1.0195383086439895</v>
      </c>
      <c r="I20" s="22" cm="1">
        <f t="array" ref="I20">1/(1-EXP(-(Tabella33317[Planck h]*Tabella93820[Frequenza8])/(Tabella33317[Boltzmann k]*Tabella83719[[#This Row],[Temperatura]])))</f>
        <v>1.002479606614997</v>
      </c>
      <c r="J20" s="22" cm="1">
        <f t="array" ref="J20">1/(1-EXP(-(Tabella33317[Planck h]*Tabella93820[Frequenza9])/(Tabella33317[Boltzmann k]*Tabella83719[[#This Row],[Temperatura]])))</f>
        <v>1.0021095527215118</v>
      </c>
      <c r="K20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0.55510245443102824</v>
      </c>
    </row>
    <row r="21" spans="1:11" x14ac:dyDescent="0.35">
      <c r="A21" s="34">
        <v>900</v>
      </c>
      <c r="B21" s="22" cm="1">
        <f t="array" ref="B21">1/(1-EXP(-(Tabella33317[Planck h]*Tabella93820[Frequenza1])/(Tabella33317[Boltzmann k]*Tabella83719[[#This Row],[Temperatura]])))</f>
        <v>-0.25203537532785092</v>
      </c>
      <c r="C21" s="22" cm="1">
        <f t="array" ref="C21">1/(1-EXP(-(Tabella33317[Planck h]*Tabella93820[Frequenza2])/(Tabella33317[Boltzmann k]*Tabella83719[[#This Row],[Temperatura]])))</f>
        <v>1.5083267984540152</v>
      </c>
      <c r="D21" s="22" cm="1">
        <f t="array" ref="D21">1/(1-EXP(-(Tabella33317[Planck h]*Tabella93820[Frequenza3])/(Tabella33317[Boltzmann k]*Tabella83719[[#This Row],[Temperatura]])))</f>
        <v>1.4824261573702937</v>
      </c>
      <c r="E21" s="22" cm="1">
        <f t="array" ref="E21">1/(1-EXP(-(Tabella33317[Planck h]*Tabella93820[Frequenza4])/(Tabella33317[Boltzmann k]*Tabella83719[[#This Row],[Temperatura]])))</f>
        <v>1.2091637750366513</v>
      </c>
      <c r="F21" s="22" cm="1">
        <f t="array" ref="F21">1/(1-EXP(-(Tabella33317[Planck h]*Tabella93820[Frequenza5])/(Tabella33317[Boltzmann k]*Tabella83719[[#This Row],[Temperatura]])))</f>
        <v>1.1664177661235826</v>
      </c>
      <c r="G21" s="22" cm="1">
        <f t="array" ref="G21">1/(1-EXP(-(Tabella33317[Planck h]*Tabella93820[Frequenza6])/(Tabella33317[Boltzmann k]*Tabella83719[[#This Row],[Temperatura]])))</f>
        <v>1.089201507658923</v>
      </c>
      <c r="H21" s="22" cm="1">
        <f t="array" ref="H21">1/(1-EXP(-(Tabella33317[Planck h]*Tabella93820[Frequenza7])/(Tabella33317[Boltzmann k]*Tabella83719[[#This Row],[Temperatura]])))</f>
        <v>1.0306499506567981</v>
      </c>
      <c r="I21" s="22" cm="1">
        <f t="array" ref="I21">1/(1-EXP(-(Tabella33317[Planck h]*Tabella93820[Frequenza8])/(Tabella33317[Boltzmann k]*Tabella83719[[#This Row],[Temperatura]])))</f>
        <v>1.004842142984848</v>
      </c>
      <c r="J21" s="22" cm="1">
        <f t="array" ref="J21">1/(1-EXP(-(Tabella33317[Planck h]*Tabella93820[Frequenza9])/(Tabella33317[Boltzmann k]*Tabella83719[[#This Row],[Temperatura]])))</f>
        <v>1.0041928194549912</v>
      </c>
      <c r="K21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0.90033398896630168</v>
      </c>
    </row>
    <row r="22" spans="1:11" x14ac:dyDescent="0.35">
      <c r="A22" s="34">
        <v>1000</v>
      </c>
      <c r="B22" s="22" cm="1">
        <f t="array" ref="B22">1/(1-EXP(-(Tabella33317[Planck h]*Tabella93820[Frequenza1])/(Tabella33317[Boltzmann k]*Tabella83719[[#This Row],[Temperatura]])))</f>
        <v>-0.3094116041720314</v>
      </c>
      <c r="C22" s="22" cm="1">
        <f t="array" ref="C22">1/(1-EXP(-(Tabella33317[Planck h]*Tabella93820[Frequenza2])/(Tabella33317[Boltzmann k]*Tabella83719[[#This Row],[Temperatura]])))</f>
        <v>1.6018863705313642</v>
      </c>
      <c r="D22" s="22" cm="1">
        <f t="array" ref="D22">1/(1-EXP(-(Tabella33317[Planck h]*Tabella93820[Frequenza3])/(Tabella33317[Boltzmann k]*Tabella83719[[#This Row],[Temperatura]])))</f>
        <v>1.5725563109063232</v>
      </c>
      <c r="E22" s="22" cm="1">
        <f t="array" ref="E22">1/(1-EXP(-(Tabella33317[Planck h]*Tabella93820[Frequenza4])/(Tabella33317[Boltzmann k]*Tabella83719[[#This Row],[Temperatura]])))</f>
        <v>1.2596972799570549</v>
      </c>
      <c r="F22" s="22" cm="1">
        <f t="array" ref="F22">1/(1-EXP(-(Tabella33317[Planck h]*Tabella93820[Frequenza5])/(Tabella33317[Boltzmann k]*Tabella83719[[#This Row],[Temperatura]])))</f>
        <v>1.2096943086172396</v>
      </c>
      <c r="G22" s="22" cm="1">
        <f t="array" ref="G22">1/(1-EXP(-(Tabella33317[Planck h]*Tabella93820[Frequenza6])/(Tabella33317[Boltzmann k]*Tabella83719[[#This Row],[Temperatura]])))</f>
        <v>1.1175445234148884</v>
      </c>
      <c r="H22" s="22" cm="1">
        <f t="array" ref="H22">1/(1-EXP(-(Tabella33317[Planck h]*Tabella93820[Frequenza7])/(Tabella33317[Boltzmann k]*Tabella83719[[#This Row],[Temperatura]])))</f>
        <v>1.0441307830327546</v>
      </c>
      <c r="I22" s="22" cm="1">
        <f t="array" ref="I22">1/(1-EXP(-(Tabella33317[Planck h]*Tabella93820[Frequenza8])/(Tabella33317[Boltzmann k]*Tabella83719[[#This Row],[Temperatura]])))</f>
        <v>1.0082837803120244</v>
      </c>
      <c r="J22" s="22" cm="1">
        <f t="array" ref="J22">1/(1-EXP(-(Tabella33317[Planck h]*Tabella93820[Frequenza9])/(Tabella33317[Boltzmann k]*Tabella83719[[#This Row],[Temperatura]])))</f>
        <v>1.0072739067469787</v>
      </c>
      <c r="K22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1.4075584479814827</v>
      </c>
    </row>
    <row r="23" spans="1:11" x14ac:dyDescent="0.35">
      <c r="A23" s="34">
        <v>1100</v>
      </c>
      <c r="B23" s="22" cm="1">
        <f t="array" ref="B23">1/(1-EXP(-(Tabella33317[Planck h]*Tabella93820[Frequenza1])/(Tabella33317[Boltzmann k]*Tabella83719[[#This Row],[Temperatura]])))</f>
        <v>-0.36876238862543775</v>
      </c>
      <c r="C23" s="22" cm="1">
        <f t="array" ref="C23">1/(1-EXP(-(Tabella33317[Planck h]*Tabella93820[Frequenza2])/(Tabella33317[Boltzmann k]*Tabella83719[[#This Row],[Temperatura]])))</f>
        <v>1.6969424960188508</v>
      </c>
      <c r="D23" s="22" cm="1">
        <f t="array" ref="D23">1/(1-EXP(-(Tabella33317[Planck h]*Tabella93820[Frequenza3])/(Tabella33317[Boltzmann k]*Tabella83719[[#This Row],[Temperatura]])))</f>
        <v>1.664221544789497</v>
      </c>
      <c r="E23" s="22" cm="1">
        <f t="array" ref="E23">1/(1-EXP(-(Tabella33317[Planck h]*Tabella93820[Frequenza4])/(Tabella33317[Boltzmann k]*Tabella83719[[#This Row],[Temperatura]])))</f>
        <v>1.3123072649685528</v>
      </c>
      <c r="F23" s="22" cm="1">
        <f t="array" ref="F23">1/(1-EXP(-(Tabella33317[Planck h]*Tabella93820[Frequenza5])/(Tabella33317[Boltzmann k]*Tabella83719[[#This Row],[Temperatura]])))</f>
        <v>1.2551507169241776</v>
      </c>
      <c r="G23" s="22" cm="1">
        <f t="array" ref="G23">1/(1-EXP(-(Tabella33317[Planck h]*Tabella93820[Frequenza6])/(Tabella33317[Boltzmann k]*Tabella83719[[#This Row],[Temperatura]])))</f>
        <v>1.1482084911377943</v>
      </c>
      <c r="H23" s="22" cm="1">
        <f t="array" ref="H23">1/(1-EXP(-(Tabella33317[Planck h]*Tabella93820[Frequenza7])/(Tabella33317[Boltzmann k]*Tabella83719[[#This Row],[Temperatura]])))</f>
        <v>1.0597153898632294</v>
      </c>
      <c r="I23" s="22" cm="1">
        <f t="array" ref="I23">1/(1-EXP(-(Tabella33317[Planck h]*Tabella93820[Frequenza8])/(Tabella33317[Boltzmann k]*Tabella83719[[#This Row],[Temperatura]])))</f>
        <v>1.0128759627553965</v>
      </c>
      <c r="J23" s="22" cm="1">
        <f t="array" ref="J23">1/(1-EXP(-(Tabella33317[Planck h]*Tabella93820[Frequenza9])/(Tabella33317[Boltzmann k]*Tabella83719[[#This Row],[Temperatura]])))</f>
        <v>1.011434809594004</v>
      </c>
      <c r="K23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2.1382597126173919</v>
      </c>
    </row>
    <row r="24" spans="1:11" x14ac:dyDescent="0.35">
      <c r="A24" s="34">
        <v>1200</v>
      </c>
      <c r="B24" s="22" cm="1">
        <f t="array" ref="B24">1/(1-EXP(-(Tabella33317[Planck h]*Tabella93820[Frequenza1])/(Tabella33317[Boltzmann k]*Tabella83719[[#This Row],[Temperatura]])))</f>
        <v>-0.42964800462668046</v>
      </c>
      <c r="C24" s="22" cm="1">
        <f t="array" ref="C24">1/(1-EXP(-(Tabella33317[Planck h]*Tabella93820[Frequenza2])/(Tabella33317[Boltzmann k]*Tabella83719[[#This Row],[Temperatura]])))</f>
        <v>1.79314004771989</v>
      </c>
      <c r="D24" s="22" cm="1">
        <f t="array" ref="D24">1/(1-EXP(-(Tabella33317[Planck h]*Tabella93820[Frequenza3])/(Tabella33317[Boltzmann k]*Tabella83719[[#This Row],[Temperatura]])))</f>
        <v>1.757058851537036</v>
      </c>
      <c r="E24" s="22" cm="1">
        <f t="array" ref="E24">1/(1-EXP(-(Tabella33317[Planck h]*Tabella93820[Frequenza4])/(Tabella33317[Boltzmann k]*Tabella83719[[#This Row],[Temperatura]])))</f>
        <v>1.3665422844262156</v>
      </c>
      <c r="F24" s="22" cm="1">
        <f t="array" ref="F24">1/(1-EXP(-(Tabella33317[Planck h]*Tabella93820[Frequenza5])/(Tabella33317[Boltzmann k]*Tabella83719[[#This Row],[Temperatura]])))</f>
        <v>1.3023290684268671</v>
      </c>
      <c r="G24" s="22" cm="1">
        <f t="array" ref="G24">1/(1-EXP(-(Tabella33317[Planck h]*Tabella93820[Frequenza6])/(Tabella33317[Boltzmann k]*Tabella83719[[#This Row],[Temperatura]])))</f>
        <v>1.1807635730860304</v>
      </c>
      <c r="H24" s="22" cm="1">
        <f t="array" ref="H24">1/(1-EXP(-(Tabella33317[Planck h]*Tabella93820[Frequenza7])/(Tabella33317[Boltzmann k]*Tabella83719[[#This Row],[Temperatura]])))</f>
        <v>1.0771364537238821</v>
      </c>
      <c r="I24" s="22" cm="1">
        <f t="array" ref="I24">1/(1-EXP(-(Tabella33317[Planck h]*Tabella93820[Frequenza8])/(Tabella33317[Boltzmann k]*Tabella83719[[#This Row],[Temperatura]])))</f>
        <v>1.0186303685455496</v>
      </c>
      <c r="J24" s="22" cm="1">
        <f t="array" ref="J24">1/(1-EXP(-(Tabella33317[Planck h]*Tabella93820[Frequenza9])/(Tabella33317[Boltzmann k]*Tabella83719[[#This Row],[Temperatura]])))</f>
        <v>1.0166997318122077</v>
      </c>
      <c r="K24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3.1732195807979093</v>
      </c>
    </row>
    <row r="25" spans="1:11" x14ac:dyDescent="0.35">
      <c r="A25" s="34">
        <v>1300</v>
      </c>
      <c r="B25" s="22" cm="1">
        <f t="array" ref="B25">1/(1-EXP(-(Tabella33317[Planck h]*Tabella93820[Frequenza1])/(Tabella33317[Boltzmann k]*Tabella83719[[#This Row],[Temperatura]])))</f>
        <v>-0.49174687306049109</v>
      </c>
      <c r="C25" s="22" cm="1">
        <f t="array" ref="C25">1/(1-EXP(-(Tabella33317[Planck h]*Tabella93820[Frequenza2])/(Tabella33317[Boltzmann k]*Tabella83719[[#This Row],[Temperatura]])))</f>
        <v>1.8902268902673784</v>
      </c>
      <c r="D25" s="22" cm="1">
        <f t="array" ref="D25">1/(1-EXP(-(Tabella33317[Planck h]*Tabella93820[Frequenza3])/(Tabella33317[Boltzmann k]*Tabella83719[[#This Row],[Temperatura]])))</f>
        <v>1.8508100759058068</v>
      </c>
      <c r="E25" s="22" cm="1">
        <f t="array" ref="E25">1/(1-EXP(-(Tabella33317[Planck h]*Tabella93820[Frequenza4])/(Tabella33317[Boltzmann k]*Tabella83719[[#This Row],[Temperatura]])))</f>
        <v>1.4220685612667043</v>
      </c>
      <c r="F25" s="22" cm="1">
        <f t="array" ref="F25">1/(1-EXP(-(Tabella33317[Planck h]*Tabella93820[Frequenza5])/(Tabella33317[Boltzmann k]*Tabella83719[[#This Row],[Temperatura]])))</f>
        <v>1.3508855501584807</v>
      </c>
      <c r="G25" s="22" cm="1">
        <f t="array" ref="G25">1/(1-EXP(-(Tabella33317[Planck h]*Tabella93820[Frequenza6])/(Tabella33317[Boltzmann k]*Tabella83719[[#This Row],[Temperatura]])))</f>
        <v>1.2148689809289206</v>
      </c>
      <c r="H25" s="22" cm="1">
        <f t="array" ref="H25">1/(1-EXP(-(Tabella33317[Planck h]*Tabella93820[Frequenza7])/(Tabella33317[Boltzmann k]*Tabella83719[[#This Row],[Temperatura]])))</f>
        <v>1.0961469465901252</v>
      </c>
      <c r="I25" s="22" cm="1">
        <f t="array" ref="I25">1/(1-EXP(-(Tabella33317[Planck h]*Tabella93820[Frequenza8])/(Tabella33317[Boltzmann k]*Tabella83719[[#This Row],[Temperatura]])))</f>
        <v>1.0255166763601178</v>
      </c>
      <c r="J25" s="22" cm="1">
        <f t="array" ref="J25">1/(1-EXP(-(Tabella33317[Planck h]*Tabella93820[Frequenza9])/(Tabella33317[Boltzmann k]*Tabella83719[[#This Row],[Temperatura]])))</f>
        <v>1.0230505786653117</v>
      </c>
      <c r="K25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4.6173685974402492</v>
      </c>
    </row>
    <row r="26" spans="1:11" x14ac:dyDescent="0.35">
      <c r="A26" s="34">
        <v>1400</v>
      </c>
      <c r="B26" s="22" cm="1">
        <f t="array" ref="B26">1/(1-EXP(-(Tabella33317[Planck h]*Tabella93820[Frequenza1])/(Tabella33317[Boltzmann k]*Tabella83719[[#This Row],[Temperatura]])))</f>
        <v>-0.55481947028833112</v>
      </c>
      <c r="C26" s="22" cm="1">
        <f t="array" ref="C26">1/(1-EXP(-(Tabella33317[Planck h]*Tabella93820[Frequenza2])/(Tabella33317[Boltzmann k]*Tabella83719[[#This Row],[Temperatura]])))</f>
        <v>1.9880194230347286</v>
      </c>
      <c r="D26" s="22" cm="1">
        <f t="array" ref="D26">1/(1-EXP(-(Tabella33317[Planck h]*Tabella93820[Frequenza3])/(Tabella33317[Boltzmann k]*Tabella83719[[#This Row],[Temperatura]])))</f>
        <v>1.9452869968589557</v>
      </c>
      <c r="E26" s="22" cm="1">
        <f t="array" ref="E26">1/(1-EXP(-(Tabella33317[Planck h]*Tabella93820[Frequenza4])/(Tabella33317[Boltzmann k]*Tabella83719[[#This Row],[Temperatura]])))</f>
        <v>1.4786354071025958</v>
      </c>
      <c r="F26" s="22" cm="1">
        <f t="array" ref="F26">1/(1-EXP(-(Tabella33317[Planck h]*Tabella93820[Frequenza5])/(Tabella33317[Boltzmann k]*Tabella83719[[#This Row],[Temperatura]])))</f>
        <v>1.4005588949849488</v>
      </c>
      <c r="G26" s="22" cm="1">
        <f t="array" ref="G26">1/(1-EXP(-(Tabella33317[Planck h]*Tabella93820[Frequenza6])/(Tabella33317[Boltzmann k]*Tabella83719[[#This Row],[Temperatura]])))</f>
        <v>1.250254864316428</v>
      </c>
      <c r="H26" s="22" cm="1">
        <f t="array" ref="H26">1/(1-EXP(-(Tabella33317[Planck h]*Tabella93820[Frequenza7])/(Tabella33317[Boltzmann k]*Tabella83719[[#This Row],[Temperatura]])))</f>
        <v>1.1165283830537547</v>
      </c>
      <c r="I26" s="22" cm="1">
        <f t="array" ref="I26">1/(1-EXP(-(Tabella33317[Planck h]*Tabella93820[Frequenza8])/(Tabella33317[Boltzmann k]*Tabella83719[[#This Row],[Temperatura]])))</f>
        <v>1.0334782398689573</v>
      </c>
      <c r="J26" s="22" cm="1">
        <f t="array" ref="J26">1/(1-EXP(-(Tabella33317[Planck h]*Tabella93820[Frequenza9])/(Tabella33317[Boltzmann k]*Tabella83719[[#This Row],[Temperatura]])))</f>
        <v>1.0304415183175668</v>
      </c>
      <c r="K26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6.6055880245902614</v>
      </c>
    </row>
    <row r="27" spans="1:11" x14ac:dyDescent="0.35">
      <c r="A27" s="34">
        <v>1500</v>
      </c>
      <c r="B27" s="22" cm="1">
        <f t="array" ref="B27">1/(1-EXP(-(Tabella33317[Planck h]*Tabella93820[Frequenza1])/(Tabella33317[Boltzmann k]*Tabella83719[[#This Row],[Temperatura]])))</f>
        <v>-0.61868430110378425</v>
      </c>
      <c r="C27" s="22" cm="1">
        <f t="array" ref="C27">1/(1-EXP(-(Tabella33317[Planck h]*Tabella93820[Frequenza2])/(Tabella33317[Boltzmann k]*Tabella83719[[#This Row],[Temperatura]])))</f>
        <v>2.086380962168084</v>
      </c>
      <c r="D27" s="22" cm="1">
        <f t="array" ref="D27">1/(1-EXP(-(Tabella33317[Planck h]*Tabella93820[Frequenza3])/(Tabella33317[Boltzmann k]*Tabella83719[[#This Row],[Temperatura]])))</f>
        <v>2.0403493528320831</v>
      </c>
      <c r="E27" s="22" cm="1">
        <f t="array" ref="E27">1/(1-EXP(-(Tabella33317[Planck h]*Tabella93820[Frequenza4])/(Tabella33317[Boltzmann k]*Tabella83719[[#This Row],[Temperatura]])))</f>
        <v>1.5360516276918992</v>
      </c>
      <c r="F27" s="22" cm="1">
        <f t="array" ref="F27">1/(1-EXP(-(Tabella33317[Planck h]*Tabella93820[Frequenza5])/(Tabella33317[Boltzmann k]*Tabella83719[[#This Row],[Temperatura]])))</f>
        <v>1.4511480127715419</v>
      </c>
      <c r="G27" s="22" cm="1">
        <f t="array" ref="G27">1/(1-EXP(-(Tabella33317[Planck h]*Tabella93820[Frequenza6])/(Tabella33317[Boltzmann k]*Tabella83719[[#This Row],[Temperatura]])))</f>
        <v>1.2867067823331866</v>
      </c>
      <c r="H27" s="22" cm="1">
        <f t="array" ref="H27">1/(1-EXP(-(Tabella33317[Planck h]*Tabella93820[Frequenza7])/(Tabella33317[Boltzmann k]*Tabella83719[[#This Row],[Temperatura]])))</f>
        <v>1.1380920024257817</v>
      </c>
      <c r="I27" s="22" cm="1">
        <f t="array" ref="I27">1/(1-EXP(-(Tabella33317[Planck h]*Tabella93820[Frequenza8])/(Tabella33317[Boltzmann k]*Tabella83719[[#This Row],[Temperatura]])))</f>
        <v>1.0424440294769615</v>
      </c>
      <c r="J27" s="22" cm="1">
        <f t="array" ref="J27">1/(1-EXP(-(Tabella33317[Planck h]*Tabella93820[Frequenza9])/(Tabella33317[Boltzmann k]*Tabella83719[[#This Row],[Temperatura]])))</f>
        <v>1.0388105485533279</v>
      </c>
      <c r="K27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9.3095957949271515</v>
      </c>
    </row>
    <row r="28" spans="1:11" x14ac:dyDescent="0.35">
      <c r="A28" s="34">
        <v>1600</v>
      </c>
      <c r="B28" s="22" cm="1">
        <f t="array" ref="B28">1/(1-EXP(-(Tabella33317[Planck h]*Tabella93820[Frequenza1])/(Tabella33317[Boltzmann k]*Tabella83719[[#This Row],[Temperatura]])))</f>
        <v>-0.68320164788206539</v>
      </c>
      <c r="C28" s="22" cm="1">
        <f t="array" ref="C28">1/(1-EXP(-(Tabella33317[Planck h]*Tabella93820[Frequenza2])/(Tabella33317[Boltzmann k]*Tabella83719[[#This Row],[Temperatura]])))</f>
        <v>2.1852077570797555</v>
      </c>
      <c r="D28" s="22" cm="1">
        <f t="array" ref="D28">1/(1-EXP(-(Tabella33317[Planck h]*Tabella93820[Frequenza3])/(Tabella33317[Boltzmann k]*Tabella83719[[#This Row],[Temperatura]])))</f>
        <v>2.1358905940308275</v>
      </c>
      <c r="E28" s="22" cm="1">
        <f t="array" ref="E28">1/(1-EXP(-(Tabella33317[Planck h]*Tabella93820[Frequenza4])/(Tabella33317[Boltzmann k]*Tabella83719[[#This Row],[Temperatura]])))</f>
        <v>1.5941692751403491</v>
      </c>
      <c r="F28" s="22" cm="1">
        <f t="array" ref="F28">1/(1-EXP(-(Tabella33317[Planck h]*Tabella93820[Frequenza5])/(Tabella33317[Boltzmann k]*Tabella83719[[#This Row],[Temperatura]])))</f>
        <v>1.5024961637102303</v>
      </c>
      <c r="G28" s="22" cm="1">
        <f t="array" ref="G28">1/(1-EXP(-(Tabella33317[Planck h]*Tabella93820[Frequenza6])/(Tabella33317[Boltzmann k]*Tabella83719[[#This Row],[Temperatura]])))</f>
        <v>1.3240532976650818</v>
      </c>
      <c r="H28" s="22" cm="1">
        <f t="array" ref="H28">1/(1-EXP(-(Tabella33317[Planck h]*Tabella93820[Frequenza7])/(Tabella33317[Boltzmann k]*Tabella83719[[#This Row],[Temperatura]])))</f>
        <v>1.1606767305873338</v>
      </c>
      <c r="I28" s="22" cm="1">
        <f t="array" ref="I28">1/(1-EXP(-(Tabella33317[Planck h]*Tabella93820[Frequenza8])/(Tabella33317[Boltzmann k]*Tabella83719[[#This Row],[Temperatura]])))</f>
        <v>1.0523369537562386</v>
      </c>
      <c r="J28" s="22" cm="1">
        <f t="array" ref="J28">1/(1-EXP(-(Tabella33317[Planck h]*Tabella93820[Frequenza9])/(Tabella33317[Boltzmann k]*Tabella83719[[#This Row],[Temperatura]])))</f>
        <v>1.0480878403603155</v>
      </c>
      <c r="K28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12.946062433048432</v>
      </c>
    </row>
    <row r="29" spans="1:11" x14ac:dyDescent="0.35">
      <c r="A29" s="34">
        <v>1700</v>
      </c>
      <c r="B29" s="22" cm="1">
        <f t="array" ref="B29">1/(1-EXP(-(Tabella33317[Planck h]*Tabella93820[Frequenza1])/(Tabella33317[Boltzmann k]*Tabella83719[[#This Row],[Temperatura]])))</f>
        <v>-0.74826238766780995</v>
      </c>
      <c r="C29" s="22" cm="1">
        <f t="array" ref="C29">1/(1-EXP(-(Tabella33317[Planck h]*Tabella93820[Frequenza2])/(Tabella33317[Boltzmann k]*Tabella83719[[#This Row],[Temperatura]])))</f>
        <v>2.2844196942239106</v>
      </c>
      <c r="D29" s="22" cm="1">
        <f t="array" ref="D29">1/(1-EXP(-(Tabella33317[Planck h]*Tabella93820[Frequenza3])/(Tabella33317[Boltzmann k]*Tabella83719[[#This Row],[Temperatura]])))</f>
        <v>2.2318283931633958</v>
      </c>
      <c r="E29" s="22" cm="1">
        <f t="array" ref="E29">1/(1-EXP(-(Tabella33317[Planck h]*Tabella93820[Frequenza4])/(Tabella33317[Boltzmann k]*Tabella83719[[#This Row],[Temperatura]])))</f>
        <v>1.6528723133476542</v>
      </c>
      <c r="F29" s="22" cm="1">
        <f t="array" ref="F29">1/(1-EXP(-(Tabella33317[Planck h]*Tabella93820[Frequenza5])/(Tabella33317[Boltzmann k]*Tabella83719[[#This Row],[Temperatura]])))</f>
        <v>1.5544796916654493</v>
      </c>
      <c r="G29" s="22" cm="1">
        <f t="array" ref="G29">1/(1-EXP(-(Tabella33317[Planck h]*Tabella93820[Frequenza6])/(Tabella33317[Boltzmann k]*Tabella83719[[#This Row],[Temperatura]])))</f>
        <v>1.3621563620761041</v>
      </c>
      <c r="H29" s="22" cm="1">
        <f t="array" ref="H29">1/(1-EXP(-(Tabella33317[Planck h]*Tabella93820[Frequenza7])/(Tabella33317[Boltzmann k]*Tabella83719[[#This Row],[Temperatura]])))</f>
        <v>1.1841459321220271</v>
      </c>
      <c r="I29" s="22" cm="1">
        <f t="array" ref="I29">1/(1-EXP(-(Tabella33317[Planck h]*Tabella93820[Frequenza8])/(Tabella33317[Boltzmann k]*Tabella83719[[#This Row],[Temperatura]])))</f>
        <v>1.0630792769153696</v>
      </c>
      <c r="J29" s="22" cm="1">
        <f t="array" ref="J29">1/(1-EXP(-(Tabella33317[Planck h]*Tabella93820[Frequenza9])/(Tabella33317[Boltzmann k]*Tabella83719[[#This Row],[Temperatura]])))</f>
        <v>1.0582013562662638</v>
      </c>
      <c r="K29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17.786116134611355</v>
      </c>
    </row>
    <row r="30" spans="1:11" x14ac:dyDescent="0.35">
      <c r="A30" s="34">
        <v>1800</v>
      </c>
      <c r="B30" s="22" cm="1">
        <f t="array" ref="B30">1/(1-EXP(-(Tabella33317[Planck h]*Tabella93820[Frequenza1])/(Tabella33317[Boltzmann k]*Tabella83719[[#This Row],[Temperatura]])))</f>
        <v>-0.8137801623481683</v>
      </c>
      <c r="C30" s="22" cm="1">
        <f t="array" ref="C30">1/(1-EXP(-(Tabella33317[Planck h]*Tabella93820[Frequenza2])/(Tabella33317[Boltzmann k]*Tabella83719[[#This Row],[Temperatura]])))</f>
        <v>2.3839539636793319</v>
      </c>
      <c r="D30" s="22" cm="1">
        <f t="array" ref="D30">1/(1-EXP(-(Tabella33317[Planck h]*Tabella93820[Frequenza3])/(Tabella33317[Boltzmann k]*Tabella83719[[#This Row],[Temperatura]])))</f>
        <v>2.3280981710288757</v>
      </c>
      <c r="E30" s="22" cm="1">
        <f t="array" ref="E30">1/(1-EXP(-(Tabella33317[Planck h]*Tabella93820[Frequenza4])/(Tabella33317[Boltzmann k]*Tabella83719[[#This Row],[Temperatura]])))</f>
        <v>1.7120685968709966</v>
      </c>
      <c r="F30" s="22" cm="1">
        <f t="array" ref="F30">1/(1-EXP(-(Tabella33317[Planck h]*Tabella93820[Frequenza5])/(Tabella33317[Boltzmann k]*Tabella83719[[#This Row],[Temperatura]])))</f>
        <v>1.6069999253233691</v>
      </c>
      <c r="G30" s="22" cm="1">
        <f t="array" ref="G30">1/(1-EXP(-(Tabella33317[Planck h]*Tabella93820[Frequenza6])/(Tabella33317[Boltzmann k]*Tabella83719[[#This Row],[Temperatura]])))</f>
        <v>1.4009039565224952</v>
      </c>
      <c r="H30" s="22" cm="1">
        <f t="array" ref="H30">1/(1-EXP(-(Tabella33317[Planck h]*Tabella93820[Frequenza7])/(Tabella33317[Boltzmann k]*Tabella83719[[#This Row],[Temperatura]])))</f>
        <v>1.2083839376487697</v>
      </c>
      <c r="I30" s="22" cm="1">
        <f t="array" ref="I30">1/(1-EXP(-(Tabella33317[Planck h]*Tabella93820[Frequenza8])/(Tabella33317[Boltzmann k]*Tabella83719[[#This Row],[Temperatura]])))</f>
        <v>1.0745959194670831</v>
      </c>
      <c r="J30" s="22" cm="1">
        <f t="array" ref="J30">1/(1-EXP(-(Tabella33317[Planck h]*Tabella93820[Frequenza9])/(Tabella33317[Boltzmann k]*Tabella83719[[#This Row],[Temperatura]])))</f>
        <v>1.0690804083297012</v>
      </c>
      <c r="K30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24.166409736606319</v>
      </c>
    </row>
    <row r="31" spans="1:11" x14ac:dyDescent="0.35">
      <c r="A31" s="34">
        <v>1900</v>
      </c>
      <c r="B31" s="22" cm="1">
        <f t="array" ref="B31">1/(1-EXP(-(Tabella33317[Planck h]*Tabella93820[Frequenza1])/(Tabella33317[Boltzmann k]*Tabella83719[[#This Row],[Temperatura]])))</f>
        <v>-0.8796858043021224</v>
      </c>
      <c r="C31" s="22" cm="1">
        <f t="array" ref="C31">1/(1-EXP(-(Tabella33317[Planck h]*Tabella93820[Frequenza2])/(Tabella33317[Boltzmann k]*Tabella83719[[#This Row],[Temperatura]])))</f>
        <v>2.483760648448516</v>
      </c>
      <c r="D31" s="22" cm="1">
        <f t="array" ref="D31">1/(1-EXP(-(Tabella33317[Planck h]*Tabella93820[Frequenza3])/(Tabella33317[Boltzmann k]*Tabella83719[[#This Row],[Temperatura]])))</f>
        <v>2.4246485822628654</v>
      </c>
      <c r="E31" s="22" cm="1">
        <f t="array" ref="E31">1/(1-EXP(-(Tabella33317[Planck h]*Tabella93820[Frequenza4])/(Tabella33317[Boltzmann k]*Tabella83719[[#This Row],[Temperatura]])))</f>
        <v>1.7716841114866069</v>
      </c>
      <c r="F31" s="22" cm="1">
        <f t="array" ref="F31">1/(1-EXP(-(Tabella33317[Planck h]*Tabella93820[Frequenza5])/(Tabella33317[Boltzmann k]*Tabella83719[[#This Row],[Temperatura]])))</f>
        <v>1.6599772903759087</v>
      </c>
      <c r="G31" s="22" cm="1">
        <f t="array" ref="G31">1/(1-EXP(-(Tabella33317[Planck h]*Tabella93820[Frequenza6])/(Tabella33317[Boltzmann k]*Tabella83719[[#This Row],[Temperatura]])))</f>
        <v>1.4402044752290497</v>
      </c>
      <c r="H31" s="22" cm="1">
        <f t="array" ref="H31">1/(1-EXP(-(Tabella33317[Planck h]*Tabella93820[Frequenza7])/(Tabella33317[Boltzmann k]*Tabella83719[[#This Row],[Temperatura]])))</f>
        <v>1.2332927890304819</v>
      </c>
      <c r="I31" s="22" cm="1">
        <f t="array" ref="I31">1/(1-EXP(-(Tabella33317[Planck h]*Tabella93820[Frequenza8])/(Tabella33317[Boltzmann k]*Tabella83719[[#This Row],[Temperatura]])))</f>
        <v>1.0868163052275099</v>
      </c>
      <c r="J31" s="22" cm="1">
        <f t="array" ref="J31">1/(1-EXP(-(Tabella33317[Planck h]*Tabella93820[Frequenza9])/(Tabella33317[Boltzmann k]*Tabella83719[[#This Row],[Temperatura]])))</f>
        <v>1.0806577581563377</v>
      </c>
      <c r="K31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32.501936313792029</v>
      </c>
    </row>
    <row r="32" spans="1:11" ht="15" thickBot="1" x14ac:dyDescent="0.4">
      <c r="A32" s="36">
        <v>2000</v>
      </c>
      <c r="B32" s="37" cm="1">
        <f t="array" ref="B32">1/(1-EXP(-(Tabella33317[Planck h]*Tabella93820[Frequenza1])/(Tabella33317[Boltzmann k]*Tabella83719[[#This Row],[Temperatura]])))</f>
        <v>-0.94592330474660924</v>
      </c>
      <c r="C32" s="37" cm="1">
        <f t="array" ref="C32">1/(1-EXP(-(Tabella33317[Planck h]*Tabella93820[Frequenza2])/(Tabella33317[Boltzmann k]*Tabella83719[[#This Row],[Temperatura]])))</f>
        <v>2.5837995915253491</v>
      </c>
      <c r="D32" s="37" cm="1">
        <f t="array" ref="D32">1/(1-EXP(-(Tabella33317[Planck h]*Tabella93820[Frequenza3])/(Tabella33317[Boltzmann k]*Tabella83719[[#This Row],[Temperatura]])))</f>
        <v>2.5214383057112517</v>
      </c>
      <c r="E32" s="37" cm="1">
        <f t="array" ref="E32">1/(1-EXP(-(Tabella33317[Planck h]*Tabella93820[Frequenza4])/(Tabella33317[Boltzmann k]*Tabella83719[[#This Row],[Temperatura]])))</f>
        <v>1.8316587796877164</v>
      </c>
      <c r="F32" s="37" cm="1">
        <f t="array" ref="F32">1/(1-EXP(-(Tabella33317[Planck h]*Tabella93820[Frequenza5])/(Tabella33317[Boltzmann k]*Tabella83719[[#This Row],[Temperatura]])))</f>
        <v>1.713346978305093</v>
      </c>
      <c r="G32" s="37" cm="1">
        <f t="array" ref="G32">1/(1-EXP(-(Tabella33317[Planck h]*Tabella93820[Frequenza6])/(Tabella33317[Boltzmann k]*Tabella83719[[#This Row],[Temperatura]])))</f>
        <v>1.4799824331314653</v>
      </c>
      <c r="H32" s="37" cm="1">
        <f t="array" ref="H32">1/(1-EXP(-(Tabella33317[Planck h]*Tabella93820[Frequenza7])/(Tabella33317[Boltzmann k]*Tabella83719[[#This Row],[Temperatura]])))</f>
        <v>1.2587893701981385</v>
      </c>
      <c r="I32" s="37" cm="1">
        <f t="array" ref="I32">1/(1-EXP(-(Tabella33317[Planck h]*Tabella93820[Frequenza8])/(Tabella33317[Boltzmann k]*Tabella83719[[#This Row],[Temperatura]])))</f>
        <v>1.0996752532637295</v>
      </c>
      <c r="J32" s="37" cm="1">
        <f t="array" ref="J32">1/(1-EXP(-(Tabella33317[Planck h]*Tabella93820[Frequenza9])/(Tabella33317[Boltzmann k]*Tabella83719[[#This Row],[Temperatura]])))</f>
        <v>1.0928707318419688</v>
      </c>
      <c r="K32" s="39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43.300794646967674</v>
      </c>
    </row>
    <row r="34" spans="1:9" ht="15" thickBot="1" x14ac:dyDescent="0.4"/>
    <row r="35" spans="1:9" ht="15" thickBot="1" x14ac:dyDescent="0.4">
      <c r="A35" s="28" t="s">
        <v>38</v>
      </c>
      <c r="B35" s="29" t="s">
        <v>55</v>
      </c>
      <c r="C35" s="29" t="s">
        <v>56</v>
      </c>
      <c r="D35" s="29" t="s">
        <v>57</v>
      </c>
      <c r="E35" s="29" t="s">
        <v>58</v>
      </c>
      <c r="F35" s="30" t="s">
        <v>59</v>
      </c>
      <c r="G35" s="30" t="s">
        <v>48</v>
      </c>
      <c r="I35" s="42" t="s">
        <v>60</v>
      </c>
    </row>
    <row r="36" spans="1:9" x14ac:dyDescent="0.35">
      <c r="A36" s="100">
        <v>298.14999999999998</v>
      </c>
      <c r="B36" s="101" cm="1">
        <f t="array" ref="B36">(Tabella33317[Boltzmann k]*A36)/101325</f>
        <v>4.0625758633111278E-26</v>
      </c>
      <c r="C36" s="101" cm="1">
        <f t="array" ref="C36">POWER((2*PI()*Tabella33317[Massa '[kg']]*Tabella33317[Boltzmann k]*A36)/(POWER(Tabella33317[Planck h],2)),1.5)*B36</f>
        <v>3008806.1732798032</v>
      </c>
      <c r="D36" s="101">
        <f>K15</f>
        <v>8.6532866107443193E-3</v>
      </c>
      <c r="E36" s="101" cm="1">
        <f t="array" ref="E36">((SQRT(PI())/Tabella63618[Simmetria]))*(SQRT(POWER(A36,3)/PRODUCT($F$7,$G$7,$H$7)))</f>
        <v>782.25144460256433</v>
      </c>
      <c r="F36" s="102">
        <v>2</v>
      </c>
      <c r="G36" s="104">
        <f>C36*D36*E36*F36</f>
        <v>40733494.494069889</v>
      </c>
      <c r="I36" s="40">
        <f>F36*E36*D36*C36</f>
        <v>40733494.494069889</v>
      </c>
    </row>
    <row r="37" spans="1:9" x14ac:dyDescent="0.35">
      <c r="A37" s="3">
        <v>400</v>
      </c>
      <c r="B37" s="54" cm="1">
        <f t="array" ref="B37">(Tabella33317[Boltzmann k]*A37)/101325</f>
        <v>5.4503784850727862E-26</v>
      </c>
      <c r="C37" s="54" cm="1">
        <f t="array" ref="C37">POWER((2*PI()*Tabella33317[Massa '[kg']]*Tabella33317[Boltzmann k]*A37)/(POWER(Tabella33317[Planck h],2)),1.5)*B37</f>
        <v>6272738.1054960983</v>
      </c>
      <c r="D37" s="54">
        <f t="shared" ref="D36:D53" si="0">K16</f>
        <v>3.441705860550285E-2</v>
      </c>
      <c r="E37" s="54" cm="1">
        <f t="array" ref="E37">((SQRT(PI())/Tabella63618[Simmetria]))*(SQRT(POWER(A37,3)/PRODUCT($F$7,$G$7,$H$7)))</f>
        <v>1215.5816634692333</v>
      </c>
      <c r="F37" s="77">
        <v>2</v>
      </c>
      <c r="G37" s="105">
        <f t="shared" ref="G37:G53" si="1">C37*D37*E37*F37</f>
        <v>524861893.55126745</v>
      </c>
      <c r="I37" s="40">
        <f t="shared" ref="I37:I53" si="2">F37*E37*D37*C37</f>
        <v>524861893.55126739</v>
      </c>
    </row>
    <row r="38" spans="1:9" x14ac:dyDescent="0.35">
      <c r="A38" s="3">
        <v>500</v>
      </c>
      <c r="B38" s="54" cm="1">
        <f t="array" ref="B38">(Tabella33317[Boltzmann k]*A38)/101325</f>
        <v>6.8129731063409828E-26</v>
      </c>
      <c r="C38" s="54" cm="1">
        <f t="array" ref="C38">POWER((2*PI()*Tabella33317[Massa '[kg']]*Tabella33317[Boltzmann k]*A38)/(POWER(Tabella33317[Planck h],2)),1.5)*B38</f>
        <v>10958022.506986409</v>
      </c>
      <c r="D38" s="54">
        <f t="shared" si="0"/>
        <v>8.6597296723189193E-2</v>
      </c>
      <c r="E38" s="54" cm="1">
        <f t="array" ref="E38">((SQRT(PI())/Tabella63618[Simmetria]))*(SQRT(POWER(A38,3)/PRODUCT($F$7,$G$7,$H$7)))</f>
        <v>1698.8270198246742</v>
      </c>
      <c r="F38" s="77">
        <v>2</v>
      </c>
      <c r="G38" s="105">
        <f t="shared" si="1"/>
        <v>3224153266.0432215</v>
      </c>
      <c r="I38" s="40">
        <f t="shared" si="2"/>
        <v>3224153266.043222</v>
      </c>
    </row>
    <row r="39" spans="1:9" x14ac:dyDescent="0.35">
      <c r="A39" s="3">
        <v>600</v>
      </c>
      <c r="B39" s="54" cm="1">
        <f t="array" ref="B39">(Tabella33317[Boltzmann k]*A39)/101325</f>
        <v>8.1755677276091782E-26</v>
      </c>
      <c r="C39" s="54" cm="1">
        <f t="array" ref="C39">POWER((2*PI()*Tabella33317[Massa '[kg']]*Tabella33317[Boltzmann k]*A39)/(POWER(Tabella33317[Planck h],2)),1.5)*B39</f>
        <v>17285633.604650248</v>
      </c>
      <c r="D39" s="54">
        <f t="shared" si="0"/>
        <v>0.17778589175573098</v>
      </c>
      <c r="E39" s="54" cm="1">
        <f t="array" ref="E39">((SQRT(PI())/Tabella63618[Simmetria]))*(SQRT(POWER(A39,3)/PRODUCT($F$7,$G$7,$H$7)))</f>
        <v>2233.1661121374004</v>
      </c>
      <c r="F39" s="77">
        <v>2</v>
      </c>
      <c r="G39" s="105">
        <f t="shared" si="1"/>
        <v>13725672183.957127</v>
      </c>
      <c r="I39" s="40">
        <f t="shared" si="2"/>
        <v>13725672183.957127</v>
      </c>
    </row>
    <row r="40" spans="1:9" x14ac:dyDescent="0.35">
      <c r="A40" s="3">
        <v>700</v>
      </c>
      <c r="B40" s="54" cm="1">
        <f t="array" ref="B40">(Tabella33317[Boltzmann k]*A40)/101325</f>
        <v>9.5381623488773759E-26</v>
      </c>
      <c r="C40" s="54" cm="1">
        <f t="array" ref="C40">POWER((2*PI()*Tabella33317[Massa '[kg']]*Tabella33317[Boltzmann k]*A40)/(POWER(Tabella33317[Planck h],2)),1.5)*B40</f>
        <v>25412785.883202542</v>
      </c>
      <c r="D40" s="54">
        <f t="shared" si="0"/>
        <v>0.32565894817084773</v>
      </c>
      <c r="E40" s="54" cm="1">
        <f t="array" ref="E40">((SQRT(PI())/Tabella63618[Simmetria]))*(SQRT(POWER(A40,3)/PRODUCT($F$7,$G$7,$H$7)))</f>
        <v>2814.110932351075</v>
      </c>
      <c r="F40" s="77">
        <v>2</v>
      </c>
      <c r="G40" s="105">
        <f t="shared" si="1"/>
        <v>46578607638.282364</v>
      </c>
      <c r="I40" s="40">
        <f t="shared" si="2"/>
        <v>46578607638.282372</v>
      </c>
    </row>
    <row r="41" spans="1:9" x14ac:dyDescent="0.35">
      <c r="A41" s="3">
        <v>800</v>
      </c>
      <c r="B41" s="54" cm="1">
        <f t="array" ref="B41">(Tabella33317[Boltzmann k]*A41)/101325</f>
        <v>1.0900756970145572E-25</v>
      </c>
      <c r="C41" s="54" cm="1">
        <f t="array" ref="C41">POWER((2*PI()*Tabella33317[Massa '[kg']]*Tabella33317[Boltzmann k]*A41)/(POWER(Tabella33317[Planck h],2)),1.5)*B41</f>
        <v>35483965.208028488</v>
      </c>
      <c r="D41" s="54">
        <f t="shared" si="0"/>
        <v>0.55510245443102824</v>
      </c>
      <c r="E41" s="54" cm="1">
        <f t="array" ref="E41">((SQRT(PI())/Tabella63618[Simmetria]))*(SQRT(POWER(A41,3)/PRODUCT($F$7,$G$7,$H$7)))</f>
        <v>3438.1841493004745</v>
      </c>
      <c r="F41" s="77">
        <v>2</v>
      </c>
      <c r="G41" s="105">
        <f t="shared" si="1"/>
        <v>135445450437.67009</v>
      </c>
      <c r="I41" s="40">
        <f t="shared" si="2"/>
        <v>135445450437.67009</v>
      </c>
    </row>
    <row r="42" spans="1:9" x14ac:dyDescent="0.35">
      <c r="A42" s="3">
        <v>900</v>
      </c>
      <c r="B42" s="54" cm="1">
        <f t="array" ref="B42">(Tabella33317[Boltzmann k]*A42)/101325</f>
        <v>1.2263351591413768E-25</v>
      </c>
      <c r="C42" s="54" cm="1">
        <f t="array" ref="C42">POWER((2*PI()*Tabella33317[Massa '[kg']]*Tabella33317[Boltzmann k]*A42)/(POWER(Tabella33317[Planck h],2)),1.5)*B42</f>
        <v>47633604.988611072</v>
      </c>
      <c r="D42" s="54">
        <f t="shared" si="0"/>
        <v>0.90033398896630168</v>
      </c>
      <c r="E42" s="54" cm="1">
        <f t="array" ref="E42">((SQRT(PI())/Tabella63618[Simmetria]))*(SQRT(POWER(A42,3)/PRODUCT($F$7,$G$7,$H$7)))</f>
        <v>4102.5881142086628</v>
      </c>
      <c r="F42" s="77">
        <v>2</v>
      </c>
      <c r="G42" s="105">
        <f t="shared" si="1"/>
        <v>351888447950.49219</v>
      </c>
      <c r="I42" s="40">
        <f t="shared" si="2"/>
        <v>351888447950.49219</v>
      </c>
    </row>
    <row r="43" spans="1:9" x14ac:dyDescent="0.35">
      <c r="A43" s="3">
        <v>1000</v>
      </c>
      <c r="B43" s="54" cm="1">
        <f t="array" ref="B43">(Tabella33317[Boltzmann k]*A43)/101325</f>
        <v>1.3625946212681966E-25</v>
      </c>
      <c r="C43" s="54" cm="1">
        <f t="array" ref="C43">POWER((2*PI()*Tabella33317[Massa '[kg']]*Tabella33317[Boltzmann k]*A43)/(POWER(Tabella33317[Planck h],2)),1.5)*B43</f>
        <v>61987936.184679382</v>
      </c>
      <c r="D43" s="54">
        <f t="shared" si="0"/>
        <v>1.4075584479814827</v>
      </c>
      <c r="E43" s="54" cm="1">
        <f t="array" ref="E43">((SQRT(PI())/Tabella63618[Simmetria]))*(SQRT(POWER(A43,3)/PRODUCT($F$7,$G$7,$H$7)))</f>
        <v>4805.0084231238425</v>
      </c>
      <c r="F43" s="77">
        <v>2</v>
      </c>
      <c r="G43" s="105">
        <f t="shared" si="1"/>
        <v>838489761492.24194</v>
      </c>
      <c r="I43" s="40">
        <f t="shared" si="2"/>
        <v>838489761492.24194</v>
      </c>
    </row>
    <row r="44" spans="1:9" x14ac:dyDescent="0.35">
      <c r="A44" s="3">
        <v>1100</v>
      </c>
      <c r="B44" s="54" cm="1">
        <f t="array" ref="B44">(Tabella33317[Boltzmann k]*A44)/101325</f>
        <v>1.4988540833950161E-25</v>
      </c>
      <c r="C44" s="54" cm="1">
        <f t="array" ref="C44">POWER((2*PI()*Tabella33317[Massa '[kg']]*Tabella33317[Boltzmann k]*A44)/(POWER(Tabella33317[Planck h],2)),1.5)*B44</f>
        <v>78666330.099860504</v>
      </c>
      <c r="D44" s="54">
        <f t="shared" si="0"/>
        <v>2.1382597126173919</v>
      </c>
      <c r="E44" s="54" cm="1">
        <f t="array" ref="E44">((SQRT(PI())/Tabella63618[Simmetria]))*(SQRT(POWER(A44,3)/PRODUCT($F$7,$G$7,$H$7)))</f>
        <v>5543.4888846748318</v>
      </c>
      <c r="F44" s="77">
        <v>2</v>
      </c>
      <c r="G44" s="105">
        <f t="shared" si="1"/>
        <v>1864929935777.5725</v>
      </c>
      <c r="I44" s="40">
        <f t="shared" si="2"/>
        <v>1864929935777.5728</v>
      </c>
    </row>
    <row r="45" spans="1:9" x14ac:dyDescent="0.35">
      <c r="A45" s="3">
        <v>1200</v>
      </c>
      <c r="B45" s="54" cm="1">
        <f t="array" ref="B45">(Tabella33317[Boltzmann k]*A45)/101325</f>
        <v>1.6351135455218356E-25</v>
      </c>
      <c r="C45" s="54" cm="1">
        <f t="array" ref="C45">POWER((2*PI()*Tabella33317[Massa '[kg']]*Tabella33317[Boltzmann k]*A45)/(POWER(Tabella33317[Planck h],2)),1.5)*B45</f>
        <v>97782309.911632925</v>
      </c>
      <c r="D45" s="54">
        <f t="shared" si="0"/>
        <v>3.1732195807979093</v>
      </c>
      <c r="E45" s="54" cm="1">
        <f t="array" ref="E45">((SQRT(PI())/Tabella63618[Simmetria]))*(SQRT(POWER(A45,3)/PRODUCT($F$7,$G$7,$H$7)))</f>
        <v>6316.3476056334148</v>
      </c>
      <c r="F45" s="77">
        <v>2</v>
      </c>
      <c r="G45" s="105">
        <f t="shared" si="1"/>
        <v>3919732555029.7124</v>
      </c>
      <c r="I45" s="40">
        <f t="shared" si="2"/>
        <v>3919732555029.7124</v>
      </c>
    </row>
    <row r="46" spans="1:9" x14ac:dyDescent="0.35">
      <c r="A46" s="3">
        <v>1300</v>
      </c>
      <c r="B46" s="54" cm="1">
        <f t="array" ref="B46">(Tabella33317[Boltzmann k]*A46)/101325</f>
        <v>1.7713730076486554E-25</v>
      </c>
      <c r="C46" s="54" cm="1">
        <f t="array" ref="C46">POWER((2*PI()*Tabella33317[Massa '[kg']]*Tabella33317[Boltzmann k]*A46)/(POWER(Tabella33317[Planck h],2)),1.5)*B46</f>
        <v>119444335.31875111</v>
      </c>
      <c r="D46" s="54">
        <f t="shared" si="0"/>
        <v>4.6173685974402492</v>
      </c>
      <c r="E46" s="54" cm="1">
        <f t="array" ref="E46">((SQRT(PI())/Tabella63618[Simmetria]))*(SQRT(POWER(A46,3)/PRODUCT($F$7,$G$7,$H$7)))</f>
        <v>7122.118277872215</v>
      </c>
      <c r="F46" s="77">
        <v>2</v>
      </c>
      <c r="G46" s="105">
        <f t="shared" si="1"/>
        <v>7855960307098.2041</v>
      </c>
      <c r="I46" s="40">
        <f t="shared" si="2"/>
        <v>7855960307098.2041</v>
      </c>
    </row>
    <row r="47" spans="1:9" x14ac:dyDescent="0.35">
      <c r="A47" s="3">
        <v>1400</v>
      </c>
      <c r="B47" s="54" cm="1">
        <f t="array" ref="B47">(Tabella33317[Boltzmann k]*A47)/101325</f>
        <v>1.9076324697754752E-25</v>
      </c>
      <c r="C47" s="54" cm="1">
        <f t="array" ref="C47">POWER((2*PI()*Tabella33317[Massa '[kg']]*Tabella33317[Boltzmann k]*A47)/(POWER(Tabella33317[Planck h],2)),1.5)*B47</f>
        <v>143756425.81483465</v>
      </c>
      <c r="D47" s="54">
        <f t="shared" si="0"/>
        <v>6.6055880245902614</v>
      </c>
      <c r="E47" s="54" cm="1">
        <f t="array" ref="E47">((SQRT(PI())/Tabella63618[Simmetria]))*(SQRT(POWER(A47,3)/PRODUCT($F$7,$G$7,$H$7)))</f>
        <v>7959.5076931065714</v>
      </c>
      <c r="F47" s="77">
        <v>2</v>
      </c>
      <c r="G47" s="105">
        <f t="shared" si="1"/>
        <v>15116628954097.693</v>
      </c>
      <c r="I47" s="40">
        <f t="shared" si="2"/>
        <v>15116628954097.693</v>
      </c>
    </row>
    <row r="48" spans="1:9" x14ac:dyDescent="0.35">
      <c r="A48" s="3">
        <v>1500</v>
      </c>
      <c r="B48" s="54" cm="1">
        <f t="array" ref="B48">(Tabella33317[Boltzmann k]*A48)/101325</f>
        <v>2.0438919319022949E-25</v>
      </c>
      <c r="C48" s="54" cm="1">
        <f t="array" ref="C48">POWER((2*PI()*Tabella33317[Massa '[kg']]*Tabella33317[Boltzmann k]*A48)/(POWER(Tabella33317[Planck h],2)),1.5)*B48</f>
        <v>170818665.59325552</v>
      </c>
      <c r="D48" s="54">
        <f t="shared" si="0"/>
        <v>9.3095957949271515</v>
      </c>
      <c r="E48" s="54" cm="1">
        <f t="array" ref="E48">((SQRT(PI())/Tabella63618[Simmetria]))*(SQRT(POWER(A48,3)/PRODUCT($F$7,$G$7,$H$7)))</f>
        <v>8827.3641348214678</v>
      </c>
      <c r="F48" s="77">
        <v>2</v>
      </c>
      <c r="G48" s="105">
        <f t="shared" si="1"/>
        <v>28075479844133.105</v>
      </c>
      <c r="I48" s="40">
        <f t="shared" si="2"/>
        <v>28075479844133.105</v>
      </c>
    </row>
    <row r="49" spans="1:9" x14ac:dyDescent="0.35">
      <c r="A49" s="3">
        <v>1600</v>
      </c>
      <c r="B49" s="54" cm="1">
        <f t="array" ref="B49">(Tabella33317[Boltzmann k]*A49)/101325</f>
        <v>2.1801513940291145E-25</v>
      </c>
      <c r="C49" s="54" cm="1">
        <f t="array" ref="C49">POWER((2*PI()*Tabella33317[Massa '[kg']]*Tabella33317[Boltzmann k]*A49)/(POWER(Tabella33317[Planck h],2)),1.5)*B49</f>
        <v>200727619.37587342</v>
      </c>
      <c r="D49" s="54">
        <f t="shared" si="0"/>
        <v>12.946062433048432</v>
      </c>
      <c r="E49" s="54" cm="1">
        <f t="array" ref="E49">((SQRT(PI())/Tabella63618[Simmetria]))*(SQRT(POWER(A49,3)/PRODUCT($F$7,$G$7,$H$7)))</f>
        <v>9724.6533077538661</v>
      </c>
      <c r="F49" s="77">
        <v>2</v>
      </c>
      <c r="G49" s="105">
        <f t="shared" si="1"/>
        <v>50541596237349.602</v>
      </c>
      <c r="I49" s="40">
        <f t="shared" si="2"/>
        <v>50541596237349.602</v>
      </c>
    </row>
    <row r="50" spans="1:9" x14ac:dyDescent="0.35">
      <c r="A50" s="3">
        <v>1700</v>
      </c>
      <c r="B50" s="54" cm="1">
        <f t="array" ref="B50">(Tabella33317[Boltzmann k]*A50)/101325</f>
        <v>2.316410856155934E-25</v>
      </c>
      <c r="C50" s="54" cm="1">
        <f t="array" ref="C50">POWER((2*PI()*Tabella33317[Massa '[kg']]*Tabella33317[Boltzmann k]*A50)/(POWER(Tabella33317[Planck h],2)),1.5)*B50</f>
        <v>233576679.74251214</v>
      </c>
      <c r="D50" s="54">
        <f t="shared" si="0"/>
        <v>17.786116134611355</v>
      </c>
      <c r="E50" s="54" cm="1">
        <f t="array" ref="E50">((SQRT(PI())/Tabella63618[Simmetria]))*(SQRT(POWER(A50,3)/PRODUCT($F$7,$G$7,$H$7)))</f>
        <v>10650.439639476299</v>
      </c>
      <c r="F50" s="77">
        <v>2</v>
      </c>
      <c r="G50" s="105">
        <f t="shared" si="1"/>
        <v>88492840478436.109</v>
      </c>
      <c r="I50" s="40">
        <f t="shared" si="2"/>
        <v>88492840478436.109</v>
      </c>
    </row>
    <row r="51" spans="1:9" x14ac:dyDescent="0.35">
      <c r="A51" s="3">
        <v>1800</v>
      </c>
      <c r="B51" s="54" cm="1">
        <f t="array" ref="B51">(Tabella33317[Boltzmann k]*A51)/101325</f>
        <v>2.4526703182827536E-25</v>
      </c>
      <c r="C51" s="54" cm="1">
        <f t="array" ref="C51">POWER((2*PI()*Tabella33317[Massa '[kg']]*Tabella33317[Boltzmann k]*A51)/(POWER(Tabella33317[Planck h],2)),1.5)*B51</f>
        <v>269456360.79846668</v>
      </c>
      <c r="D51" s="54">
        <f t="shared" si="0"/>
        <v>24.166409736606319</v>
      </c>
      <c r="E51" s="54" cm="1">
        <f t="array" ref="E51">((SQRT(PI())/Tabella63618[Simmetria]))*(SQRT(POWER(A51,3)/PRODUCT($F$7,$G$7,$H$7)))</f>
        <v>11603.871503889102</v>
      </c>
      <c r="F51" s="77">
        <v>2</v>
      </c>
      <c r="G51" s="105">
        <f t="shared" si="1"/>
        <v>151124014314085.78</v>
      </c>
      <c r="I51" s="40">
        <f t="shared" si="2"/>
        <v>151124014314085.78</v>
      </c>
    </row>
    <row r="52" spans="1:9" x14ac:dyDescent="0.35">
      <c r="A52" s="3">
        <v>1900</v>
      </c>
      <c r="B52" s="54" cm="1">
        <f t="array" ref="B52">(Tabella33317[Boltzmann k]*A52)/101325</f>
        <v>2.5889297804095731E-25</v>
      </c>
      <c r="C52" s="54" cm="1">
        <f t="array" ref="C52">POWER((2*PI()*Tabella33317[Massa '[kg']]*Tabella33317[Boltzmann k]*A52)/(POWER(Tabella33317[Planck h],2)),1.5)*B52</f>
        <v>308454549.12239885</v>
      </c>
      <c r="D52" s="54">
        <f t="shared" si="0"/>
        <v>32.501936313792029</v>
      </c>
      <c r="E52" s="54" cm="1">
        <f t="array" ref="E52">((SQRT(PI())/Tabella63618[Simmetria]))*(SQRT(POWER(A52,3)/PRODUCT($F$7,$G$7,$H$7)))</f>
        <v>12584.169368123208</v>
      </c>
      <c r="F52" s="77">
        <v>2</v>
      </c>
      <c r="G52" s="105">
        <f t="shared" si="1"/>
        <v>252321910916825.78</v>
      </c>
      <c r="I52" s="40">
        <f t="shared" si="2"/>
        <v>252321910916825.81</v>
      </c>
    </row>
    <row r="53" spans="1:9" ht="15" thickBot="1" x14ac:dyDescent="0.4">
      <c r="A53" s="5">
        <v>2000</v>
      </c>
      <c r="B53" s="55" cm="1">
        <f t="array" ref="B53">(Tabella33317[Boltzmann k]*A53)/101325</f>
        <v>2.7251892425363931E-25</v>
      </c>
      <c r="C53" s="55" cm="1">
        <f t="array" ref="C53">POWER((2*PI()*Tabella33317[Massa '[kg']]*Tabella33317[Boltzmann k]*A53)/(POWER(Tabella33317[Planck h],2)),1.5)*B53</f>
        <v>350656720.22356701</v>
      </c>
      <c r="D53" s="55">
        <f t="shared" si="0"/>
        <v>43.300794646967674</v>
      </c>
      <c r="E53" s="55" cm="1">
        <f t="array" ref="E53">((SQRT(PI())/Tabella63618[Simmetria]))*(SQRT(POWER(A53,3)/PRODUCT($F$7,$G$7,$H$7)))</f>
        <v>13590.616158597393</v>
      </c>
      <c r="F53" s="103">
        <v>2</v>
      </c>
      <c r="G53" s="106">
        <f t="shared" si="1"/>
        <v>412712074904197.13</v>
      </c>
      <c r="I53" s="41">
        <f t="shared" si="2"/>
        <v>412712074904197.13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A880-96DE-4FC0-8F95-D954E4E9187D}">
  <dimension ref="A1:H75"/>
  <sheetViews>
    <sheetView topLeftCell="A24" workbookViewId="0">
      <selection activeCell="G37" sqref="G37:G54"/>
    </sheetView>
  </sheetViews>
  <sheetFormatPr defaultColWidth="9.1796875" defaultRowHeight="14.5" x14ac:dyDescent="0.35"/>
  <cols>
    <col min="1" max="1" width="14.7265625" style="9" bestFit="1" customWidth="1"/>
    <col min="2" max="3" width="24.81640625" style="9" bestFit="1" customWidth="1"/>
    <col min="4" max="4" width="24.7265625" style="9" bestFit="1" customWidth="1"/>
    <col min="5" max="6" width="13.54296875" style="9" bestFit="1" customWidth="1"/>
    <col min="7" max="7" width="16" style="9" bestFit="1" customWidth="1"/>
    <col min="8" max="8" width="12.81640625" style="9" customWidth="1"/>
    <col min="9" max="16384" width="9.1796875" style="9"/>
  </cols>
  <sheetData>
    <row r="1" spans="1:8" x14ac:dyDescent="0.35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</row>
    <row r="2" spans="1:8" x14ac:dyDescent="0.35">
      <c r="A2" s="9">
        <f>PI()</f>
        <v>3.1415926535897931</v>
      </c>
      <c r="B2" s="22">
        <f>1.66E-27*Tabella333178[[#This Row],[Massa '[g/mol']]]</f>
        <v>2.8264072999999999E-26</v>
      </c>
      <c r="C2" s="22">
        <v>1.3806490000000001E-23</v>
      </c>
      <c r="D2" s="22">
        <v>6.6260687599999996E-34</v>
      </c>
      <c r="E2" s="9">
        <v>8.3144626180000003</v>
      </c>
      <c r="F2" s="22">
        <v>6.0221410000000001E+23</v>
      </c>
      <c r="G2" s="22">
        <v>17.02655</v>
      </c>
      <c r="H2" s="9">
        <v>4</v>
      </c>
    </row>
    <row r="6" spans="1:8" ht="15" thickBot="1" x14ac:dyDescent="0.4">
      <c r="B6" s="24" t="s">
        <v>24</v>
      </c>
      <c r="C6" s="24" t="s">
        <v>25</v>
      </c>
      <c r="D6" s="24" t="s">
        <v>26</v>
      </c>
    </row>
    <row r="7" spans="1:8" ht="15" thickBot="1" x14ac:dyDescent="0.4">
      <c r="B7" s="89">
        <v>14.38284</v>
      </c>
      <c r="C7" s="14">
        <v>14.38133</v>
      </c>
      <c r="D7" s="15">
        <v>8.8985500000000002</v>
      </c>
    </row>
    <row r="8" spans="1:8" x14ac:dyDescent="0.35">
      <c r="A8" s="9" t="s">
        <v>23</v>
      </c>
      <c r="B8" s="9" t="s">
        <v>27</v>
      </c>
      <c r="C8" s="9" t="s">
        <v>28</v>
      </c>
      <c r="G8" s="22"/>
      <c r="H8" s="22"/>
    </row>
    <row r="9" spans="1:8" x14ac:dyDescent="0.35">
      <c r="A9" s="9">
        <v>1</v>
      </c>
      <c r="B9" s="9">
        <v>1</v>
      </c>
      <c r="C9" s="9">
        <v>0</v>
      </c>
      <c r="G9" s="22"/>
    </row>
    <row r="10" spans="1:8" x14ac:dyDescent="0.35">
      <c r="B10" s="9" t="s">
        <v>29</v>
      </c>
      <c r="C10" s="9" t="s">
        <v>30</v>
      </c>
      <c r="D10" s="9" t="s">
        <v>31</v>
      </c>
      <c r="E10" s="9" t="s">
        <v>32</v>
      </c>
      <c r="F10" s="9" t="s">
        <v>33</v>
      </c>
      <c r="G10" s="9" t="s">
        <v>34</v>
      </c>
    </row>
    <row r="11" spans="1:8" x14ac:dyDescent="0.35">
      <c r="B11" s="9">
        <v>998.66539999999998</v>
      </c>
      <c r="C11" s="16">
        <v>1673.3587</v>
      </c>
      <c r="D11" s="16">
        <v>1673.5979</v>
      </c>
      <c r="E11" s="16">
        <v>3485.6578</v>
      </c>
      <c r="F11" s="16">
        <v>3628.2183</v>
      </c>
      <c r="G11" s="16">
        <v>3629.2777999999998</v>
      </c>
    </row>
    <row r="12" spans="1:8" x14ac:dyDescent="0.35">
      <c r="B12" s="9" t="s">
        <v>29</v>
      </c>
      <c r="C12" s="9" t="s">
        <v>30</v>
      </c>
      <c r="D12" s="9" t="s">
        <v>31</v>
      </c>
      <c r="E12" s="9" t="s">
        <v>32</v>
      </c>
      <c r="F12" s="9" t="s">
        <v>33</v>
      </c>
      <c r="G12" s="9" t="s">
        <v>34</v>
      </c>
    </row>
    <row r="13" spans="1:8" x14ac:dyDescent="0.35">
      <c r="B13" s="9" cm="1">
        <f t="array" ref="B13">Tabella931473139[Frequenza1]*29979300000</f>
        <v>29939289626220</v>
      </c>
      <c r="C13" s="9" cm="1">
        <f t="array" ref="C13">Tabella931473139[Frequenza2]*29979300000</f>
        <v>50166122474910</v>
      </c>
      <c r="D13" s="9" cm="1">
        <f t="array" ref="D13">Tabella931473139[Frequenza3]*29979300000</f>
        <v>50173293523470</v>
      </c>
      <c r="E13" s="9" cm="1">
        <f t="array" ref="E13">Tabella931473139[Frequenza4]*29979300000</f>
        <v>104497580883540</v>
      </c>
      <c r="F13" s="9" cm="1">
        <f t="array" ref="F13">Tabella931473139[Frequenza5]*29979300000</f>
        <v>108771444881190</v>
      </c>
      <c r="G13" s="9" cm="1">
        <f t="array" ref="G13">Tabella931473139[Frequenza6]*29979300000</f>
        <v>108803207949540</v>
      </c>
    </row>
    <row r="14" spans="1:8" x14ac:dyDescent="0.35">
      <c r="A14" s="9" t="s">
        <v>38</v>
      </c>
      <c r="B14" s="9" t="s">
        <v>39</v>
      </c>
      <c r="C14" s="9" t="s">
        <v>40</v>
      </c>
      <c r="D14" s="9" t="s">
        <v>41</v>
      </c>
      <c r="E14" s="9" t="s">
        <v>42</v>
      </c>
      <c r="F14" s="9" t="s">
        <v>43</v>
      </c>
      <c r="G14" s="9" t="s">
        <v>44</v>
      </c>
      <c r="H14" s="26" t="s">
        <v>57</v>
      </c>
    </row>
    <row r="15" spans="1:8" x14ac:dyDescent="0.35">
      <c r="A15" s="9">
        <v>298.14999999999998</v>
      </c>
      <c r="B15" s="22" cm="1">
        <f t="array" ref="B15">1/(1-EXP(-(Tabella333178[Planck h]*Tabella9382236[Frequenza1])/(Tabella333178[Boltzmann k]*Tabella8372135[[#This Row],[Temperatura]])))</f>
        <v>1.0081385517850441</v>
      </c>
      <c r="C15" s="22" cm="1">
        <f t="array" ref="C15">1/(1-EXP(-(Tabella333178[Planck h]*Tabella9382236[Frequenza2])/(Tabella333178[Boltzmann k]*Tabella8372135[[#This Row],[Temperatura]])))</f>
        <v>1.0003112863149972</v>
      </c>
      <c r="D15" s="22" cm="1">
        <f t="array" ref="D15">1/(1-EXP(-(Tabella333178[Planck h]*Tabella9382236[Frequenza3])/(Tabella333178[Boltzmann k]*Tabella8372135[[#This Row],[Temperatura]])))</f>
        <v>1.0003109270913513</v>
      </c>
      <c r="E15" s="22" cm="1">
        <f t="array" ref="E15">1/(1-EXP(-(Tabella333178[Planck h]*Tabella9382236[Frequenza4])/(Tabella333178[Boltzmann k]*Tabella8372135[[#This Row],[Temperatura]])))</f>
        <v>1.0000000495293473</v>
      </c>
      <c r="F15" s="22" cm="1">
        <f t="array" ref="F15">1/(1-EXP(-(Tabella333178[Planck h]*Tabella9382236[Frequenza5])/(Tabella333178[Boltzmann k]*Tabella8372135[[#This Row],[Temperatura]])))</f>
        <v>1.0000000248936489</v>
      </c>
      <c r="G15" s="22" cm="1">
        <f t="array" ref="G15">1/(1-EXP(-(Tabella333178[Planck h]*Tabella9382236[Frequenza6])/(Tabella333178[Boltzmann k]*Tabella8372135[[#This Row],[Temperatura]])))</f>
        <v>1.0000000247666969</v>
      </c>
      <c r="H15" s="90">
        <f>PRODUCT(Tabella8372135[[#This Row],[Qvib1]:[Qvib6]])</f>
        <v>1.0087660267416649</v>
      </c>
    </row>
    <row r="16" spans="1:8" x14ac:dyDescent="0.35">
      <c r="A16" s="9">
        <v>400</v>
      </c>
      <c r="B16" s="22" cm="1">
        <f t="array" ref="B16">1/(1-EXP(-(Tabella333178[Planck h]*Tabella9382236[Frequenza1])/(Tabella333178[Boltzmann k]*Tabella8372135[[#This Row],[Temperatura]])))</f>
        <v>1.0283190086268852</v>
      </c>
      <c r="C16" s="22" cm="1">
        <f t="array" ref="C16">1/(1-EXP(-(Tabella333178[Planck h]*Tabella9382236[Frequenza2])/(Tabella333178[Boltzmann k]*Tabella8372135[[#This Row],[Temperatura]])))</f>
        <v>1.0024380687939256</v>
      </c>
      <c r="D16" s="22" cm="1">
        <f t="array" ref="D16">1/(1-EXP(-(Tabella333178[Planck h]*Tabella9382236[Frequenza3])/(Tabella333178[Boltzmann k]*Tabella8372135[[#This Row],[Temperatura]])))</f>
        <v>1.0024359668984948</v>
      </c>
      <c r="E16" s="22" cm="1">
        <f t="array" ref="E16">1/(1-EXP(-(Tabella333178[Planck h]*Tabella9382236[Frequenza4])/(Tabella333178[Boltzmann k]*Tabella8372135[[#This Row],[Temperatura]])))</f>
        <v>1.0000035886801755</v>
      </c>
      <c r="F16" s="22" cm="1">
        <f t="array" ref="F16">1/(1-EXP(-(Tabella333178[Planck h]*Tabella9382236[Frequenza5])/(Tabella333178[Boltzmann k]*Tabella8372135[[#This Row],[Temperatura]])))</f>
        <v>1.0000021489951461</v>
      </c>
      <c r="G16" s="22" cm="1">
        <f t="array" ref="G16">1/(1-EXP(-(Tabella333178[Planck h]*Tabella9382236[Frequenza6])/(Tabella333178[Boltzmann k]*Tabella8372135[[#This Row],[Temperatura]])))</f>
        <v>1.0000021408209661</v>
      </c>
      <c r="H16" s="90">
        <f>PRODUCT(Tabella8372135[[#This Row],[Qvib1]:[Qvib6]])</f>
        <v>1.0333453205849454</v>
      </c>
    </row>
    <row r="17" spans="1:8" x14ac:dyDescent="0.35">
      <c r="A17" s="9">
        <v>500</v>
      </c>
      <c r="B17" s="22" cm="1">
        <f t="array" ref="B17">1/(1-EXP(-(Tabella333178[Planck h]*Tabella9382236[Frequenza1])/(Tabella333178[Boltzmann k]*Tabella8372135[[#This Row],[Temperatura]])))</f>
        <v>1.0598705094636411</v>
      </c>
      <c r="C17" s="22" cm="1">
        <f t="array" ref="C17">1/(1-EXP(-(Tabella333178[Planck h]*Tabella9382236[Frequenza2])/(Tabella333178[Boltzmann k]*Tabella8372135[[#This Row],[Temperatura]])))</f>
        <v>1.0081719430376834</v>
      </c>
      <c r="D17" s="22" cm="1">
        <f t="array" ref="D17">1/(1-EXP(-(Tabella333178[Planck h]*Tabella9382236[Frequenza3])/(Tabella333178[Boltzmann k]*Tabella8372135[[#This Row],[Temperatura]])))</f>
        <v>1.0081662742087183</v>
      </c>
      <c r="E17" s="22" cm="1">
        <f t="array" ref="E17">1/(1-EXP(-(Tabella333178[Planck h]*Tabella9382236[Frequenza4])/(Tabella333178[Boltzmann k]*Tabella8372135[[#This Row],[Temperatura]])))</f>
        <v>1.0000440520059042</v>
      </c>
      <c r="F17" s="22" cm="1">
        <f t="array" ref="F17">1/(1-EXP(-(Tabella333178[Planck h]*Tabella9382236[Frequenza5])/(Tabella333178[Boltzmann k]*Tabella8372135[[#This Row],[Temperatura]])))</f>
        <v>1.0000292280804743</v>
      </c>
      <c r="G17" s="22" cm="1">
        <f t="array" ref="G17">1/(1-EXP(-(Tabella333178[Planck h]*Tabella9382236[Frequenza6])/(Tabella333178[Boltzmann k]*Tabella8372135[[#This Row],[Temperatura]])))</f>
        <v>1.0000291391037968</v>
      </c>
      <c r="H17" s="90">
        <f>PRODUCT(Tabella8372135[[#This Row],[Qvib1]:[Qvib6]])</f>
        <v>1.0773679693879958</v>
      </c>
    </row>
    <row r="18" spans="1:8" x14ac:dyDescent="0.35">
      <c r="A18" s="9">
        <v>600</v>
      </c>
      <c r="B18" s="22" cm="1">
        <f t="array" ref="B18">1/(1-EXP(-(Tabella333178[Planck h]*Tabella9382236[Frequenza1])/(Tabella333178[Boltzmann k]*Tabella8372135[[#This Row],[Temperatura]])))</f>
        <v>1.1003449809297812</v>
      </c>
      <c r="C18" s="22" cm="1">
        <f t="array" ref="C18">1/(1-EXP(-(Tabella333178[Planck h]*Tabella9382236[Frequenza2])/(Tabella333178[Boltzmann k]*Tabella8372135[[#This Row],[Temperatura]])))</f>
        <v>1.0184183973995269</v>
      </c>
      <c r="D18" s="22" cm="1">
        <f t="array" ref="D18">1/(1-EXP(-(Tabella333178[Planck h]*Tabella9382236[Frequenza3])/(Tabella333178[Boltzmann k]*Tabella8372135[[#This Row],[Temperatura]])))</f>
        <v>1.018407641344661</v>
      </c>
      <c r="E18" s="22" cm="1">
        <f t="array" ref="E18">1/(1-EXP(-(Tabella333178[Planck h]*Tabella9382236[Frequenza4])/(Tabella333178[Boltzmann k]*Tabella8372135[[#This Row],[Temperatura]])))</f>
        <v>1.0002344537992591</v>
      </c>
      <c r="F18" s="22" cm="1">
        <f t="array" ref="F18">1/(1-EXP(-(Tabella333178[Planck h]*Tabella9382236[Frequenza5])/(Tabella333178[Boltzmann k]*Tabella8372135[[#This Row],[Temperatura]])))</f>
        <v>1.0001665566572722</v>
      </c>
      <c r="G18" s="22" cm="1">
        <f t="array" ref="G18">1/(1-EXP(-(Tabella333178[Planck h]*Tabella9382236[Frequenza6])/(Tabella333178[Boltzmann k]*Tabella8372135[[#This Row],[Temperatura]])))</f>
        <v>1.0001661339629457</v>
      </c>
      <c r="H18" s="90">
        <f>PRODUCT(Tabella8372135[[#This Row],[Qvib1]:[Qvib6]])</f>
        <v>1.1418867561241977</v>
      </c>
    </row>
    <row r="19" spans="1:8" x14ac:dyDescent="0.35">
      <c r="A19" s="9">
        <v>700</v>
      </c>
      <c r="B19" s="22" cm="1">
        <f t="array" ref="B19">1/(1-EXP(-(Tabella333178[Planck h]*Tabella9382236[Frequenza1])/(Tabella333178[Boltzmann k]*Tabella8372135[[#This Row],[Temperatura]])))</f>
        <v>1.1473066962680243</v>
      </c>
      <c r="C19" s="22" cm="1">
        <f t="array" ref="C19">1/(1-EXP(-(Tabella333178[Planck h]*Tabella9382236[Frequenza2])/(Tabella333178[Boltzmann k]*Tabella8372135[[#This Row],[Temperatura]])))</f>
        <v>1.0331467617837691</v>
      </c>
      <c r="D19" s="22" cm="1">
        <f t="array" ref="D19">1/(1-EXP(-(Tabella333178[Planck h]*Tabella9382236[Frequenza3])/(Tabella333178[Boltzmann k]*Tabella8372135[[#This Row],[Temperatura]])))</f>
        <v>1.0331299293632326</v>
      </c>
      <c r="E19" s="22" cm="1">
        <f t="array" ref="E19">1/(1-EXP(-(Tabella333178[Planck h]*Tabella9382236[Frequenza4])/(Tabella333178[Boltzmann k]*Tabella8372135[[#This Row],[Temperatura]])))</f>
        <v>1.0007742288826944</v>
      </c>
      <c r="F19" s="22" cm="1">
        <f t="array" ref="F19">1/(1-EXP(-(Tabella333178[Planck h]*Tabella9382236[Frequenza5])/(Tabella333178[Boltzmann k]*Tabella8372135[[#This Row],[Temperatura]])))</f>
        <v>1.0005774675390819</v>
      </c>
      <c r="G19" s="22" cm="1">
        <f t="array" ref="G19">1/(1-EXP(-(Tabella333178[Planck h]*Tabella9382236[Frequenza6])/(Tabella333178[Boltzmann k]*Tabella8372135[[#This Row],[Temperatura]])))</f>
        <v>1.0005762106353386</v>
      </c>
      <c r="H19" s="90">
        <f>PRODUCT(Tabella8372135[[#This Row],[Qvib1]:[Qvib6]])</f>
        <v>1.2269687312934996</v>
      </c>
    </row>
    <row r="20" spans="1:8" x14ac:dyDescent="0.35">
      <c r="A20" s="9">
        <v>800</v>
      </c>
      <c r="B20" s="22" cm="1">
        <f t="array" ref="B20">1/(1-EXP(-(Tabella333178[Planck h]*Tabella9382236[Frequenza1])/(Tabella333178[Boltzmann k]*Tabella8372135[[#This Row],[Temperatura]])))</f>
        <v>1.1989676970967784</v>
      </c>
      <c r="C20" s="22" cm="1">
        <f t="array" ref="C20">1/(1-EXP(-(Tabella333178[Planck h]*Tabella9382236[Frequenza2])/(Tabella333178[Boltzmann k]*Tabella8372135[[#This Row],[Temperatura]])))</f>
        <v>1.0518750283825731</v>
      </c>
      <c r="D20" s="22" cm="1">
        <f t="array" ref="D20">1/(1-EXP(-(Tabella333178[Planck h]*Tabella9382236[Frequenza3])/(Tabella333178[Boltzmann k]*Tabella8372135[[#This Row],[Temperatura]])))</f>
        <v>1.0518515599155307</v>
      </c>
      <c r="E20" s="22" cm="1">
        <f t="array" ref="E20">1/(1-EXP(-(Tabella333178[Planck h]*Tabella9382236[Frequenza4])/(Tabella333178[Boltzmann k]*Tabella8372135[[#This Row],[Temperatura]])))</f>
        <v>1.0018979732911353</v>
      </c>
      <c r="F20" s="22" cm="1">
        <f t="array" ref="F20">1/(1-EXP(-(Tabella333178[Planck h]*Tabella9382236[Frequenza5])/(Tabella333178[Boltzmann k]*Tabella8372135[[#This Row],[Temperatura]])))</f>
        <v>1.0014680957078008</v>
      </c>
      <c r="G20" s="22" cm="1">
        <f t="array" ref="G20">1/(1-EXP(-(Tabella333178[Planck h]*Tabella9382236[Frequenza6])/(Tabella333178[Boltzmann k]*Tabella8372135[[#This Row],[Temperatura]])))</f>
        <v>1.0014652968445066</v>
      </c>
      <c r="H20" s="90">
        <f>PRODUCT(Tabella8372135[[#This Row],[Qvib1]:[Qvib6]])</f>
        <v>1.3329768398343047</v>
      </c>
    </row>
    <row r="21" spans="1:8" x14ac:dyDescent="0.35">
      <c r="A21" s="9">
        <v>900</v>
      </c>
      <c r="B21" s="22" cm="1">
        <f t="array" ref="B21">1/(1-EXP(-(Tabella333178[Planck h]*Tabella9382236[Frequenza1])/(Tabella333178[Boltzmann k]*Tabella8372135[[#This Row],[Temperatura]])))</f>
        <v>1.2540794764015057</v>
      </c>
      <c r="C21" s="22" cm="1">
        <f t="array" ref="C21">1/(1-EXP(-(Tabella333178[Planck h]*Tabella9382236[Frequenza2])/(Tabella333178[Boltzmann k]*Tabella8372135[[#This Row],[Temperatura]])))</f>
        <v>1.0739981023761049</v>
      </c>
      <c r="D21" s="22" cm="1">
        <f t="array" ref="D21">1/(1-EXP(-(Tabella333178[Planck h]*Tabella9382236[Frequenza3])/(Tabella333178[Boltzmann k]*Tabella8372135[[#This Row],[Temperatura]])))</f>
        <v>1.0739677186112468</v>
      </c>
      <c r="E21" s="22" cm="1">
        <f t="array" ref="E21">1/(1-EXP(-(Tabella333178[Planck h]*Tabella9382236[Frequenza4])/(Tabella333178[Boltzmann k]*Tabella8372135[[#This Row],[Temperatura]])))</f>
        <v>1.0038161416325935</v>
      </c>
      <c r="F21" s="22" cm="1">
        <f t="array" ref="F21">1/(1-EXP(-(Tabella333178[Planck h]*Tabella9382236[Frequenza5])/(Tabella333178[Boltzmann k]*Tabella8372135[[#This Row],[Temperatura]])))</f>
        <v>1.0030360551491078</v>
      </c>
      <c r="G21" s="22" cm="1">
        <f t="array" ref="G21">1/(1-EXP(-(Tabella333178[Planck h]*Tabella9382236[Frequenza6])/(Tabella333178[Boltzmann k]*Tabella8372135[[#This Row],[Temperatura]])))</f>
        <v>1.0030309015714993</v>
      </c>
      <c r="H21" s="90">
        <f>PRODUCT(Tabella8372135[[#This Row],[Qvib1]:[Qvib6]])</f>
        <v>1.4608473413020826</v>
      </c>
    </row>
    <row r="22" spans="1:8" x14ac:dyDescent="0.35">
      <c r="A22" s="9">
        <v>1000</v>
      </c>
      <c r="B22" s="22" cm="1">
        <f t="array" ref="B22">1/(1-EXP(-(Tabella333178[Planck h]*Tabella9382236[Frequenza1])/(Tabella333178[Boltzmann k]*Tabella8372135[[#This Row],[Temperatura]])))</f>
        <v>1.3117732434048932</v>
      </c>
      <c r="C22" s="22" cm="1">
        <f t="array" ref="C22">1/(1-EXP(-(Tabella333178[Planck h]*Tabella9382236[Frequenza2])/(Tabella333178[Boltzmann k]*Tabella8372135[[#This Row],[Temperatura]])))</f>
        <v>1.0989393583952587</v>
      </c>
      <c r="D22" s="22" cm="1">
        <f t="array" ref="D22">1/(1-EXP(-(Tabella333178[Planck h]*Tabella9382236[Frequenza3])/(Tabella333178[Boltzmann k]*Tabella8372135[[#This Row],[Temperatura]])))</f>
        <v>1.098901946593785</v>
      </c>
      <c r="E22" s="22" cm="1">
        <f t="array" ref="E22">1/(1-EXP(-(Tabella333178[Planck h]*Tabella9382236[Frequenza4])/(Tabella333178[Boltzmann k]*Tabella8372135[[#This Row],[Temperatura]])))</f>
        <v>1.0066813667101631</v>
      </c>
      <c r="F22" s="22" cm="1">
        <f t="array" ref="F22">1/(1-EXP(-(Tabella333178[Planck h]*Tabella9382236[Frequenza5])/(Tabella333178[Boltzmann k]*Tabella8372135[[#This Row],[Temperatura]])))</f>
        <v>1.0054356071603321</v>
      </c>
      <c r="G22" s="22" cm="1">
        <f t="array" ref="G22">1/(1-EXP(-(Tabella333178[Planck h]*Tabella9382236[Frequenza6])/(Tabella333178[Boltzmann k]*Tabella8372135[[#This Row],[Temperatura]])))</f>
        <v>1.0054272825702291</v>
      </c>
      <c r="H22" s="90">
        <f>PRODUCT(Tabella8372135[[#This Row],[Qvib1]:[Qvib6]])</f>
        <v>1.6120867044244005</v>
      </c>
    </row>
    <row r="23" spans="1:8" x14ac:dyDescent="0.35">
      <c r="A23" s="9">
        <v>1100</v>
      </c>
      <c r="B23" s="22" cm="1">
        <f t="array" ref="B23">1/(1-EXP(-(Tabella333178[Planck h]*Tabella9382236[Frequenza1])/(Tabella333178[Boltzmann k]*Tabella8372135[[#This Row],[Temperatura]])))</f>
        <v>1.3714368313187801</v>
      </c>
      <c r="C23" s="22" cm="1">
        <f t="array" ref="C23">1/(1-EXP(-(Tabella333178[Planck h]*Tabella9382236[Frequenza2])/(Tabella333178[Boltzmann k]*Tabella8372135[[#This Row],[Temperatura]])))</f>
        <v>1.1262021262301867</v>
      </c>
      <c r="D23" s="22" cm="1">
        <f t="array" ref="D23">1/(1-EXP(-(Tabella333178[Planck h]*Tabella9382236[Frequenza3])/(Tabella333178[Boltzmann k]*Tabella8372135[[#This Row],[Temperatura]])))</f>
        <v>1.1261576671404272</v>
      </c>
      <c r="E23" s="22" cm="1">
        <f t="array" ref="E23">1/(1-EXP(-(Tabella333178[Planck h]*Tabella9382236[Frequenza4])/(Tabella333178[Boltzmann k]*Tabella8372135[[#This Row],[Temperatura]])))</f>
        <v>1.0105814954545118</v>
      </c>
      <c r="F23" s="22" cm="1">
        <f t="array" ref="F23">1/(1-EXP(-(Tabella333178[Planck h]*Tabella9382236[Frequenza5])/(Tabella333178[Boltzmann k]*Tabella8372135[[#This Row],[Temperatura]])))</f>
        <v>1.0087656606614437</v>
      </c>
      <c r="G23" s="22" cm="1">
        <f t="array" ref="G23">1/(1-EXP(-(Tabella333178[Planck h]*Tabella9382236[Frequenza6])/(Tabella333178[Boltzmann k]*Tabella8372135[[#This Row],[Temperatura]])))</f>
        <v>1.0087534153114459</v>
      </c>
      <c r="H23" s="90">
        <f>PRODUCT(Tabella8372135[[#This Row],[Qvib1]:[Qvib6]])</f>
        <v>1.7887020281733943</v>
      </c>
    </row>
    <row r="24" spans="1:8" x14ac:dyDescent="0.35">
      <c r="A24" s="9">
        <v>1200</v>
      </c>
      <c r="B24" s="22" cm="1">
        <f t="array" ref="B24">1/(1-EXP(-(Tabella333178[Planck h]*Tabella9382236[Frequenza1])/(Tabella333178[Boltzmann k]*Tabella8372135[[#This Row],[Temperatura]])))</f>
        <v>1.4326311469487407</v>
      </c>
      <c r="C24" s="22" cm="1">
        <f t="array" ref="C24">1/(1-EXP(-(Tabella333178[Planck h]*Tabella9382236[Frequenza2])/(Tabella333178[Boltzmann k]*Tabella8372135[[#This Row],[Temperatura]])))</f>
        <v>1.1553769121486797</v>
      </c>
      <c r="D24" s="22" cm="1">
        <f t="array" ref="D24">1/(1-EXP(-(Tabella333178[Planck h]*Tabella9382236[Frequenza3])/(Tabella333178[Boltzmann k]*Tabella8372135[[#This Row],[Temperatura]])))</f>
        <v>1.1553254364062766</v>
      </c>
      <c r="E24" s="22" cm="1">
        <f t="array" ref="E24">1/(1-EXP(-(Tabella333178[Planck h]*Tabella9382236[Frequenza4])/(Tabella333178[Boltzmann k]*Tabella8372135[[#This Row],[Temperatura]])))</f>
        <v>1.0155481329079266</v>
      </c>
      <c r="F24" s="22" cm="1">
        <f t="array" ref="F24">1/(1-EXP(-(Tabella333178[Planck h]*Tabella9382236[Frequenza5])/(Tabella333178[Boltzmann k]*Tabella8372135[[#This Row],[Temperatura]])))</f>
        <v>1.013073314514773</v>
      </c>
      <c r="G24" s="22" cm="1">
        <f t="array" ref="G24">1/(1-EXP(-(Tabella333178[Planck h]*Tabella9382236[Frequenza6])/(Tabella333178[Boltzmann k]*Tabella8372135[[#This Row],[Temperatura]])))</f>
        <v>1.0130565010422559</v>
      </c>
      <c r="H24" s="90">
        <f>PRODUCT(Tabella8372135[[#This Row],[Qvib1]:[Qvib6]])</f>
        <v>1.9931384374274099</v>
      </c>
    </row>
    <row r="25" spans="1:8" x14ac:dyDescent="0.35">
      <c r="A25" s="9">
        <v>1300</v>
      </c>
      <c r="B25" s="22" cm="1">
        <f t="array" ref="B25">1/(1-EXP(-(Tabella333178[Planck h]*Tabella9382236[Frequenza1])/(Tabella333178[Boltzmann k]*Tabella8372135[[#This Row],[Temperatura]])))</f>
        <v>1.4950352143634196</v>
      </c>
      <c r="C25" s="22" cm="1">
        <f t="array" ref="C25">1/(1-EXP(-(Tabella333178[Planck h]*Tabella9382236[Frequenza2])/(Tabella333178[Boltzmann k]*Tabella8372135[[#This Row],[Temperatura]])))</f>
        <v>1.1861323653264939</v>
      </c>
      <c r="D25" s="22" cm="1">
        <f t="array" ref="D25">1/(1-EXP(-(Tabella333178[Planck h]*Tabella9382236[Frequenza3])/(Tabella333178[Boltzmann k]*Tabella8372135[[#This Row],[Temperatura]])))</f>
        <v>1.1860739282962176</v>
      </c>
      <c r="E25" s="22" cm="1">
        <f t="array" ref="E25">1/(1-EXP(-(Tabella333178[Planck h]*Tabella9382236[Frequenza4])/(Tabella333178[Boltzmann k]*Tabella8372135[[#This Row],[Temperatura]])))</f>
        <v>1.0215706502419537</v>
      </c>
      <c r="F25" s="22" cm="1">
        <f t="array" ref="F25">1/(1-EXP(-(Tabella333178[Planck h]*Tabella9382236[Frequenza5])/(Tabella333178[Boltzmann k]*Tabella8372135[[#This Row],[Temperatura]])))</f>
        <v>1.0183643405481717</v>
      </c>
      <c r="G25" s="22" cm="1">
        <f t="array" ref="G25">1/(1-EXP(-(Tabella333178[Planck h]*Tabella9382236[Frequenza6])/(Tabella333178[Boltzmann k]*Tabella8372135[[#This Row],[Temperatura]])))</f>
        <v>1.0183424242942234</v>
      </c>
      <c r="H25" s="90">
        <f>PRODUCT(Tabella8372135[[#This Row],[Qvib1]:[Qvib6]])</f>
        <v>2.2282389718311455</v>
      </c>
    </row>
    <row r="26" spans="1:8" x14ac:dyDescent="0.35">
      <c r="A26" s="9">
        <v>1400</v>
      </c>
      <c r="B26" s="22" cm="1">
        <f t="array" ref="B26">1/(1-EXP(-(Tabella333178[Planck h]*Tabella9382236[Frequenza1])/(Tabella333178[Boltzmann k]*Tabella8372135[[#This Row],[Temperatura]])))</f>
        <v>1.5584100397638228</v>
      </c>
      <c r="C26" s="22" cm="1">
        <f t="array" ref="C26">1/(1-EXP(-(Tabella333178[Planck h]*Tabella9382236[Frequenza2])/(Tabella333178[Boltzmann k]*Tabella8372135[[#This Row],[Temperatura]])))</f>
        <v>1.2182020767588297</v>
      </c>
      <c r="D26" s="22" cm="1">
        <f t="array" ref="D26">1/(1-EXP(-(Tabella333178[Planck h]*Tabella9382236[Frequenza3])/(Tabella333178[Boltzmann k]*Tabella8372135[[#This Row],[Temperatura]])))</f>
        <v>1.2181367443264806</v>
      </c>
      <c r="E26" s="22" cm="1">
        <f t="array" ref="E26">1/(1-EXP(-(Tabella333178[Planck h]*Tabella9382236[Frequenza4])/(Tabella333178[Boltzmann k]*Tabella8372135[[#This Row],[Temperatura]])))</f>
        <v>1.0286099669375255</v>
      </c>
      <c r="F26" s="22" cm="1">
        <f t="array" ref="F26">1/(1-EXP(-(Tabella333178[Planck h]*Tabella9382236[Frequenza5])/(Tabella333178[Boltzmann k]*Tabella8372135[[#This Row],[Temperatura]])))</f>
        <v>1.0246149592518308</v>
      </c>
      <c r="G26" s="22" cm="1">
        <f t="array" ref="G26">1/(1-EXP(-(Tabella333178[Planck h]*Tabella9382236[Frequenza6])/(Tabella333178[Boltzmann k]*Tabella8372135[[#This Row],[Temperatura]])))</f>
        <v>1.0245875132662849</v>
      </c>
      <c r="H26" s="90">
        <f>PRODUCT(Tabella8372135[[#This Row],[Qvib1]:[Qvib6]])</f>
        <v>2.4972245498869325</v>
      </c>
    </row>
    <row r="27" spans="1:8" x14ac:dyDescent="0.35">
      <c r="A27" s="9">
        <v>1500</v>
      </c>
      <c r="B27" s="22" cm="1">
        <f t="array" ref="B27">1/(1-EXP(-(Tabella333178[Planck h]*Tabella9382236[Frequenza1])/(Tabella333178[Boltzmann k]*Tabella8372135[[#This Row],[Temperatura]])))</f>
        <v>1.6225745770821729</v>
      </c>
      <c r="C27" s="22" cm="1">
        <f t="array" ref="C27">1/(1-EXP(-(Tabella333178[Planck h]*Tabella9382236[Frequenza2])/(Tabella333178[Boltzmann k]*Tabella8372135[[#This Row],[Temperatura]])))</f>
        <v>1.2513718362350146</v>
      </c>
      <c r="D27" s="22" cm="1">
        <f t="array" ref="D27">1/(1-EXP(-(Tabella333178[Planck h]*Tabella9382236[Frequenza3])/(Tabella333178[Boltzmann k]*Tabella8372135[[#This Row],[Temperatura]])))</f>
        <v>1.2512996769553244</v>
      </c>
      <c r="E27" s="22" cm="1">
        <f t="array" ref="E27">1/(1-EXP(-(Tabella333178[Planck h]*Tabella9382236[Frequenza4])/(Tabella333178[Boltzmann k]*Tabella8372135[[#This Row],[Temperatura]])))</f>
        <v>1.0366098122202803</v>
      </c>
      <c r="F27" s="22" cm="1">
        <f t="array" ref="F27">1/(1-EXP(-(Tabella333178[Planck h]*Tabella9382236[Frequenza5])/(Tabella333178[Boltzmann k]*Tabella8372135[[#This Row],[Temperatura]])))</f>
        <v>1.0317821956220954</v>
      </c>
      <c r="G27" s="22" cm="1">
        <f t="array" ref="G27">1/(1-EXP(-(Tabella333178[Planck h]*Tabella9382236[Frequenza6])/(Tabella333178[Boltzmann k]*Tabella8372135[[#This Row],[Temperatura]])))</f>
        <v>1.0317488881944703</v>
      </c>
      <c r="H27" s="90">
        <f>PRODUCT(Tabella8372135[[#This Row],[Qvib1]:[Qvib6]])</f>
        <v>2.8036883064778868</v>
      </c>
    </row>
    <row r="28" spans="1:8" x14ac:dyDescent="0.35">
      <c r="A28" s="9">
        <v>1600</v>
      </c>
      <c r="B28" s="22" cm="1">
        <f t="array" ref="B28">1/(1-EXP(-(Tabella333178[Planck h]*Tabella9382236[Frequenza1])/(Tabella333178[Boltzmann k]*Tabella8372135[[#This Row],[Temperatura]])))</f>
        <v>1.6873894836550503</v>
      </c>
      <c r="C28" s="22" cm="1">
        <f t="array" ref="C28">1/(1-EXP(-(Tabella333178[Planck h]*Tabella9382236[Frequenza2])/(Tabella333178[Boltzmann k]*Tabella8372135[[#This Row],[Temperatura]])))</f>
        <v>1.2854687931800646</v>
      </c>
      <c r="D28" s="22" cm="1">
        <f t="array" ref="D28">1/(1-EXP(-(Tabella333178[Planck h]*Tabella9382236[Frequenza3])/(Tabella333178[Boltzmann k]*Tabella8372135[[#This Row],[Temperatura]])))</f>
        <v>1.2853898740766225</v>
      </c>
      <c r="E28" s="22" cm="1">
        <f t="array" ref="E28">1/(1-EXP(-(Tabella333178[Planck h]*Tabella9382236[Frequenza4])/(Tabella333178[Boltzmann k]*Tabella8372135[[#This Row],[Temperatura]])))</f>
        <v>1.0455050322810402</v>
      </c>
      <c r="F28" s="22" cm="1">
        <f t="array" ref="F28">1/(1-EXP(-(Tabella333178[Planck h]*Tabella9382236[Frequenza5])/(Tabella333178[Boltzmann k]*Tabella8372135[[#This Row],[Temperatura]])))</f>
        <v>1.0398119480547938</v>
      </c>
      <c r="G28" s="22" cm="1">
        <f t="array" ref="G28">1/(1-EXP(-(Tabella333178[Planck h]*Tabella9382236[Frequenza6])/(Tabella333178[Boltzmann k]*Tabella8372135[[#This Row],[Temperatura]])))</f>
        <v>1.0397725277461152</v>
      </c>
      <c r="H28" s="90">
        <f>PRODUCT(Tabella8372135[[#This Row],[Qvib1]:[Qvib6]])</f>
        <v>3.1515994782260397</v>
      </c>
    </row>
    <row r="29" spans="1:8" x14ac:dyDescent="0.35">
      <c r="A29" s="9">
        <v>1700</v>
      </c>
      <c r="B29" s="22" cm="1">
        <f t="array" ref="B29">1/(1-EXP(-(Tabella333178[Planck h]*Tabella9382236[Frequenza1])/(Tabella333178[Boltzmann k]*Tabella8372135[[#This Row],[Temperatura]])))</f>
        <v>1.7527459478441521</v>
      </c>
      <c r="C29" s="22" cm="1">
        <f t="array" ref="C29">1/(1-EXP(-(Tabella333178[Planck h]*Tabella9382236[Frequenza2])/(Tabella333178[Boltzmann k]*Tabella8372135[[#This Row],[Temperatura]])))</f>
        <v>1.3203527168951255</v>
      </c>
      <c r="D29" s="22" cm="1">
        <f t="array" ref="D29">1/(1-EXP(-(Tabella333178[Planck h]*Tabella9382236[Frequenza3])/(Tabella333178[Boltzmann k]*Tabella8372135[[#This Row],[Temperatura]])))</f>
        <v>1.3202671013450624</v>
      </c>
      <c r="E29" s="22" cm="1">
        <f t="array" ref="E29">1/(1-EXP(-(Tabella333178[Planck h]*Tabella9382236[Frequenza4])/(Tabella333178[Boltzmann k]*Tabella8372135[[#This Row],[Temperatura]])))</f>
        <v>1.0552273024013989</v>
      </c>
      <c r="F29" s="22" cm="1">
        <f t="array" ref="F29">1/(1-EXP(-(Tabella333178[Planck h]*Tabella9382236[Frequenza5])/(Tabella333178[Boltzmann k]*Tabella8372135[[#This Row],[Temperatura]])))</f>
        <v>1.0486448121460152</v>
      </c>
      <c r="G29" s="22" cm="1">
        <f t="array" ref="G29">1/(1-EXP(-(Tabella333178[Planck h]*Tabella9382236[Frequenza6])/(Tabella333178[Boltzmann k]*Tabella8372135[[#This Row],[Temperatura]])))</f>
        <v>1.0485990930651441</v>
      </c>
      <c r="H29" s="90">
        <f>PRODUCT(Tabella8372135[[#This Row],[Qvib1]:[Qvib6]])</f>
        <v>3.5453135176625161</v>
      </c>
    </row>
    <row r="30" spans="1:8" x14ac:dyDescent="0.35">
      <c r="A30" s="9">
        <v>1800</v>
      </c>
      <c r="B30" s="22" cm="1">
        <f t="array" ref="B30">1/(1-EXP(-(Tabella333178[Planck h]*Tabella9382236[Frequenza1])/(Tabella333178[Boltzmann k]*Tabella8372135[[#This Row],[Temperatura]])))</f>
        <v>1.8185578699029483</v>
      </c>
      <c r="C30" s="22" cm="1">
        <f t="array" ref="C30">1/(1-EXP(-(Tabella333178[Planck h]*Tabella9382236[Frequenza2])/(Tabella333178[Boltzmann k]*Tabella8372135[[#This Row],[Temperatura]])))</f>
        <v>1.3559091194211459</v>
      </c>
      <c r="D30" s="22" cm="1">
        <f t="array" ref="D30">1/(1-EXP(-(Tabella333178[Planck h]*Tabella9382236[Frequenza3])/(Tabella333178[Boltzmann k]*Tabella8372135[[#This Row],[Temperatura]])))</f>
        <v>1.3558168662200336</v>
      </c>
      <c r="E30" s="22" cm="1">
        <f t="array" ref="E30">1/(1-EXP(-(Tabella333178[Planck h]*Tabella9382236[Frequenza4])/(Tabella333178[Boltzmann k]*Tabella8372135[[#This Row],[Temperatura]])))</f>
        <v>1.0657088275458209</v>
      </c>
      <c r="F30" s="22" cm="1">
        <f t="array" ref="F30">1/(1-EXP(-(Tabella333178[Planck h]*Tabella9382236[Frequenza5])/(Tabella333178[Boltzmann k]*Tabella8372135[[#This Row],[Temperatura]])))</f>
        <v>1.0582200453996884</v>
      </c>
      <c r="G30" s="22" cm="1">
        <f t="array" ref="G30">1/(1-EXP(-(Tabella333178[Planck h]*Tabella9382236[Frequenza6])/(Tabella333178[Boltzmann k]*Tabella8372135[[#This Row],[Temperatura]])))</f>
        <v>1.0581678940160952</v>
      </c>
      <c r="H30" s="90">
        <f>PRODUCT(Tabella8372135[[#This Row],[Qvib1]:[Qvib6]])</f>
        <v>3.9895863291178131</v>
      </c>
    </row>
    <row r="31" spans="1:8" x14ac:dyDescent="0.35">
      <c r="A31" s="9">
        <v>1900</v>
      </c>
      <c r="B31" s="22" cm="1">
        <f t="array" ref="B31">1/(1-EXP(-(Tabella333178[Planck h]*Tabella9382236[Frequenza1])/(Tabella333178[Boltzmann k]*Tabella8372135[[#This Row],[Temperatura]])))</f>
        <v>1.8847562971318388</v>
      </c>
      <c r="C31" s="22" cm="1">
        <f t="array" ref="C31">1/(1-EXP(-(Tabella333178[Planck h]*Tabella9382236[Frequenza2])/(Tabella333178[Boltzmann k]*Tabella8372135[[#This Row],[Temperatura]])))</f>
        <v>1.3920439001253655</v>
      </c>
      <c r="D31" s="22" cm="1">
        <f t="array" ref="D31">1/(1-EXP(-(Tabella333178[Planck h]*Tabella9382236[Frequenza3])/(Tabella333178[Boltzmann k]*Tabella8372135[[#This Row],[Temperatura]])))</f>
        <v>1.3919450632102464</v>
      </c>
      <c r="E31" s="22" cm="1">
        <f t="array" ref="E31">1/(1-EXP(-(Tabella333178[Planck h]*Tabella9382236[Frequenza4])/(Tabella333178[Boltzmann k]*Tabella8372135[[#This Row],[Temperatura]])))</f>
        <v>1.0768845912064129</v>
      </c>
      <c r="F31" s="22" cm="1">
        <f t="array" ref="F31">1/(1-EXP(-(Tabella333178[Planck h]*Tabella9382236[Frequenza5])/(Tabella333178[Boltzmann k]*Tabella8372135[[#This Row],[Temperatura]])))</f>
        <v>1.0684781225813922</v>
      </c>
      <c r="G31" s="22" cm="1">
        <f t="array" ref="G31">1/(1-EXP(-(Tabella333178[Planck h]*Tabella9382236[Frequenza6])/(Tabella333178[Boltzmann k]*Tabella8372135[[#This Row],[Temperatura]])))</f>
        <v>1.0684194465238854</v>
      </c>
      <c r="H31" s="90">
        <f>PRODUCT(Tabella8372135[[#This Row],[Qvib1]:[Qvib6]])</f>
        <v>4.48959133179613</v>
      </c>
    </row>
    <row r="32" spans="1:8" x14ac:dyDescent="0.35">
      <c r="A32" s="9">
        <v>2000</v>
      </c>
      <c r="B32" s="22" cm="1">
        <f t="array" ref="B32">1/(1-EXP(-(Tabella333178[Planck h]*Tabella9382236[Frequenza1])/(Tabella333178[Boltzmann k]*Tabella8372135[[#This Row],[Temperatura]])))</f>
        <v>1.951285400215145</v>
      </c>
      <c r="C32" s="22" cm="1">
        <f t="array" ref="C32">1/(1-EXP(-(Tabella333178[Planck h]*Tabella9382236[Frequenza2])/(Tabella333178[Boltzmann k]*Tabella8372135[[#This Row],[Temperatura]])))</f>
        <v>1.4286791877075882</v>
      </c>
      <c r="D32" s="22" cm="1">
        <f t="array" ref="D32">1/(1-EXP(-(Tabella333178[Planck h]*Tabella9382236[Frequenza3])/(Tabella333178[Boltzmann k]*Tabella8372135[[#This Row],[Temperatura]])))</f>
        <v>1.4285738162366541</v>
      </c>
      <c r="E32" s="22" cm="1">
        <f t="array" ref="E32">1/(1-EXP(-(Tabella333178[Planck h]*Tabella9382236[Frequenza4])/(Tabella333178[Boltzmann k]*Tabella8372135[[#This Row],[Temperatura]])))</f>
        <v>1.0886936058655399</v>
      </c>
      <c r="F32" s="22" cm="1">
        <f t="array" ref="F32">1/(1-EXP(-(Tabella333178[Planck h]*Tabella9382236[Frequenza5])/(Tabella333178[Boltzmann k]*Tabella8372135[[#This Row],[Temperatura]])))</f>
        <v>1.0793622801920155</v>
      </c>
      <c r="G32" s="22" cm="1">
        <f t="array" ref="G32">1/(1-EXP(-(Tabella333178[Planck h]*Tabella9382236[Frequenza6])/(Tabella333178[Boltzmann k]*Tabella8372135[[#This Row],[Temperatura]])))</f>
        <v>1.079297019041441</v>
      </c>
      <c r="H32" s="90">
        <f>PRODUCT(Tabella8372135[[#This Row],[Qvib1]:[Qvib6]])</f>
        <v>5.0509385618217548</v>
      </c>
    </row>
    <row r="35" spans="1:8" ht="15" thickBot="1" x14ac:dyDescent="0.4">
      <c r="B35" s="45"/>
      <c r="E35" s="22"/>
      <c r="F35" s="22"/>
      <c r="G35" s="22"/>
      <c r="H35" s="22"/>
    </row>
    <row r="36" spans="1:8" ht="15" thickBot="1" x14ac:dyDescent="0.4">
      <c r="A36" s="91" t="s">
        <v>38</v>
      </c>
      <c r="B36" s="92" t="s">
        <v>55</v>
      </c>
      <c r="C36" s="92" t="s">
        <v>56</v>
      </c>
      <c r="D36" s="92" t="s">
        <v>57</v>
      </c>
      <c r="E36" s="92" t="s">
        <v>58</v>
      </c>
      <c r="F36" s="92" t="s">
        <v>59</v>
      </c>
      <c r="G36" s="93" t="s">
        <v>48</v>
      </c>
    </row>
    <row r="37" spans="1:8" x14ac:dyDescent="0.35">
      <c r="A37" s="56">
        <v>298.14999999999998</v>
      </c>
      <c r="B37" s="58" cm="1">
        <f t="array" ref="B37">(Tabella333178[Boltzmann k]*A37)/101325</f>
        <v>4.0625758633111278E-26</v>
      </c>
      <c r="C37" s="58" cm="1">
        <f t="array" ref="C37">POWER((2*Tabella333178[Pi Greco]*Tabella333178[Massa '[kg']]*Tabella333178[Boltzmann k]*A37)/(POWER(Tabella333178[Planck h],2)),1.5)*B37</f>
        <v>2760150.3230633987</v>
      </c>
      <c r="D37" s="58">
        <f>H15</f>
        <v>1.0087660267416649</v>
      </c>
      <c r="E37" s="58" cm="1">
        <f t="array" ref="E37">((SQRT(PI())/Tabella6362033[Simmetria]))*(SQRT(POWER(A37,3)/PRODUCT($B$7,$C$7,$D$7)))</f>
        <v>212.68932050825674</v>
      </c>
      <c r="F37" s="57">
        <v>1</v>
      </c>
      <c r="G37" s="94">
        <f>C37*D37*E37*F37</f>
        <v>592200632.13000047</v>
      </c>
    </row>
    <row r="38" spans="1:8" x14ac:dyDescent="0.35">
      <c r="A38" s="3">
        <v>400</v>
      </c>
      <c r="B38" s="58" cm="1">
        <f t="array" ref="B38">(Tabella333178[Boltzmann k]*A38)/101325</f>
        <v>5.4503784850727862E-26</v>
      </c>
      <c r="C38" s="58" cm="1">
        <f t="array" ref="C38">POWER((2*Tabella333178[Pi Greco]*Tabella333178[Massa '[kg']]*Tabella333178[Boltzmann k]*A38)/(POWER(Tabella333178[Planck h],2)),1.5)*B38</f>
        <v>5754342.1248381846</v>
      </c>
      <c r="D38" s="58">
        <f t="shared" ref="D38:D54" si="0">H16</f>
        <v>1.0333453205849454</v>
      </c>
      <c r="E38" s="58" cm="1">
        <f t="array" ref="E38">((SQRT(PI())/Tabella6362033[Simmetria]))*(SQRT(POWER(A38,3)/PRODUCT($B$7,$C$7,$D$7)))</f>
        <v>330.50912185521594</v>
      </c>
      <c r="F38" s="57">
        <v>1</v>
      </c>
      <c r="G38" s="94">
        <f t="shared" ref="G38:G54" si="1">C38*D38*E38*F38</f>
        <v>1965280779.3909726</v>
      </c>
      <c r="H38" s="22"/>
    </row>
    <row r="39" spans="1:8" x14ac:dyDescent="0.35">
      <c r="A39" s="3">
        <v>500</v>
      </c>
      <c r="B39" s="58" cm="1">
        <f t="array" ref="B39">(Tabella333178[Boltzmann k]*A39)/101325</f>
        <v>6.8129731063409828E-26</v>
      </c>
      <c r="C39" s="58" cm="1">
        <f t="array" ref="C39">POWER((2*Tabella333178[Pi Greco]*Tabella333178[Massa '[kg']]*Tabella333178[Boltzmann k]*A39)/(POWER(Tabella333178[Planck h],2)),1.5)*B39</f>
        <v>10052421.997600652</v>
      </c>
      <c r="D39" s="58">
        <f t="shared" si="0"/>
        <v>1.0773679693879958</v>
      </c>
      <c r="E39" s="58" cm="1">
        <f t="array" ref="E39">((SQRT(PI())/Tabella6362033[Simmetria]))*(SQRT(POWER(A39,3)/PRODUCT($B$7,$C$7,$D$7)))</f>
        <v>461.90053978251518</v>
      </c>
      <c r="F39" s="57">
        <v>1</v>
      </c>
      <c r="G39" s="94">
        <f t="shared" si="1"/>
        <v>5002455583.6257839</v>
      </c>
      <c r="H39" s="22"/>
    </row>
    <row r="40" spans="1:8" x14ac:dyDescent="0.35">
      <c r="A40" s="3">
        <v>600</v>
      </c>
      <c r="B40" s="58" cm="1">
        <f t="array" ref="B40">(Tabella333178[Boltzmann k]*A40)/101325</f>
        <v>8.1755677276091782E-26</v>
      </c>
      <c r="C40" s="58" cm="1">
        <f t="array" ref="C40">POWER((2*Tabella333178[Pi Greco]*Tabella333178[Massa '[kg']]*Tabella333178[Boltzmann k]*A40)/(POWER(Tabella333178[Planck h],2)),1.5)*B40</f>
        <v>15857102.262663225</v>
      </c>
      <c r="D40" s="58">
        <f t="shared" si="0"/>
        <v>1.1418867561241977</v>
      </c>
      <c r="E40" s="58" cm="1">
        <f t="array" ref="E40">((SQRT(PI())/Tabella6362033[Simmetria]))*(SQRT(POWER(A40,3)/PRODUCT($B$7,$C$7,$D$7)))</f>
        <v>607.18402791047026</v>
      </c>
      <c r="F40" s="57">
        <v>1</v>
      </c>
      <c r="G40" s="94">
        <f t="shared" si="1"/>
        <v>10994290340.142132</v>
      </c>
      <c r="H40" s="22"/>
    </row>
    <row r="41" spans="1:8" x14ac:dyDescent="0.35">
      <c r="A41" s="3">
        <v>700</v>
      </c>
      <c r="B41" s="58" cm="1">
        <f t="array" ref="B41">(Tabella333178[Boltzmann k]*A41)/101325</f>
        <v>9.5381623488773759E-26</v>
      </c>
      <c r="C41" s="58" cm="1">
        <f t="array" ref="C41">POWER((2*Tabella333178[Pi Greco]*Tabella333178[Massa '[kg']]*Tabella333178[Boltzmann k]*A41)/(POWER(Tabella333178[Planck h],2)),1.5)*B41</f>
        <v>23312604.776066955</v>
      </c>
      <c r="D41" s="58">
        <f t="shared" si="0"/>
        <v>1.2269687312934996</v>
      </c>
      <c r="E41" s="58" cm="1">
        <f t="array" ref="E41">((SQRT(PI())/Tabella6362033[Simmetria]))*(SQRT(POWER(A41,3)/PRODUCT($B$7,$C$7,$D$7)))</f>
        <v>765.13932465883875</v>
      </c>
      <c r="F41" s="57">
        <v>1</v>
      </c>
      <c r="G41" s="94">
        <f t="shared" si="1"/>
        <v>21885920605.35297</v>
      </c>
      <c r="H41" s="22"/>
    </row>
    <row r="42" spans="1:8" x14ac:dyDescent="0.35">
      <c r="A42" s="3">
        <v>800</v>
      </c>
      <c r="B42" s="58" cm="1">
        <f t="array" ref="B42">(Tabella333178[Boltzmann k]*A42)/101325</f>
        <v>1.0900756970145572E-25</v>
      </c>
      <c r="C42" s="58" cm="1">
        <f t="array" ref="C42">POWER((2*Tabella333178[Pi Greco]*Tabella333178[Massa '[kg']]*Tabella333178[Boltzmann k]*A42)/(POWER(Tabella333178[Planck h],2)),1.5)*B42</f>
        <v>32551474.701923527</v>
      </c>
      <c r="D42" s="58">
        <f t="shared" si="0"/>
        <v>1.3329768398343047</v>
      </c>
      <c r="E42" s="58" cm="1">
        <f t="array" ref="E42">((SQRT(PI())/Tabella6362033[Simmetria]))*(SQRT(POWER(A42,3)/PRODUCT($B$7,$C$7,$D$7)))</f>
        <v>934.82096523133669</v>
      </c>
      <c r="F42" s="57">
        <v>1</v>
      </c>
      <c r="G42" s="94">
        <f t="shared" si="1"/>
        <v>40562219974.507347</v>
      </c>
      <c r="H42" s="22"/>
    </row>
    <row r="43" spans="1:8" x14ac:dyDescent="0.35">
      <c r="A43" s="3">
        <v>900</v>
      </c>
      <c r="B43" s="58" cm="1">
        <f t="array" ref="B43">(Tabella333178[Boltzmann k]*A43)/101325</f>
        <v>1.2263351591413768E-25</v>
      </c>
      <c r="C43" s="58" cm="1">
        <f t="array" ref="C43">POWER((2*Tabella333178[Pi Greco]*Tabella333178[Massa '[kg']]*Tabella333178[Boltzmann k]*A43)/(POWER(Tabella333178[Planck h],2)),1.5)*B43</f>
        <v>43697035.51049003</v>
      </c>
      <c r="D43" s="58">
        <f t="shared" si="0"/>
        <v>1.4608473413020826</v>
      </c>
      <c r="E43" s="58" cm="1">
        <f t="array" ref="E43">((SQRT(PI())/Tabella6362033[Simmetria]))*(SQRT(POWER(A43,3)/PRODUCT($B$7,$C$7,$D$7)))</f>
        <v>1115.468286261354</v>
      </c>
      <c r="F43" s="57">
        <v>1</v>
      </c>
      <c r="G43" s="94">
        <f t="shared" si="1"/>
        <v>71205581347.475006</v>
      </c>
      <c r="H43" s="22"/>
    </row>
    <row r="44" spans="1:8" x14ac:dyDescent="0.35">
      <c r="A44" s="3">
        <v>1000</v>
      </c>
      <c r="B44" s="58" cm="1">
        <f t="array" ref="B44">(Tabella333178[Boltzmann k]*A44)/101325</f>
        <v>1.3625946212681966E-25</v>
      </c>
      <c r="C44" s="58" cm="1">
        <f t="array" ref="C44">POWER((2*Tabella333178[Pi Greco]*Tabella333178[Massa '[kg']]*Tabella333178[Boltzmann k]*A44)/(POWER(Tabella333178[Planck h],2)),1.5)*B44</f>
        <v>56865086.094817281</v>
      </c>
      <c r="D44" s="58">
        <f t="shared" si="0"/>
        <v>1.6120867044244005</v>
      </c>
      <c r="E44" s="58" cm="1">
        <f t="array" ref="E44">((SQRT(PI())/Tabella6362033[Simmetria]))*(SQRT(POWER(A44,3)/PRODUCT($B$7,$C$7,$D$7)))</f>
        <v>1306.4520156557728</v>
      </c>
      <c r="F44" s="57">
        <v>1</v>
      </c>
      <c r="G44" s="94">
        <f t="shared" si="1"/>
        <v>119764349636.90495</v>
      </c>
      <c r="H44" s="22"/>
    </row>
    <row r="45" spans="1:8" x14ac:dyDescent="0.35">
      <c r="A45" s="3">
        <v>1100</v>
      </c>
      <c r="B45" s="58" cm="1">
        <f t="array" ref="B45">(Tabella333178[Boltzmann k]*A45)/101325</f>
        <v>1.4988540833950161E-25</v>
      </c>
      <c r="C45" s="58" cm="1">
        <f t="array" ref="C45">POWER((2*Tabella333178[Pi Greco]*Tabella333178[Massa '[kg']]*Tabella333178[Boltzmann k]*A45)/(POWER(Tabella333178[Planck h],2)),1.5)*B45</f>
        <v>72165132.592324659</v>
      </c>
      <c r="D45" s="58">
        <f t="shared" si="0"/>
        <v>1.7887020281733943</v>
      </c>
      <c r="E45" s="58" cm="1">
        <f t="array" ref="E45">((SQRT(PI())/Tabella6362033[Simmetria]))*(SQRT(POWER(A45,3)/PRODUCT($B$7,$C$7,$D$7)))</f>
        <v>1507.240277102454</v>
      </c>
      <c r="F45" s="57">
        <v>1</v>
      </c>
      <c r="G45" s="94">
        <f t="shared" si="1"/>
        <v>194557467409.64264</v>
      </c>
      <c r="H45" s="22"/>
    </row>
    <row r="46" spans="1:8" x14ac:dyDescent="0.35">
      <c r="A46" s="3">
        <v>1200</v>
      </c>
      <c r="B46" s="58" cm="1">
        <f t="array" ref="B46">(Tabella333178[Boltzmann k]*A46)/101325</f>
        <v>1.6351135455218356E-25</v>
      </c>
      <c r="C46" s="58" cm="1">
        <f t="array" ref="C46">POWER((2*Tabella333178[Pi Greco]*Tabella333178[Massa '[kg']]*Tabella333178[Boltzmann k]*A46)/(POWER(Tabella333178[Planck h],2)),1.5)*B46</f>
        <v>89701316.319181949</v>
      </c>
      <c r="D46" s="58">
        <f t="shared" si="0"/>
        <v>1.9931384374274099</v>
      </c>
      <c r="E46" s="58" cm="1">
        <f t="array" ref="E46">((SQRT(PI())/Tabella6362033[Simmetria]))*(SQRT(POWER(A46,3)/PRODUCT($B$7,$C$7,$D$7)))</f>
        <v>1717.375774254622</v>
      </c>
      <c r="F46" s="57">
        <v>1</v>
      </c>
      <c r="G46" s="94">
        <f t="shared" si="1"/>
        <v>307044705463.46649</v>
      </c>
      <c r="H46" s="22"/>
    </row>
    <row r="47" spans="1:8" x14ac:dyDescent="0.35">
      <c r="A47" s="3">
        <v>1300</v>
      </c>
      <c r="B47" s="58" cm="1">
        <f t="array" ref="B47">(Tabella333178[Boltzmann k]*A47)/101325</f>
        <v>1.7713730076486554E-25</v>
      </c>
      <c r="C47" s="58" cm="1">
        <f t="array" ref="C47">POWER((2*Tabella333178[Pi Greco]*Tabella333178[Massa '[kg']]*Tabella333178[Boltzmann k]*A47)/(POWER(Tabella333178[Planck h],2)),1.5)*B47</f>
        <v>109573133.57236329</v>
      </c>
      <c r="D47" s="58">
        <f t="shared" si="0"/>
        <v>2.2282389718311455</v>
      </c>
      <c r="E47" s="58" cm="1">
        <f t="array" ref="E47">((SQRT(PI())/Tabella6362033[Simmetria]))*(SQRT(POWER(A47,3)/PRODUCT($B$7,$C$7,$D$7)))</f>
        <v>1936.4598270185304</v>
      </c>
      <c r="F47" s="57">
        <v>1</v>
      </c>
      <c r="G47" s="94">
        <f t="shared" si="1"/>
        <v>472796594011.61023</v>
      </c>
      <c r="H47" s="22"/>
    </row>
    <row r="48" spans="1:8" x14ac:dyDescent="0.35">
      <c r="A48" s="3">
        <v>1400</v>
      </c>
      <c r="B48" s="58" cm="1">
        <f t="array" ref="B48">(Tabella333178[Boltzmann k]*A48)/101325</f>
        <v>1.9076324697754752E-25</v>
      </c>
      <c r="C48" s="58" cm="1">
        <f t="array" ref="C48">POWER((2*Tabella333178[Pi Greco]*Tabella333178[Massa '[kg']]*Tabella333178[Boltzmann k]*A48)/(POWER(Tabella333178[Planck h],2)),1.5)*B48</f>
        <v>131876007.39423107</v>
      </c>
      <c r="D48" s="58">
        <f t="shared" si="0"/>
        <v>2.4972245498869325</v>
      </c>
      <c r="E48" s="58" cm="1">
        <f t="array" ref="E48">((SQRT(PI())/Tabella6362033[Simmetria]))*(SQRT(POWER(A48,3)/PRODUCT($B$7,$C$7,$D$7)))</f>
        <v>2164.1408200750407</v>
      </c>
      <c r="F48" s="57">
        <v>1</v>
      </c>
      <c r="G48" s="94">
        <f t="shared" si="1"/>
        <v>712703518368.50806</v>
      </c>
      <c r="H48" s="22"/>
    </row>
    <row r="49" spans="1:8" x14ac:dyDescent="0.35">
      <c r="A49" s="3">
        <v>1500</v>
      </c>
      <c r="B49" s="58" cm="1">
        <f t="array" ref="B49">(Tabella333178[Boltzmann k]*A49)/101325</f>
        <v>2.0438919319022949E-25</v>
      </c>
      <c r="C49" s="58" cm="1">
        <f t="array" ref="C49">POWER((2*Tabella333178[Pi Greco]*Tabella333178[Massa '[kg']]*Tabella333178[Boltzmann k]*A49)/(POWER(Tabella333178[Planck h],2)),1.5)*B49</f>
        <v>156701750.75070566</v>
      </c>
      <c r="D49" s="58">
        <f t="shared" si="0"/>
        <v>2.8036883064778868</v>
      </c>
      <c r="E49" s="58" cm="1">
        <f t="array" ref="E49">((SQRT(PI())/Tabella6362033[Simmetria]))*(SQRT(POWER(A49,3)/PRODUCT($B$7,$C$7,$D$7)))</f>
        <v>2400.1056088404175</v>
      </c>
      <c r="F49" s="57">
        <v>1</v>
      </c>
      <c r="G49" s="94">
        <f t="shared" si="1"/>
        <v>1054469277333.1216</v>
      </c>
      <c r="H49" s="22"/>
    </row>
    <row r="50" spans="1:8" x14ac:dyDescent="0.35">
      <c r="A50" s="3">
        <v>1600</v>
      </c>
      <c r="B50" s="58" cm="1">
        <f t="array" ref="B50">(Tabella333178[Boltzmann k]*A50)/101325</f>
        <v>2.1801513940291145E-25</v>
      </c>
      <c r="C50" s="58" cm="1">
        <f t="array" ref="C50">POWER((2*Tabella333178[Pi Greco]*Tabella333178[Massa '[kg']]*Tabella333178[Boltzmann k]*A50)/(POWER(Tabella333178[Planck h],2)),1.5)*B50</f>
        <v>184138947.99482033</v>
      </c>
      <c r="D50" s="58">
        <f t="shared" si="0"/>
        <v>3.1515994782260397</v>
      </c>
      <c r="E50" s="58" cm="1">
        <f t="array" ref="E50">((SQRT(PI())/Tabella6362033[Simmetria]))*(SQRT(POWER(A50,3)/PRODUCT($B$7,$C$7,$D$7)))</f>
        <v>2644.0729748417275</v>
      </c>
      <c r="F50" s="57">
        <v>1</v>
      </c>
      <c r="G50" s="94">
        <f t="shared" si="1"/>
        <v>1534440719293.9753</v>
      </c>
      <c r="H50" s="22"/>
    </row>
    <row r="51" spans="1:8" x14ac:dyDescent="0.35">
      <c r="A51" s="3">
        <v>1700</v>
      </c>
      <c r="B51" s="58" cm="1">
        <f t="array" ref="B51">(Tabella333178[Boltzmann k]*A51)/101325</f>
        <v>2.316410856155934E-25</v>
      </c>
      <c r="C51" s="58" cm="1">
        <f t="array" ref="C51">POWER((2*Tabella333178[Pi Greco]*Tabella333178[Massa '[kg']]*Tabella333178[Boltzmann k]*A51)/(POWER(Tabella333178[Planck h],2)),1.5)*B51</f>
        <v>214273273.49192348</v>
      </c>
      <c r="D51" s="58">
        <f t="shared" si="0"/>
        <v>3.5453135176625161</v>
      </c>
      <c r="E51" s="58" cm="1">
        <f t="array" ref="E51">((SQRT(PI())/Tabella6362033[Simmetria]))*(SQRT(POWER(A51,3)/PRODUCT($B$7,$C$7,$D$7)))</f>
        <v>2895.7885417332873</v>
      </c>
      <c r="F51" s="57">
        <v>1</v>
      </c>
      <c r="G51" s="94">
        <f t="shared" si="1"/>
        <v>2199831904282.2607</v>
      </c>
      <c r="H51" s="22"/>
    </row>
    <row r="52" spans="1:8" x14ac:dyDescent="0.35">
      <c r="A52" s="3">
        <v>1800</v>
      </c>
      <c r="B52" s="58" cm="1">
        <f t="array" ref="B52">(Tabella333178[Boltzmann k]*A52)/101325</f>
        <v>2.4526703182827536E-25</v>
      </c>
      <c r="C52" s="58" cm="1">
        <f t="array" ref="C52">POWER((2*Tabella333178[Pi Greco]*Tabella333178[Massa '[kg']]*Tabella333178[Boltzmann k]*A52)/(POWER(Tabella333178[Planck h],2)),1.5)*B52</f>
        <v>247187761.01773211</v>
      </c>
      <c r="D52" s="58">
        <f t="shared" si="0"/>
        <v>3.9895863291178131</v>
      </c>
      <c r="E52" s="58" cm="1">
        <f t="array" ref="E52">((SQRT(PI())/Tabella6362033[Simmetria]))*(SQRT(POWER(A52,3)/PRODUCT($B$7,$C$7,$D$7)))</f>
        <v>3155.0207576557618</v>
      </c>
      <c r="F52" s="57">
        <v>1</v>
      </c>
      <c r="G52" s="94">
        <f t="shared" si="1"/>
        <v>3111408628338.2627</v>
      </c>
      <c r="H52" s="22"/>
    </row>
    <row r="53" spans="1:8" x14ac:dyDescent="0.35">
      <c r="A53" s="3">
        <v>1900</v>
      </c>
      <c r="B53" s="58" cm="1">
        <f t="array" ref="B53">(Tabella333178[Boltzmann k]*A53)/101325</f>
        <v>2.5889297804095731E-25</v>
      </c>
      <c r="C53" s="58" cm="1">
        <f t="array" ref="C53">POWER((2*Tabella333178[Pi Greco]*Tabella333178[Massa '[kg']]*Tabella333178[Boltzmann k]*A53)/(POWER(Tabella333178[Planck h],2)),1.5)*B53</f>
        <v>282963033.96722335</v>
      </c>
      <c r="D53" s="58">
        <f t="shared" si="0"/>
        <v>4.48959133179613</v>
      </c>
      <c r="E53" s="58" cm="1">
        <f t="array" ref="E53">((SQRT(PI())/Tabella6362033[Simmetria]))*(SQRT(POWER(A53,3)/PRODUCT($B$7,$C$7,$D$7)))</f>
        <v>3421.5576724524849</v>
      </c>
      <c r="F53" s="57">
        <v>1</v>
      </c>
      <c r="G53" s="94">
        <f t="shared" si="1"/>
        <v>4346707124042.0117</v>
      </c>
      <c r="H53" s="22"/>
    </row>
    <row r="54" spans="1:8" ht="15" thickBot="1" x14ac:dyDescent="0.4">
      <c r="A54" s="5">
        <v>2000</v>
      </c>
      <c r="B54" s="95" cm="1">
        <f t="array" ref="B54">(Tabella333178[Boltzmann k]*A54)/101325</f>
        <v>2.7251892425363931E-25</v>
      </c>
      <c r="C54" s="95" cm="1">
        <f t="array" ref="C54">POWER((2*Tabella333178[Pi Greco]*Tabella333178[Massa '[kg']]*Tabella333178[Boltzmann k]*A54)/(POWER(Tabella333178[Planck h],2)),1.5)*B54</f>
        <v>321677503.92321813</v>
      </c>
      <c r="D54" s="58">
        <f t="shared" si="0"/>
        <v>5.0509385618217548</v>
      </c>
      <c r="E54" s="95" cm="1">
        <f t="array" ref="E54">((SQRT(PI())/Tabella6362033[Simmetria]))*(SQRT(POWER(A54,3)/PRODUCT($B$7,$C$7,$D$7)))</f>
        <v>3695.2043182601215</v>
      </c>
      <c r="F54" s="96">
        <v>1</v>
      </c>
      <c r="G54" s="97">
        <f t="shared" si="1"/>
        <v>6003869347744.9121</v>
      </c>
      <c r="H54" s="22"/>
    </row>
    <row r="55" spans="1:8" x14ac:dyDescent="0.35">
      <c r="D55" s="98"/>
      <c r="E55" s="99"/>
      <c r="F55" s="99"/>
      <c r="G55" s="99"/>
      <c r="H55" s="99"/>
    </row>
    <row r="56" spans="1:8" x14ac:dyDescent="0.35">
      <c r="H56" s="22"/>
    </row>
    <row r="57" spans="1:8" x14ac:dyDescent="0.35">
      <c r="H57" s="22"/>
    </row>
    <row r="58" spans="1:8" x14ac:dyDescent="0.35">
      <c r="H58" s="22"/>
    </row>
    <row r="59" spans="1:8" x14ac:dyDescent="0.35">
      <c r="H59" s="22"/>
    </row>
    <row r="60" spans="1:8" x14ac:dyDescent="0.35">
      <c r="H60" s="22"/>
    </row>
    <row r="61" spans="1:8" x14ac:dyDescent="0.35">
      <c r="H61" s="22"/>
    </row>
    <row r="62" spans="1:8" x14ac:dyDescent="0.35">
      <c r="H62" s="22"/>
    </row>
    <row r="63" spans="1:8" x14ac:dyDescent="0.35">
      <c r="H63" s="22"/>
    </row>
    <row r="64" spans="1:8" x14ac:dyDescent="0.35">
      <c r="H64" s="22"/>
    </row>
    <row r="65" spans="8:8" x14ac:dyDescent="0.35">
      <c r="H65" s="22"/>
    </row>
    <row r="66" spans="8:8" x14ac:dyDescent="0.35">
      <c r="H66" s="22"/>
    </row>
    <row r="67" spans="8:8" x14ac:dyDescent="0.35">
      <c r="H67" s="22"/>
    </row>
    <row r="68" spans="8:8" x14ac:dyDescent="0.35">
      <c r="H68" s="22"/>
    </row>
    <row r="69" spans="8:8" x14ac:dyDescent="0.35">
      <c r="H69" s="22"/>
    </row>
    <row r="70" spans="8:8" x14ac:dyDescent="0.35">
      <c r="H70" s="22"/>
    </row>
    <row r="71" spans="8:8" x14ac:dyDescent="0.35">
      <c r="H71" s="22"/>
    </row>
    <row r="72" spans="8:8" x14ac:dyDescent="0.35">
      <c r="H72" s="22"/>
    </row>
    <row r="73" spans="8:8" x14ac:dyDescent="0.35">
      <c r="H73" s="22"/>
    </row>
    <row r="74" spans="8:8" x14ac:dyDescent="0.35">
      <c r="H74" s="22"/>
    </row>
    <row r="75" spans="8:8" x14ac:dyDescent="0.35">
      <c r="H75" s="22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94E5-B238-4689-8C48-188B02C09FCA}">
  <dimension ref="A1:M94"/>
  <sheetViews>
    <sheetView tabSelected="1" topLeftCell="A64" workbookViewId="0">
      <selection activeCell="H9" sqref="H9:K9"/>
    </sheetView>
  </sheetViews>
  <sheetFormatPr defaultColWidth="9.1796875" defaultRowHeight="14.5" x14ac:dyDescent="0.35"/>
  <cols>
    <col min="1" max="1" width="22" style="9" bestFit="1" customWidth="1"/>
    <col min="2" max="2" width="20.36328125" style="9" bestFit="1" customWidth="1"/>
    <col min="3" max="3" width="12" style="9" bestFit="1" customWidth="1"/>
    <col min="4" max="4" width="18" style="9" customWidth="1"/>
    <col min="5" max="5" width="30" style="9" customWidth="1"/>
    <col min="6" max="6" width="26.7265625" style="9" bestFit="1" customWidth="1"/>
    <col min="7" max="7" width="15.81640625" style="9" bestFit="1" customWidth="1"/>
    <col min="8" max="8" width="16.453125" style="9" bestFit="1" customWidth="1"/>
    <col min="9" max="9" width="24.7265625" style="9" bestFit="1" customWidth="1"/>
    <col min="10" max="10" width="20" style="9" bestFit="1" customWidth="1"/>
    <col min="11" max="11" width="19" style="9" bestFit="1" customWidth="1"/>
    <col min="12" max="12" width="19.6328125" style="9" bestFit="1" customWidth="1"/>
    <col min="13" max="13" width="20" style="9" bestFit="1" customWidth="1"/>
    <col min="14" max="14" width="19" style="9" bestFit="1" customWidth="1"/>
    <col min="15" max="16384" width="9.1796875" style="9"/>
  </cols>
  <sheetData>
    <row r="1" spans="1:13" x14ac:dyDescent="0.35">
      <c r="A1" s="61" t="s">
        <v>14</v>
      </c>
      <c r="B1" s="61" t="s">
        <v>17</v>
      </c>
      <c r="C1" s="61" t="s">
        <v>18</v>
      </c>
      <c r="D1" s="61" t="s">
        <v>87</v>
      </c>
    </row>
    <row r="2" spans="1:13" x14ac:dyDescent="0.35">
      <c r="A2" s="4">
        <v>8.3144626180000003</v>
      </c>
      <c r="B2" s="54">
        <v>1.3806490000000001E-23</v>
      </c>
      <c r="C2" s="54">
        <v>6.6260687599999996E-34</v>
      </c>
      <c r="D2" s="22">
        <v>6.0220000000000003E+23</v>
      </c>
    </row>
    <row r="3" spans="1:13" ht="15" thickBot="1" x14ac:dyDescent="0.4"/>
    <row r="4" spans="1:13" ht="15" thickBot="1" x14ac:dyDescent="0.4">
      <c r="B4" s="63" t="s">
        <v>66</v>
      </c>
      <c r="C4" s="63" t="s">
        <v>5</v>
      </c>
      <c r="D4" s="63" t="s">
        <v>67</v>
      </c>
      <c r="E4" s="63" t="s">
        <v>7</v>
      </c>
      <c r="F4" s="64" t="s">
        <v>8</v>
      </c>
      <c r="H4" s="65" t="s">
        <v>10</v>
      </c>
      <c r="I4" s="66" t="s">
        <v>61</v>
      </c>
      <c r="J4" s="65" t="s">
        <v>84</v>
      </c>
      <c r="K4" s="67" t="s">
        <v>11</v>
      </c>
      <c r="L4" s="68" t="s">
        <v>80</v>
      </c>
      <c r="M4" s="65" t="s">
        <v>85</v>
      </c>
    </row>
    <row r="5" spans="1:13" ht="15" thickBot="1" x14ac:dyDescent="0.4">
      <c r="A5" s="62" t="s">
        <v>3</v>
      </c>
      <c r="B5" s="4">
        <v>-56.566984602300003</v>
      </c>
      <c r="C5" s="4">
        <v>-0.50027299999999997</v>
      </c>
      <c r="D5" s="4">
        <v>-55.885447059999997</v>
      </c>
      <c r="E5" s="4">
        <v>-1.1785393361200001</v>
      </c>
      <c r="F5" s="74">
        <v>-57.046461231999999</v>
      </c>
      <c r="H5" s="69">
        <f>F5+F7-(B5+C5+B7)</f>
        <v>1.8832370300010837E-2</v>
      </c>
      <c r="I5" s="75">
        <f>H5*627.5</f>
        <v>11.8173123632568</v>
      </c>
      <c r="J5" s="7">
        <f>4.359744E-18*H5</f>
        <v>8.2104313421250443E-20</v>
      </c>
      <c r="K5" s="69">
        <f>F5+F7-(D5+E5+D7+E7)</f>
        <v>2.0795164120002596E-2</v>
      </c>
      <c r="L5" s="76">
        <f>627.5*K5</f>
        <v>13.048965485301629</v>
      </c>
      <c r="M5" s="7">
        <f>4.359744E-18*K5</f>
        <v>9.0661592001196602E-20</v>
      </c>
    </row>
    <row r="6" spans="1:13" x14ac:dyDescent="0.35">
      <c r="B6" s="63" t="s">
        <v>66</v>
      </c>
      <c r="C6" s="71" t="s">
        <v>5</v>
      </c>
      <c r="D6" s="63" t="s">
        <v>67</v>
      </c>
      <c r="E6" s="71" t="s">
        <v>7</v>
      </c>
      <c r="F6" s="72" t="s">
        <v>8</v>
      </c>
      <c r="I6" s="65" t="s">
        <v>12</v>
      </c>
      <c r="L6" s="65" t="s">
        <v>13</v>
      </c>
    </row>
    <row r="7" spans="1:13" ht="15" thickBot="1" x14ac:dyDescent="0.4">
      <c r="A7" s="70" t="s">
        <v>9</v>
      </c>
      <c r="B7" s="6">
        <v>3.4375000000000003E-2</v>
      </c>
      <c r="C7" s="6">
        <v>0</v>
      </c>
      <c r="D7" s="6">
        <v>1.8967999999999999E-2</v>
      </c>
      <c r="E7" s="6">
        <v>1.0173E-2</v>
      </c>
      <c r="F7" s="73">
        <v>3.2411000000000002E-2</v>
      </c>
      <c r="H7" s="7"/>
      <c r="I7" s="11">
        <f>I5*4.184</f>
        <v>49.443634927866455</v>
      </c>
      <c r="L7" s="11">
        <f>L5*4.184</f>
        <v>54.596871590502019</v>
      </c>
    </row>
    <row r="9" spans="1:13" ht="26.5" x14ac:dyDescent="0.55000000000000004">
      <c r="A9" s="79" t="s">
        <v>70</v>
      </c>
      <c r="D9" s="115" t="s">
        <v>71</v>
      </c>
      <c r="I9" s="127"/>
      <c r="J9" s="78"/>
    </row>
    <row r="10" spans="1:13" ht="15" thickBot="1" x14ac:dyDescent="0.4">
      <c r="E10" s="9" t="s">
        <v>86</v>
      </c>
      <c r="H10" s="8" t="s">
        <v>8</v>
      </c>
      <c r="I10" s="80"/>
      <c r="J10" s="80"/>
    </row>
    <row r="11" spans="1:13" ht="15" thickBot="1" x14ac:dyDescent="0.4">
      <c r="A11" s="140" t="s">
        <v>2</v>
      </c>
      <c r="B11" s="141" t="s">
        <v>68</v>
      </c>
      <c r="C11" s="141" t="s">
        <v>1</v>
      </c>
      <c r="D11" s="142" t="s">
        <v>60</v>
      </c>
      <c r="E11" s="126" t="s">
        <v>90</v>
      </c>
      <c r="F11" s="143" t="s">
        <v>75</v>
      </c>
      <c r="G11" s="134" t="s">
        <v>83</v>
      </c>
      <c r="H11" s="134" t="s">
        <v>91</v>
      </c>
    </row>
    <row r="12" spans="1:13" x14ac:dyDescent="0.35">
      <c r="A12" s="4">
        <v>298.14999999999998</v>
      </c>
      <c r="B12" s="4">
        <v>592200632.13000047</v>
      </c>
      <c r="C12" s="4">
        <v>79497.535716311773</v>
      </c>
      <c r="D12" s="117">
        <v>40733494.494069889</v>
      </c>
      <c r="E12" s="145">
        <v>4.2100000000000001E-20</v>
      </c>
      <c r="F12" s="144">
        <f>D12/(B12*C12)</f>
        <v>8.6522515297168927E-7</v>
      </c>
      <c r="G12" s="148">
        <f>F12*EXP(-$J$5/($B$2*A12))*6.022E+23*($B$2*A12)^2/(101300*$C$2)</f>
        <v>2.8626040185346564E-4</v>
      </c>
      <c r="H12" s="104">
        <f>G12*(100^3)/$D$2</f>
        <v>4.7535769155341346E-22</v>
      </c>
    </row>
    <row r="13" spans="1:13" x14ac:dyDescent="0.35">
      <c r="A13" s="4">
        <v>400</v>
      </c>
      <c r="B13" s="4">
        <v>1965280779.3909726</v>
      </c>
      <c r="C13" s="4">
        <v>165735.90748691262</v>
      </c>
      <c r="D13" s="117">
        <v>524861893.55126739</v>
      </c>
      <c r="E13" s="146">
        <v>6.2799999999999997E-18</v>
      </c>
      <c r="F13" s="144">
        <f t="shared" ref="F13:F29" si="0">D13/(B13*C13)</f>
        <v>1.6114017299763816E-6</v>
      </c>
      <c r="G13" s="148">
        <f t="shared" ref="G13:G29" si="1">F13*EXP(-$J$5/($B$2*A13))*6.022E+23*($B$2*A13)^2/(101300*$C$2)</f>
        <v>0.15407040295798399</v>
      </c>
      <c r="H13" s="105">
        <f t="shared" ref="H13:H29" si="2">G13*(100^3)/$D$2</f>
        <v>2.5584590328459645E-19</v>
      </c>
    </row>
    <row r="14" spans="1:13" x14ac:dyDescent="0.35">
      <c r="A14" s="4">
        <v>500</v>
      </c>
      <c r="B14" s="4">
        <v>5002455583.6257839</v>
      </c>
      <c r="C14" s="4">
        <v>289528.71519792947</v>
      </c>
      <c r="D14" s="117">
        <v>3224153266.043222</v>
      </c>
      <c r="E14" s="146">
        <v>1.4199999999999999E-16</v>
      </c>
      <c r="F14" s="144">
        <f t="shared" si="0"/>
        <v>2.2260801354482145E-6</v>
      </c>
      <c r="G14" s="148">
        <f t="shared" si="1"/>
        <v>6.5043741870070182</v>
      </c>
      <c r="H14" s="105">
        <f t="shared" si="2"/>
        <v>1.0801019905358716E-17</v>
      </c>
    </row>
    <row r="15" spans="1:13" x14ac:dyDescent="0.35">
      <c r="A15" s="4">
        <v>600</v>
      </c>
      <c r="B15" s="4">
        <v>10994290340.142132</v>
      </c>
      <c r="C15" s="4">
        <v>456714.45607505803</v>
      </c>
      <c r="D15" s="117">
        <v>13725672183.957127</v>
      </c>
      <c r="E15" s="146">
        <v>1.2199999999999999E-15</v>
      </c>
      <c r="F15" s="144">
        <f t="shared" si="0"/>
        <v>2.7335162641161704E-6</v>
      </c>
      <c r="G15" s="148">
        <f t="shared" si="1"/>
        <v>83.490119134830991</v>
      </c>
      <c r="H15" s="105">
        <f t="shared" si="2"/>
        <v>1.3864184512592326E-16</v>
      </c>
    </row>
    <row r="16" spans="1:13" x14ac:dyDescent="0.35">
      <c r="A16" s="4">
        <v>700</v>
      </c>
      <c r="B16" s="4">
        <v>21885920605.35297</v>
      </c>
      <c r="C16" s="4">
        <v>671446.99161483813</v>
      </c>
      <c r="D16" s="117">
        <v>46578607638.282372</v>
      </c>
      <c r="E16" s="146">
        <v>5.9899999999999999E-15</v>
      </c>
      <c r="F16" s="144">
        <f t="shared" si="0"/>
        <v>3.1696400838477346E-6</v>
      </c>
      <c r="G16" s="148">
        <f t="shared" si="1"/>
        <v>542.9197802322899</v>
      </c>
      <c r="H16" s="105">
        <f t="shared" si="2"/>
        <v>9.0156057826683797E-16</v>
      </c>
    </row>
    <row r="17" spans="1:11" x14ac:dyDescent="0.35">
      <c r="A17" s="4">
        <v>800</v>
      </c>
      <c r="B17" s="4">
        <v>40562219974.507347</v>
      </c>
      <c r="C17" s="4">
        <v>937543.87256082019</v>
      </c>
      <c r="D17" s="117">
        <v>135445450437.67009</v>
      </c>
      <c r="E17" s="146">
        <v>2.0500000000000001E-14</v>
      </c>
      <c r="F17" s="144">
        <f t="shared" si="0"/>
        <v>3.5616489057971755E-6</v>
      </c>
      <c r="G17" s="148">
        <f t="shared" si="1"/>
        <v>2304.3569418460552</v>
      </c>
      <c r="H17" s="105">
        <f t="shared" si="2"/>
        <v>3.8265641677948439E-15</v>
      </c>
    </row>
    <row r="18" spans="1:11" x14ac:dyDescent="0.35">
      <c r="A18" s="4">
        <v>900</v>
      </c>
      <c r="B18" s="4">
        <v>71205581347.475006</v>
      </c>
      <c r="C18" s="4">
        <v>1258557.0474787266</v>
      </c>
      <c r="D18" s="117">
        <v>351888447950.49219</v>
      </c>
      <c r="E18" s="146">
        <v>5.5300000000000002E-14</v>
      </c>
      <c r="F18" s="144">
        <f t="shared" si="0"/>
        <v>3.9266127037248949E-6</v>
      </c>
      <c r="G18" s="148">
        <f t="shared" si="1"/>
        <v>7343.8592092429617</v>
      </c>
      <c r="H18" s="105">
        <f t="shared" si="2"/>
        <v>1.2195050164800667E-14</v>
      </c>
    </row>
    <row r="19" spans="1:11" x14ac:dyDescent="0.35">
      <c r="A19" s="4">
        <v>1000</v>
      </c>
      <c r="B19" s="4">
        <v>119764349636.90495</v>
      </c>
      <c r="C19" s="4">
        <v>1637821.7429174811</v>
      </c>
      <c r="D19" s="117">
        <v>838489761492.24194</v>
      </c>
      <c r="E19" s="146">
        <v>1.25E-13</v>
      </c>
      <c r="F19" s="144">
        <f t="shared" si="0"/>
        <v>4.2746796254619904E-6</v>
      </c>
      <c r="G19" s="148">
        <f t="shared" si="1"/>
        <v>19111.153247097242</v>
      </c>
      <c r="H19" s="105">
        <f t="shared" si="2"/>
        <v>3.1735558364492263E-14</v>
      </c>
    </row>
    <row r="20" spans="1:11" x14ac:dyDescent="0.35">
      <c r="A20" s="4">
        <v>1100</v>
      </c>
      <c r="B20" s="4">
        <v>194557467409.64264</v>
      </c>
      <c r="C20" s="4">
        <v>2078491.9421937331</v>
      </c>
      <c r="D20" s="117">
        <v>1864929935777.5728</v>
      </c>
      <c r="E20" s="146">
        <v>2.49E-13</v>
      </c>
      <c r="F20" s="144">
        <f t="shared" si="0"/>
        <v>4.6117554615350383E-6</v>
      </c>
      <c r="G20" s="148">
        <f t="shared" si="1"/>
        <v>42837.302105513198</v>
      </c>
      <c r="H20" s="105">
        <f t="shared" si="2"/>
        <v>7.1134676362526065E-14</v>
      </c>
    </row>
    <row r="21" spans="1:11" x14ac:dyDescent="0.35">
      <c r="A21" s="4">
        <v>1200</v>
      </c>
      <c r="B21" s="4">
        <v>307044705463.46649</v>
      </c>
      <c r="C21" s="4">
        <v>2583567.1116527999</v>
      </c>
      <c r="D21" s="117">
        <v>3919732555029.7124</v>
      </c>
      <c r="E21" s="146">
        <v>4.5E-13</v>
      </c>
      <c r="F21" s="144">
        <f t="shared" si="0"/>
        <v>4.9412300682567895E-6</v>
      </c>
      <c r="G21" s="148">
        <f t="shared" si="1"/>
        <v>85708.51942102045</v>
      </c>
      <c r="H21" s="105">
        <f t="shared" si="2"/>
        <v>1.423256715726012E-13</v>
      </c>
    </row>
    <row r="22" spans="1:11" x14ac:dyDescent="0.35">
      <c r="A22" s="4">
        <v>1300</v>
      </c>
      <c r="B22" s="4">
        <v>472796594011.61023</v>
      </c>
      <c r="C22" s="4">
        <v>3155912.9323251243</v>
      </c>
      <c r="D22" s="117">
        <v>7855960307098.2041</v>
      </c>
      <c r="E22" s="146">
        <v>7.5200000000000003E-13</v>
      </c>
      <c r="F22" s="144">
        <f t="shared" si="0"/>
        <v>5.265018822714664E-6</v>
      </c>
      <c r="G22" s="148">
        <f t="shared" si="1"/>
        <v>156916.31371295935</v>
      </c>
      <c r="H22" s="105">
        <f t="shared" si="2"/>
        <v>2.6057175973590058E-13</v>
      </c>
    </row>
    <row r="23" spans="1:11" x14ac:dyDescent="0.35">
      <c r="A23" s="4">
        <v>1400</v>
      </c>
      <c r="B23" s="4">
        <v>712703518368.50806</v>
      </c>
      <c r="C23" s="4">
        <v>3798277.7678252826</v>
      </c>
      <c r="D23" s="117">
        <v>15116628954097.693</v>
      </c>
      <c r="E23" s="146">
        <v>1.18E-12</v>
      </c>
      <c r="F23" s="144">
        <f t="shared" si="0"/>
        <v>5.5841789726885152E-6</v>
      </c>
      <c r="G23" s="148">
        <f t="shared" si="1"/>
        <v>267609.28879029612</v>
      </c>
      <c r="H23" s="105">
        <f t="shared" si="2"/>
        <v>4.4438606574277003E-13</v>
      </c>
    </row>
    <row r="24" spans="1:11" x14ac:dyDescent="0.35">
      <c r="A24" s="4">
        <v>1500</v>
      </c>
      <c r="B24" s="4">
        <v>1054469277333.1216</v>
      </c>
      <c r="C24" s="4">
        <v>4513306.0047565643</v>
      </c>
      <c r="D24" s="117">
        <v>28075479844133.105</v>
      </c>
      <c r="E24" s="146">
        <v>1.7699999999999999E-12</v>
      </c>
      <c r="F24" s="144">
        <f t="shared" si="0"/>
        <v>5.8992727616281861E-6</v>
      </c>
      <c r="G24" s="148">
        <f t="shared" si="1"/>
        <v>430775.03045150725</v>
      </c>
      <c r="H24" s="105">
        <f t="shared" si="2"/>
        <v>7.1533548729908213E-13</v>
      </c>
    </row>
    <row r="25" spans="1:11" x14ac:dyDescent="0.35">
      <c r="A25" s="4">
        <v>1600</v>
      </c>
      <c r="B25" s="4">
        <v>1534440719293.9753</v>
      </c>
      <c r="C25" s="4">
        <v>5303549.0395811573</v>
      </c>
      <c r="D25" s="117">
        <v>50541596237349.602</v>
      </c>
      <c r="E25" s="146">
        <v>2.5400000000000001E-12</v>
      </c>
      <c r="F25" s="144">
        <f t="shared" si="0"/>
        <v>6.210581284438009E-6</v>
      </c>
      <c r="G25" s="148">
        <f t="shared" si="1"/>
        <v>661077.71565622231</v>
      </c>
      <c r="H25" s="105">
        <f t="shared" si="2"/>
        <v>1.0977710323085723E-12</v>
      </c>
    </row>
    <row r="26" spans="1:11" x14ac:dyDescent="0.35">
      <c r="A26" s="4">
        <v>1700</v>
      </c>
      <c r="B26" s="4">
        <v>2199831904282.2607</v>
      </c>
      <c r="C26" s="4">
        <v>6171474.4556266693</v>
      </c>
      <c r="D26" s="117">
        <v>88492840478436.109</v>
      </c>
      <c r="E26" s="146">
        <v>3.5300000000000001E-12</v>
      </c>
      <c r="F26" s="144">
        <f t="shared" si="0"/>
        <v>6.5182303395656644E-6</v>
      </c>
      <c r="G26" s="148">
        <f t="shared" si="1"/>
        <v>974672.0953555319</v>
      </c>
      <c r="H26" s="105">
        <f t="shared" si="2"/>
        <v>1.6185189228753434E-12</v>
      </c>
    </row>
    <row r="27" spans="1:11" x14ac:dyDescent="0.35">
      <c r="A27" s="4">
        <v>1800</v>
      </c>
      <c r="B27" s="4">
        <v>3111408628338.2627</v>
      </c>
      <c r="C27" s="4">
        <v>7119473.7822586382</v>
      </c>
      <c r="D27" s="117">
        <v>151124014314085.78</v>
      </c>
      <c r="E27" s="146">
        <v>4.7599999999999999E-12</v>
      </c>
      <c r="F27" s="144">
        <f t="shared" si="0"/>
        <v>6.8222642081103519E-6</v>
      </c>
      <c r="G27" s="148">
        <f t="shared" si="1"/>
        <v>1389009.2540184625</v>
      </c>
      <c r="H27" s="105">
        <f t="shared" si="2"/>
        <v>2.3065580438699142E-12</v>
      </c>
    </row>
    <row r="28" spans="1:11" x14ac:dyDescent="0.35">
      <c r="A28" s="4">
        <v>1900</v>
      </c>
      <c r="B28" s="4">
        <v>4346707124042.0117</v>
      </c>
      <c r="C28" s="4">
        <v>8149869.1253304556</v>
      </c>
      <c r="D28" s="117">
        <v>252321910916825.81</v>
      </c>
      <c r="E28" s="146">
        <v>6.2600000000000004E-12</v>
      </c>
      <c r="F28" s="144">
        <f t="shared" si="0"/>
        <v>7.1226884982799266E-6</v>
      </c>
      <c r="G28" s="148">
        <f t="shared" si="1"/>
        <v>1922644.9050875881</v>
      </c>
      <c r="H28" s="105">
        <f t="shared" si="2"/>
        <v>3.1927016026031019E-12</v>
      </c>
    </row>
    <row r="29" spans="1:11" ht="15" thickBot="1" x14ac:dyDescent="0.4">
      <c r="A29" s="4">
        <v>2000</v>
      </c>
      <c r="B29" s="4">
        <v>6003869347744.9121</v>
      </c>
      <c r="C29" s="4">
        <v>9264918.8863336649</v>
      </c>
      <c r="D29" s="117">
        <v>412712074904197.13</v>
      </c>
      <c r="E29" s="147">
        <v>8.0500000000000006E-12</v>
      </c>
      <c r="F29" s="144">
        <f t="shared" si="0"/>
        <v>7.4194945663962317E-6</v>
      </c>
      <c r="G29" s="148">
        <f t="shared" si="1"/>
        <v>2595057.2346238322</v>
      </c>
      <c r="H29" s="106">
        <f t="shared" si="2"/>
        <v>4.3092946440116768E-12</v>
      </c>
    </row>
    <row r="31" spans="1:11" ht="15" thickBot="1" x14ac:dyDescent="0.4"/>
    <row r="32" spans="1:11" ht="24" thickBot="1" x14ac:dyDescent="0.6">
      <c r="A32" s="107" t="s">
        <v>69</v>
      </c>
      <c r="B32" s="108" t="s">
        <v>65</v>
      </c>
      <c r="K32" s="9" t="s">
        <v>88</v>
      </c>
    </row>
    <row r="33" spans="1:2" ht="23.5" x14ac:dyDescent="0.55000000000000004">
      <c r="A33" s="109">
        <v>1.1499999999999999</v>
      </c>
      <c r="B33" s="110">
        <v>-57.058603976599997</v>
      </c>
    </row>
    <row r="34" spans="1:2" ht="23.5" x14ac:dyDescent="0.55000000000000004">
      <c r="A34" s="111">
        <v>1.2</v>
      </c>
      <c r="B34" s="112">
        <v>-57.048816772000002</v>
      </c>
    </row>
    <row r="35" spans="1:2" ht="23.5" x14ac:dyDescent="0.55000000000000004">
      <c r="A35" s="111">
        <v>1.3</v>
      </c>
      <c r="B35" s="112">
        <v>-57.046689035599996</v>
      </c>
    </row>
    <row r="36" spans="1:2" ht="24" thickBot="1" x14ac:dyDescent="0.6">
      <c r="A36" s="113">
        <v>1.4</v>
      </c>
      <c r="B36" s="114">
        <v>-57.046790841000004</v>
      </c>
    </row>
    <row r="51" spans="1:9" ht="26" x14ac:dyDescent="0.6">
      <c r="A51" s="82" t="s">
        <v>62</v>
      </c>
      <c r="I51" s="82"/>
    </row>
    <row r="75" spans="1:1" ht="15" thickBot="1" x14ac:dyDescent="0.4"/>
    <row r="76" spans="1:1" ht="15" thickBot="1" x14ac:dyDescent="0.4">
      <c r="A76" s="10" t="s">
        <v>72</v>
      </c>
    </row>
    <row r="77" spans="1:1" x14ac:dyDescent="0.35">
      <c r="A77" s="119">
        <v>3.0932940000000002</v>
      </c>
    </row>
    <row r="78" spans="1:1" x14ac:dyDescent="0.35">
      <c r="A78" s="119">
        <v>1.82474</v>
      </c>
    </row>
    <row r="79" spans="1:1" x14ac:dyDescent="0.35">
      <c r="A79" s="119">
        <v>1.4625889999999999</v>
      </c>
    </row>
    <row r="80" spans="1:1" x14ac:dyDescent="0.35">
      <c r="A80" s="119">
        <v>1.302735</v>
      </c>
    </row>
    <row r="81" spans="1:1" x14ac:dyDescent="0.35">
      <c r="A81" s="119">
        <v>1.2162109999999999</v>
      </c>
    </row>
    <row r="82" spans="1:1" x14ac:dyDescent="0.35">
      <c r="A82" s="119">
        <v>1.1634370000000001</v>
      </c>
    </row>
    <row r="83" spans="1:1" x14ac:dyDescent="0.35">
      <c r="A83" s="119">
        <v>1.128601</v>
      </c>
    </row>
    <row r="84" spans="1:1" x14ac:dyDescent="0.35">
      <c r="A84" s="119">
        <v>1.1042689999999999</v>
      </c>
    </row>
    <row r="85" spans="1:1" x14ac:dyDescent="0.35">
      <c r="A85" s="119">
        <v>1.086535</v>
      </c>
    </row>
    <row r="86" spans="1:1" x14ac:dyDescent="0.35">
      <c r="A86" s="119">
        <v>1.0731729999999999</v>
      </c>
    </row>
    <row r="87" spans="1:1" x14ac:dyDescent="0.35">
      <c r="A87" s="119">
        <v>1.0628299999999999</v>
      </c>
    </row>
    <row r="88" spans="1:1" x14ac:dyDescent="0.35">
      <c r="A88" s="119">
        <v>1.054646</v>
      </c>
    </row>
    <row r="89" spans="1:1" x14ac:dyDescent="0.35">
      <c r="A89" s="119">
        <v>1.048049</v>
      </c>
    </row>
    <row r="90" spans="1:1" x14ac:dyDescent="0.35">
      <c r="A90" s="119">
        <v>1.042645</v>
      </c>
    </row>
    <row r="91" spans="1:1" x14ac:dyDescent="0.35">
      <c r="A91" s="119">
        <v>1.0381590000000001</v>
      </c>
    </row>
    <row r="92" spans="1:1" x14ac:dyDescent="0.35">
      <c r="A92" s="119">
        <v>1.0343899999999999</v>
      </c>
    </row>
    <row r="93" spans="1:1" x14ac:dyDescent="0.35">
      <c r="A93" s="119">
        <v>1.0311900000000001</v>
      </c>
    </row>
    <row r="94" spans="1:1" ht="15" thickBot="1" x14ac:dyDescent="0.4">
      <c r="A94" s="11">
        <v>1.0284469999999999</v>
      </c>
    </row>
  </sheetData>
  <hyperlinks>
    <hyperlink ref="A9" r:id="rId1" xr:uid="{1EFD8431-201B-4D94-A91F-C067A0E188B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Q TST1 </vt:lpstr>
      <vt:lpstr>Q H</vt:lpstr>
      <vt:lpstr>Q CH4</vt:lpstr>
      <vt:lpstr>CH4+H=CH3+H2</vt:lpstr>
      <vt:lpstr>Q TST2</vt:lpstr>
      <vt:lpstr>Q NH3</vt:lpstr>
      <vt:lpstr>NH3+H=NH2+H2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Gentile</dc:creator>
  <cp:lastModifiedBy>Giuseppe Gentile</cp:lastModifiedBy>
  <dcterms:created xsi:type="dcterms:W3CDTF">2024-06-23T12:01:57Z</dcterms:created>
  <dcterms:modified xsi:type="dcterms:W3CDTF">2024-06-30T14:12:10Z</dcterms:modified>
</cp:coreProperties>
</file>