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drawings/drawing2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drawings/drawing3.xml" ContentType="application/vnd.openxmlformats-officedocument.drawing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drawings/drawing4.xml" ContentType="application/vnd.openxmlformats-officedocument.drawing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drawings/drawing5.xml" ContentType="application/vnd.openxmlformats-officedocument.drawing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budaf\OneDrive - Politecnico di Milano\Desktop\MMPE\Lab4\Excels Lab4\"/>
    </mc:Choice>
  </mc:AlternateContent>
  <xr:revisionPtr revIDLastSave="0" documentId="13_ncr:1_{5D1226BC-0724-4BC3-B129-6A07F1095187}" xr6:coauthVersionLast="47" xr6:coauthVersionMax="47" xr10:uidLastSave="{00000000-0000-0000-0000-000000000000}"/>
  <bookViews>
    <workbookView xWindow="-108" yWindow="-108" windowWidth="23256" windowHeight="12456" activeTab="4" xr2:uid="{420F3527-AA47-4232-826E-72FEC2CB875C}"/>
  </bookViews>
  <sheets>
    <sheet name="metano" sheetId="2" r:id="rId1"/>
    <sheet name="acqua" sheetId="8" r:id="rId2"/>
    <sheet name="monossido di carbonio" sheetId="9" r:id="rId3"/>
    <sheet name="diossido di azoto" sheetId="10" r:id="rId4"/>
    <sheet name="Summar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4" i="11" l="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X10" i="11"/>
  <c r="X11" i="11"/>
  <c r="X12" i="11"/>
  <c r="X13" i="11"/>
  <c r="X14" i="11"/>
  <c r="X15" i="11"/>
  <c r="X16" i="11"/>
  <c r="X17" i="11"/>
  <c r="X18" i="11"/>
  <c r="X19" i="11"/>
  <c r="X20" i="11"/>
  <c r="X21" i="11"/>
  <c r="X22" i="11"/>
  <c r="X23" i="11"/>
  <c r="X24" i="11"/>
  <c r="X25" i="11"/>
  <c r="X26" i="11"/>
  <c r="X27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10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F38" i="9"/>
  <c r="F39" i="9"/>
  <c r="C90" i="9"/>
  <c r="C99" i="10"/>
  <c r="B99" i="10" a="1"/>
  <c r="B99" i="10" s="1"/>
  <c r="F38" i="10" l="1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D99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D99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C98" i="10"/>
  <c r="C97" i="10"/>
  <c r="B98" i="10"/>
  <c r="D99" i="10"/>
  <c r="H65" i="10" a="1"/>
  <c r="H65" i="10" s="1"/>
  <c r="H66" i="10" a="1"/>
  <c r="H66" i="10" s="1"/>
  <c r="H67" i="10" a="1"/>
  <c r="H67" i="10"/>
  <c r="H68" i="10" a="1"/>
  <c r="H68" i="10"/>
  <c r="H69" i="10" a="1"/>
  <c r="H69" i="10" s="1"/>
  <c r="H70" i="10" a="1"/>
  <c r="H70" i="10" s="1"/>
  <c r="H71" i="10" a="1"/>
  <c r="H71" i="10"/>
  <c r="H72" i="10" a="1"/>
  <c r="H72" i="10"/>
  <c r="H73" i="10" a="1"/>
  <c r="H73" i="10" s="1"/>
  <c r="H74" i="10" a="1"/>
  <c r="H74" i="10" s="1"/>
  <c r="H75" i="10" a="1"/>
  <c r="H75" i="10"/>
  <c r="H76" i="10" a="1"/>
  <c r="H76" i="10"/>
  <c r="H77" i="10" a="1"/>
  <c r="H77" i="10" s="1"/>
  <c r="H78" i="10" a="1"/>
  <c r="H78" i="10" s="1"/>
  <c r="H79" i="10" a="1"/>
  <c r="H79" i="10"/>
  <c r="H80" i="10" a="1"/>
  <c r="H80" i="10"/>
  <c r="H81" i="10" a="1"/>
  <c r="H81" i="10" s="1"/>
  <c r="H82" i="10" a="1"/>
  <c r="H82" i="10" s="1"/>
  <c r="H62" i="10"/>
  <c r="G62" i="10"/>
  <c r="F62" i="10"/>
  <c r="H66" i="8" a="1"/>
  <c r="H66" i="8" s="1"/>
  <c r="B98" i="8" s="1"/>
  <c r="B105" i="9" a="1"/>
  <c r="B105" i="9" s="1"/>
  <c r="B106" i="9" a="1"/>
  <c r="B106" i="9" s="1"/>
  <c r="B107" i="9" a="1"/>
  <c r="B107" i="9" s="1"/>
  <c r="B108" i="9" a="1"/>
  <c r="B108" i="9" s="1"/>
  <c r="B109" i="9" a="1"/>
  <c r="B109" i="9" s="1"/>
  <c r="B110" i="9" a="1"/>
  <c r="B110" i="9" s="1"/>
  <c r="B111" i="9" a="1"/>
  <c r="B111" i="9" s="1"/>
  <c r="B112" i="9" a="1"/>
  <c r="B112" i="9" s="1"/>
  <c r="B113" i="9" a="1"/>
  <c r="B113" i="9" s="1"/>
  <c r="B114" i="9" a="1"/>
  <c r="B114" i="9" s="1"/>
  <c r="B115" i="9" a="1"/>
  <c r="B115" i="9" s="1"/>
  <c r="B116" i="9" a="1"/>
  <c r="B116" i="9" s="1"/>
  <c r="B117" i="9" a="1"/>
  <c r="B117" i="9" s="1"/>
  <c r="B118" i="9" a="1"/>
  <c r="B118" i="9" s="1"/>
  <c r="B119" i="9" a="1"/>
  <c r="B119" i="9" s="1"/>
  <c r="B120" i="9" a="1"/>
  <c r="B120" i="9" s="1"/>
  <c r="B121" i="9" a="1"/>
  <c r="B121" i="9" s="1"/>
  <c r="B104" i="9" a="1"/>
  <c r="B104" i="9" s="1"/>
  <c r="A7" i="9"/>
  <c r="A6" i="9"/>
  <c r="C92" i="9"/>
  <c r="C91" i="9"/>
  <c r="G83" i="9" a="1"/>
  <c r="G83" i="9" s="1"/>
  <c r="G82" i="9" a="1"/>
  <c r="G82" i="9" s="1"/>
  <c r="G81" i="9" a="1"/>
  <c r="G81" i="9" s="1"/>
  <c r="G80" i="9" a="1"/>
  <c r="G80" i="9" s="1"/>
  <c r="G79" i="9" a="1"/>
  <c r="G79" i="9" s="1"/>
  <c r="G78" i="9" a="1"/>
  <c r="G78" i="9" s="1"/>
  <c r="G77" i="9" a="1"/>
  <c r="G77" i="9" s="1"/>
  <c r="G76" i="9" a="1"/>
  <c r="G76" i="9" s="1"/>
  <c r="G75" i="9" a="1"/>
  <c r="G75" i="9" s="1"/>
  <c r="G74" i="9" a="1"/>
  <c r="G74" i="9" s="1"/>
  <c r="G73" i="9" a="1"/>
  <c r="G73" i="9" s="1"/>
  <c r="G72" i="9" a="1"/>
  <c r="G72" i="9" s="1"/>
  <c r="G71" i="9" a="1"/>
  <c r="G71" i="9" s="1"/>
  <c r="G70" i="9" a="1"/>
  <c r="G70" i="9" s="1"/>
  <c r="G69" i="9" a="1"/>
  <c r="G69" i="9" s="1"/>
  <c r="G68" i="9" a="1"/>
  <c r="G68" i="9" s="1"/>
  <c r="G67" i="9" a="1"/>
  <c r="G67" i="9" s="1"/>
  <c r="G66" i="9" a="1"/>
  <c r="G66" i="9" s="1"/>
  <c r="B91" i="9" s="1"/>
  <c r="C98" i="8"/>
  <c r="C97" i="8"/>
  <c r="B97" i="8"/>
  <c r="H62" i="8"/>
  <c r="G62" i="8"/>
  <c r="F62" i="8"/>
  <c r="G83" i="8" a="1"/>
  <c r="G83" i="8" s="1"/>
  <c r="G82" i="8"/>
  <c r="G82" i="8" a="1"/>
  <c r="G81" i="8" a="1"/>
  <c r="G81" i="8" s="1"/>
  <c r="G80" i="8"/>
  <c r="G80" i="8" a="1"/>
  <c r="G79" i="8" a="1"/>
  <c r="G79" i="8" s="1"/>
  <c r="G78" i="8"/>
  <c r="G78" i="8" a="1"/>
  <c r="G77" i="8" a="1"/>
  <c r="G77" i="8" s="1"/>
  <c r="G76" i="8"/>
  <c r="G76" i="8" a="1"/>
  <c r="G75" i="8" a="1"/>
  <c r="G75" i="8" s="1"/>
  <c r="H74" i="8" a="1"/>
  <c r="H74" i="8" s="1"/>
  <c r="G74" i="8"/>
  <c r="G74" i="8" a="1"/>
  <c r="G73" i="8" a="1"/>
  <c r="G73" i="8" s="1"/>
  <c r="G72" i="8"/>
  <c r="G72" i="8" a="1"/>
  <c r="G71" i="8" a="1"/>
  <c r="G71" i="8" s="1"/>
  <c r="G70" i="8"/>
  <c r="G70" i="8" a="1"/>
  <c r="G69" i="8" a="1"/>
  <c r="G69" i="8" s="1"/>
  <c r="G68" i="8"/>
  <c r="G68" i="8" a="1"/>
  <c r="G67" i="8" a="1"/>
  <c r="G67" i="8" s="1"/>
  <c r="G66" i="8"/>
  <c r="G66" i="8" a="1"/>
  <c r="H73" i="8" a="1"/>
  <c r="H73" i="8" s="1"/>
  <c r="C98" i="2"/>
  <c r="C97" i="2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/>
  <c r="H74" i="2" a="1"/>
  <c r="H74" i="2" s="1"/>
  <c r="H75" i="2" a="1"/>
  <c r="H75" i="2" s="1"/>
  <c r="H76" i="2" a="1"/>
  <c r="H76" i="2" s="1"/>
  <c r="H77" i="2" a="1"/>
  <c r="H77" i="2" s="1"/>
  <c r="H78" i="2" a="1"/>
  <c r="H78" i="2" s="1"/>
  <c r="H79" i="2" a="1"/>
  <c r="H79" i="2" s="1"/>
  <c r="H80" i="2" a="1"/>
  <c r="H80" i="2" s="1"/>
  <c r="H81" i="2" a="1"/>
  <c r="H81" i="2" s="1"/>
  <c r="H82" i="2" a="1"/>
  <c r="H82" i="2" s="1"/>
  <c r="H65" i="2" a="1"/>
  <c r="H65" i="2" s="1"/>
  <c r="B98" i="2" s="1"/>
  <c r="F61" i="2"/>
  <c r="H61" i="2"/>
  <c r="G61" i="2"/>
  <c r="G65" i="2" a="1"/>
  <c r="G65" i="2" s="1"/>
  <c r="H68" i="8" l="1" a="1"/>
  <c r="H68" i="8" s="1"/>
  <c r="H70" i="8" a="1"/>
  <c r="H70" i="8" s="1"/>
  <c r="H72" i="8" a="1"/>
  <c r="H72" i="8" s="1"/>
  <c r="H76" i="8" a="1"/>
  <c r="H76" i="8" s="1"/>
  <c r="H78" i="8" a="1"/>
  <c r="H78" i="8" s="1"/>
  <c r="H80" i="8" a="1"/>
  <c r="H80" i="8" s="1"/>
  <c r="H82" i="8" a="1"/>
  <c r="H82" i="8" s="1"/>
  <c r="H67" i="8" a="1"/>
  <c r="H67" i="8" s="1"/>
  <c r="H69" i="8" a="1"/>
  <c r="H69" i="8" s="1"/>
  <c r="H71" i="8" a="1"/>
  <c r="H71" i="8" s="1"/>
  <c r="H75" i="8" a="1"/>
  <c r="H75" i="8" s="1"/>
  <c r="H77" i="8" a="1"/>
  <c r="H77" i="8" s="1"/>
  <c r="H79" i="8" a="1"/>
  <c r="H79" i="8" s="1"/>
  <c r="H81" i="8" a="1"/>
  <c r="H81" i="8" s="1"/>
  <c r="H83" i="8" a="1"/>
  <c r="H83" i="8" s="1"/>
  <c r="C133" i="2" l="1"/>
  <c r="C95" i="2"/>
  <c r="J42" i="2"/>
  <c r="J41" i="2"/>
  <c r="J40" i="2"/>
  <c r="A22" i="2"/>
  <c r="A21" i="2"/>
  <c r="A20" i="2"/>
  <c r="A19" i="2"/>
  <c r="A18" i="2"/>
  <c r="A17" i="2"/>
  <c r="A16" i="2"/>
  <c r="A15" i="2"/>
  <c r="A14" i="2"/>
  <c r="A7" i="2"/>
  <c r="A6" i="2"/>
  <c r="A5" i="2"/>
  <c r="B5" i="2" s="1" a="1"/>
  <c r="B5" i="2" s="1"/>
  <c r="C5" i="2" s="1" a="1"/>
  <c r="C5" i="2" s="1"/>
  <c r="C134" i="10"/>
  <c r="C133" i="10"/>
  <c r="C132" i="10"/>
  <c r="I103" i="10"/>
  <c r="I107" i="10" s="1" a="1"/>
  <c r="I107" i="10" s="1"/>
  <c r="C96" i="10"/>
  <c r="C95" i="10"/>
  <c r="J42" i="10"/>
  <c r="J41" i="10"/>
  <c r="J40" i="10"/>
  <c r="A14" i="10"/>
  <c r="A15" i="10"/>
  <c r="B15" i="10" s="1" a="1"/>
  <c r="B15" i="10" s="1"/>
  <c r="J66" i="10" s="1"/>
  <c r="K66" i="10" s="1" a="1"/>
  <c r="K66" i="10" s="1"/>
  <c r="O65" i="10" s="1"/>
  <c r="O67" i="10" s="1" a="1"/>
  <c r="O67" i="10" s="1"/>
  <c r="A16" i="10"/>
  <c r="B16" i="10" a="1"/>
  <c r="B16" i="10" s="1"/>
  <c r="J67" i="10" s="1"/>
  <c r="K67" i="10" s="1" a="1"/>
  <c r="K67" i="10" s="1"/>
  <c r="P65" i="10" s="1"/>
  <c r="A7" i="10"/>
  <c r="B7" i="10" s="1" a="1"/>
  <c r="B7" i="10" s="1"/>
  <c r="A6" i="10"/>
  <c r="B6" i="10" s="1" a="1"/>
  <c r="B6" i="10" s="1"/>
  <c r="A5" i="10"/>
  <c r="B5" i="10" s="1" a="1"/>
  <c r="B5" i="10" s="1"/>
  <c r="B2" i="10"/>
  <c r="B81" i="10" s="1" a="1"/>
  <c r="B81" i="10" s="1"/>
  <c r="C120" i="10" a="1"/>
  <c r="C120" i="10" s="1"/>
  <c r="B120" i="10" a="1"/>
  <c r="B120" i="10" s="1"/>
  <c r="C119" i="10" a="1"/>
  <c r="C119" i="10" s="1"/>
  <c r="B119" i="10" a="1"/>
  <c r="B119" i="10" s="1"/>
  <c r="C118" i="10" a="1"/>
  <c r="C118" i="10" s="1"/>
  <c r="B118" i="10" a="1"/>
  <c r="B118" i="10" s="1"/>
  <c r="C117" i="10" a="1"/>
  <c r="C117" i="10" s="1"/>
  <c r="B117" i="10" a="1"/>
  <c r="B117" i="10" s="1"/>
  <c r="C116" i="10" a="1"/>
  <c r="C116" i="10" s="1"/>
  <c r="B116" i="10" a="1"/>
  <c r="B116" i="10" s="1"/>
  <c r="C115" i="10" a="1"/>
  <c r="C115" i="10" s="1"/>
  <c r="B115" i="10" a="1"/>
  <c r="B115" i="10" s="1"/>
  <c r="C114" i="10" a="1"/>
  <c r="C114" i="10" s="1"/>
  <c r="B114" i="10" a="1"/>
  <c r="B114" i="10" s="1"/>
  <c r="C113" i="10" a="1"/>
  <c r="C113" i="10" s="1"/>
  <c r="B113" i="10" a="1"/>
  <c r="B113" i="10" s="1"/>
  <c r="C112" i="10" a="1"/>
  <c r="C112" i="10" s="1"/>
  <c r="B112" i="10" a="1"/>
  <c r="B112" i="10" s="1"/>
  <c r="C111" i="10" a="1"/>
  <c r="C111" i="10" s="1"/>
  <c r="B111" i="10" a="1"/>
  <c r="B111" i="10" s="1"/>
  <c r="C110" i="10" a="1"/>
  <c r="C110" i="10" s="1"/>
  <c r="B110" i="10" a="1"/>
  <c r="B110" i="10" s="1"/>
  <c r="C109" i="10" a="1"/>
  <c r="C109" i="10" s="1"/>
  <c r="B109" i="10" a="1"/>
  <c r="B109" i="10" s="1"/>
  <c r="C108" i="10" a="1"/>
  <c r="C108" i="10" s="1"/>
  <c r="B108" i="10" a="1"/>
  <c r="B108" i="10" s="1"/>
  <c r="C107" i="10" a="1"/>
  <c r="C107" i="10" s="1"/>
  <c r="B107" i="10" a="1"/>
  <c r="B107" i="10" s="1"/>
  <c r="C106" i="10" a="1"/>
  <c r="C106" i="10" s="1"/>
  <c r="B106" i="10" a="1"/>
  <c r="B106" i="10" s="1"/>
  <c r="C105" i="10" a="1"/>
  <c r="C105" i="10" s="1"/>
  <c r="B105" i="10" a="1"/>
  <c r="B105" i="10" s="1"/>
  <c r="C104" i="10" a="1"/>
  <c r="C104" i="10" s="1"/>
  <c r="B104" i="10" a="1"/>
  <c r="B104" i="10" s="1"/>
  <c r="C103" i="10" a="1"/>
  <c r="C103" i="10" s="1"/>
  <c r="B132" i="10" s="1"/>
  <c r="D132" i="10" s="1"/>
  <c r="B103" i="10" a="1"/>
  <c r="B103" i="10" s="1"/>
  <c r="B134" i="10" s="1"/>
  <c r="D134" i="10" s="1"/>
  <c r="D98" i="10"/>
  <c r="C82" i="10" a="1"/>
  <c r="C82" i="10" s="1"/>
  <c r="C81" i="10" a="1"/>
  <c r="C81" i="10" s="1"/>
  <c r="C80" i="10" a="1"/>
  <c r="C80" i="10" s="1"/>
  <c r="C79" i="10" a="1"/>
  <c r="C79" i="10" s="1"/>
  <c r="C78" i="10" a="1"/>
  <c r="C78" i="10" s="1"/>
  <c r="C77" i="10" a="1"/>
  <c r="C77" i="10" s="1"/>
  <c r="C76" i="10" a="1"/>
  <c r="C76" i="10" s="1"/>
  <c r="C75" i="10" a="1"/>
  <c r="C75" i="10" s="1"/>
  <c r="C74" i="10" a="1"/>
  <c r="C74" i="10" s="1"/>
  <c r="C73" i="10" a="1"/>
  <c r="C73" i="10" s="1"/>
  <c r="C72" i="10" a="1"/>
  <c r="C72" i="10" s="1"/>
  <c r="C71" i="10" a="1"/>
  <c r="C71" i="10" s="1"/>
  <c r="C70" i="10" a="1"/>
  <c r="C70" i="10" s="1"/>
  <c r="C69" i="10" a="1"/>
  <c r="C69" i="10" s="1"/>
  <c r="C68" i="10" a="1"/>
  <c r="C68" i="10" s="1"/>
  <c r="C67" i="10" a="1"/>
  <c r="C67" i="10" s="1"/>
  <c r="C66" i="10" a="1"/>
  <c r="C66" i="10" s="1"/>
  <c r="C65" i="10" a="1"/>
  <c r="C65" i="10" s="1"/>
  <c r="B55" i="10" a="1"/>
  <c r="B55" i="10" s="1"/>
  <c r="B54" i="10" a="1"/>
  <c r="B54" i="10" s="1"/>
  <c r="B53" i="10" a="1"/>
  <c r="B53" i="10" s="1"/>
  <c r="B52" i="10" a="1"/>
  <c r="B52" i="10" s="1"/>
  <c r="B51" i="10" a="1"/>
  <c r="B51" i="10" s="1"/>
  <c r="B50" i="10" a="1"/>
  <c r="B50" i="10" s="1"/>
  <c r="B49" i="10" a="1"/>
  <c r="B49" i="10" s="1"/>
  <c r="B48" i="10" a="1"/>
  <c r="B48" i="10" s="1"/>
  <c r="B47" i="10" a="1"/>
  <c r="B47" i="10" s="1"/>
  <c r="B46" i="10" a="1"/>
  <c r="B46" i="10" s="1"/>
  <c r="B45" i="10" a="1"/>
  <c r="B45" i="10" s="1"/>
  <c r="B44" i="10" a="1"/>
  <c r="B44" i="10" s="1"/>
  <c r="I43" i="10"/>
  <c r="K43" i="10" s="1"/>
  <c r="B43" i="10" a="1"/>
  <c r="B43" i="10" s="1"/>
  <c r="B42" i="10" a="1"/>
  <c r="B42" i="10" s="1"/>
  <c r="B41" i="10" a="1"/>
  <c r="B41" i="10" s="1"/>
  <c r="B40" i="10" a="1"/>
  <c r="B40" i="10" s="1"/>
  <c r="B39" i="10" a="1"/>
  <c r="B39" i="10" s="1"/>
  <c r="B38" i="10" a="1"/>
  <c r="B38" i="10" s="1"/>
  <c r="B14" i="10" a="1"/>
  <c r="B14" i="10" s="1"/>
  <c r="H2" i="10"/>
  <c r="C132" i="9"/>
  <c r="C131" i="9"/>
  <c r="C130" i="9"/>
  <c r="C89" i="9"/>
  <c r="J42" i="9"/>
  <c r="J41" i="9"/>
  <c r="J40" i="9"/>
  <c r="A20" i="9"/>
  <c r="B20" i="9" s="1" a="1"/>
  <c r="B20" i="9" s="1"/>
  <c r="B7" i="9" a="1"/>
  <c r="B7" i="9" s="1"/>
  <c r="A5" i="9"/>
  <c r="B5" i="9" s="1" a="1"/>
  <c r="B5" i="9" s="1"/>
  <c r="B2" i="9"/>
  <c r="B69" i="9" s="1" a="1"/>
  <c r="B69" i="9" s="1"/>
  <c r="C121" i="9" a="1"/>
  <c r="C121" i="9" s="1"/>
  <c r="C120" i="9" a="1"/>
  <c r="C120" i="9" s="1"/>
  <c r="C119" i="9" a="1"/>
  <c r="C119" i="9" s="1"/>
  <c r="C118" i="9" a="1"/>
  <c r="C118" i="9" s="1"/>
  <c r="C117" i="9" a="1"/>
  <c r="C117" i="9" s="1"/>
  <c r="C116" i="9" a="1"/>
  <c r="C116" i="9" s="1"/>
  <c r="C115" i="9" a="1"/>
  <c r="C115" i="9" s="1"/>
  <c r="C114" i="9" a="1"/>
  <c r="C114" i="9" s="1"/>
  <c r="C113" i="9" a="1"/>
  <c r="C113" i="9" s="1"/>
  <c r="C112" i="9" a="1"/>
  <c r="C112" i="9" s="1"/>
  <c r="C111" i="9" a="1"/>
  <c r="C111" i="9" s="1"/>
  <c r="C110" i="9" a="1"/>
  <c r="C110" i="9" s="1"/>
  <c r="C109" i="9" a="1"/>
  <c r="C109" i="9" s="1"/>
  <c r="C108" i="9" a="1"/>
  <c r="C108" i="9" s="1"/>
  <c r="C107" i="9" a="1"/>
  <c r="C107" i="9" s="1"/>
  <c r="C106" i="9" a="1"/>
  <c r="C106" i="9" s="1"/>
  <c r="C105" i="9" a="1"/>
  <c r="C105" i="9" s="1"/>
  <c r="C104" i="9" a="1"/>
  <c r="C104" i="9" s="1"/>
  <c r="B130" i="9" s="1"/>
  <c r="B132" i="9"/>
  <c r="C82" i="9" a="1"/>
  <c r="C82" i="9" s="1"/>
  <c r="C81" i="9" a="1"/>
  <c r="C81" i="9" s="1"/>
  <c r="C80" i="9" a="1"/>
  <c r="C80" i="9" s="1"/>
  <c r="C79" i="9" a="1"/>
  <c r="C79" i="9" s="1"/>
  <c r="C78" i="9" a="1"/>
  <c r="C78" i="9" s="1"/>
  <c r="C77" i="9" a="1"/>
  <c r="C77" i="9" s="1"/>
  <c r="C76" i="9" a="1"/>
  <c r="C76" i="9" s="1"/>
  <c r="C75" i="9" a="1"/>
  <c r="C75" i="9" s="1"/>
  <c r="C74" i="9" a="1"/>
  <c r="C74" i="9" s="1"/>
  <c r="C73" i="9" a="1"/>
  <c r="C73" i="9" s="1"/>
  <c r="C72" i="9" a="1"/>
  <c r="C72" i="9" s="1"/>
  <c r="C71" i="9" a="1"/>
  <c r="C71" i="9" s="1"/>
  <c r="C70" i="9" a="1"/>
  <c r="C70" i="9" s="1"/>
  <c r="C69" i="9" a="1"/>
  <c r="C69" i="9" s="1"/>
  <c r="C68" i="9" a="1"/>
  <c r="C68" i="9" s="1"/>
  <c r="C67" i="9" a="1"/>
  <c r="C67" i="9" s="1"/>
  <c r="C66" i="9" a="1"/>
  <c r="C66" i="9" s="1"/>
  <c r="C65" i="9" a="1"/>
  <c r="C65" i="9" s="1"/>
  <c r="B55" i="9" a="1"/>
  <c r="B55" i="9" s="1"/>
  <c r="B54" i="9" a="1"/>
  <c r="B54" i="9" s="1"/>
  <c r="B53" i="9" a="1"/>
  <c r="B53" i="9" s="1"/>
  <c r="B52" i="9" a="1"/>
  <c r="B52" i="9" s="1"/>
  <c r="B51" i="9" a="1"/>
  <c r="B51" i="9" s="1"/>
  <c r="B50" i="9" a="1"/>
  <c r="B50" i="9" s="1"/>
  <c r="B49" i="9" a="1"/>
  <c r="B49" i="9" s="1"/>
  <c r="B48" i="9" a="1"/>
  <c r="B48" i="9" s="1"/>
  <c r="B47" i="9" a="1"/>
  <c r="B47" i="9" s="1"/>
  <c r="B46" i="9" a="1"/>
  <c r="B46" i="9" s="1"/>
  <c r="B45" i="9" a="1"/>
  <c r="B45" i="9" s="1"/>
  <c r="B44" i="9" a="1"/>
  <c r="B44" i="9" s="1"/>
  <c r="I43" i="9"/>
  <c r="K43" i="9" s="1"/>
  <c r="B43" i="9" a="1"/>
  <c r="B43" i="9" s="1"/>
  <c r="B42" i="9" a="1"/>
  <c r="B42" i="9" s="1"/>
  <c r="B41" i="9" a="1"/>
  <c r="B41" i="9" s="1"/>
  <c r="B40" i="9" a="1"/>
  <c r="B40" i="9" s="1"/>
  <c r="B39" i="9" a="1"/>
  <c r="B39" i="9" s="1"/>
  <c r="B38" i="9" a="1"/>
  <c r="B38" i="9" s="1"/>
  <c r="B6" i="9" a="1"/>
  <c r="B6" i="9" s="1"/>
  <c r="H2" i="9"/>
  <c r="C134" i="8"/>
  <c r="C133" i="8"/>
  <c r="C132" i="8"/>
  <c r="C96" i="8"/>
  <c r="C95" i="8"/>
  <c r="J42" i="8"/>
  <c r="J41" i="8"/>
  <c r="J40" i="8"/>
  <c r="A16" i="8"/>
  <c r="B16" i="8" s="1" a="1"/>
  <c r="B16" i="8" s="1"/>
  <c r="A15" i="8"/>
  <c r="B15" i="8" s="1" a="1"/>
  <c r="B15" i="8" s="1"/>
  <c r="J66" i="8" s="1"/>
  <c r="K66" i="8" s="1" a="1"/>
  <c r="K66" i="8" s="1"/>
  <c r="A14" i="8"/>
  <c r="B14" i="8" s="1" a="1"/>
  <c r="B14" i="8" s="1"/>
  <c r="J65" i="8" s="1"/>
  <c r="K65" i="8" s="1" a="1"/>
  <c r="K65" i="8" s="1"/>
  <c r="A7" i="8"/>
  <c r="A6" i="8"/>
  <c r="A5" i="8"/>
  <c r="B5" i="8" s="1" a="1"/>
  <c r="B5" i="8" s="1"/>
  <c r="B2" i="8"/>
  <c r="B80" i="8" s="1" a="1"/>
  <c r="B80" i="8" s="1"/>
  <c r="C120" i="8" a="1"/>
  <c r="C120" i="8" s="1"/>
  <c r="B120" i="8" a="1"/>
  <c r="B120" i="8" s="1"/>
  <c r="C119" i="8" a="1"/>
  <c r="C119" i="8" s="1"/>
  <c r="B119" i="8" a="1"/>
  <c r="B119" i="8" s="1"/>
  <c r="C118" i="8" a="1"/>
  <c r="C118" i="8" s="1"/>
  <c r="B118" i="8" a="1"/>
  <c r="B118" i="8" s="1"/>
  <c r="C117" i="8" a="1"/>
  <c r="C117" i="8" s="1"/>
  <c r="B117" i="8" a="1"/>
  <c r="B117" i="8" s="1"/>
  <c r="C116" i="8" a="1"/>
  <c r="C116" i="8" s="1"/>
  <c r="B116" i="8" a="1"/>
  <c r="B116" i="8" s="1"/>
  <c r="C115" i="8" a="1"/>
  <c r="C115" i="8" s="1"/>
  <c r="B115" i="8" a="1"/>
  <c r="B115" i="8" s="1"/>
  <c r="C114" i="8" a="1"/>
  <c r="C114" i="8" s="1"/>
  <c r="B114" i="8" a="1"/>
  <c r="B114" i="8" s="1"/>
  <c r="C113" i="8" a="1"/>
  <c r="C113" i="8" s="1"/>
  <c r="B113" i="8" a="1"/>
  <c r="B113" i="8" s="1"/>
  <c r="C112" i="8" a="1"/>
  <c r="C112" i="8" s="1"/>
  <c r="B112" i="8" a="1"/>
  <c r="B112" i="8" s="1"/>
  <c r="C111" i="8" a="1"/>
  <c r="C111" i="8" s="1"/>
  <c r="B111" i="8" a="1"/>
  <c r="B111" i="8" s="1"/>
  <c r="C110" i="8" a="1"/>
  <c r="C110" i="8" s="1"/>
  <c r="B110" i="8" a="1"/>
  <c r="B110" i="8" s="1"/>
  <c r="C109" i="8" a="1"/>
  <c r="C109" i="8" s="1"/>
  <c r="B109" i="8" a="1"/>
  <c r="B109" i="8" s="1"/>
  <c r="C108" i="8" a="1"/>
  <c r="C108" i="8" s="1"/>
  <c r="B108" i="8" a="1"/>
  <c r="B108" i="8" s="1"/>
  <c r="C107" i="8" a="1"/>
  <c r="C107" i="8" s="1"/>
  <c r="B107" i="8" a="1"/>
  <c r="B107" i="8" s="1"/>
  <c r="C106" i="8" a="1"/>
  <c r="C106" i="8" s="1"/>
  <c r="B106" i="8" a="1"/>
  <c r="B106" i="8" s="1"/>
  <c r="C105" i="8" a="1"/>
  <c r="C105" i="8" s="1"/>
  <c r="B105" i="8" a="1"/>
  <c r="B105" i="8" s="1"/>
  <c r="C104" i="8" a="1"/>
  <c r="C104" i="8" s="1"/>
  <c r="B104" i="8" a="1"/>
  <c r="B104" i="8" s="1"/>
  <c r="C103" i="8" a="1"/>
  <c r="C103" i="8" s="1"/>
  <c r="B132" i="8" s="1"/>
  <c r="B103" i="8" a="1"/>
  <c r="B103" i="8" s="1"/>
  <c r="B134" i="8" s="1"/>
  <c r="D134" i="8" s="1"/>
  <c r="D98" i="8"/>
  <c r="C82" i="8" a="1"/>
  <c r="C82" i="8" s="1"/>
  <c r="C81" i="8" a="1"/>
  <c r="C81" i="8" s="1"/>
  <c r="C80" i="8" a="1"/>
  <c r="C80" i="8" s="1"/>
  <c r="C79" i="8" a="1"/>
  <c r="C79" i="8" s="1"/>
  <c r="C78" i="8" a="1"/>
  <c r="C78" i="8" s="1"/>
  <c r="C77" i="8" a="1"/>
  <c r="C77" i="8" s="1"/>
  <c r="C76" i="8" a="1"/>
  <c r="C76" i="8" s="1"/>
  <c r="C75" i="8" a="1"/>
  <c r="C75" i="8" s="1"/>
  <c r="C74" i="8" a="1"/>
  <c r="C74" i="8" s="1"/>
  <c r="C73" i="8" a="1"/>
  <c r="C73" i="8" s="1"/>
  <c r="C72" i="8" a="1"/>
  <c r="C72" i="8" s="1"/>
  <c r="C71" i="8" a="1"/>
  <c r="C71" i="8" s="1"/>
  <c r="C70" i="8" a="1"/>
  <c r="C70" i="8" s="1"/>
  <c r="C69" i="8" a="1"/>
  <c r="C69" i="8" s="1"/>
  <c r="C68" i="8" a="1"/>
  <c r="C68" i="8" s="1"/>
  <c r="C67" i="8" a="1"/>
  <c r="C67" i="8" s="1"/>
  <c r="C66" i="8" a="1"/>
  <c r="C66" i="8" s="1"/>
  <c r="C65" i="8" a="1"/>
  <c r="C65" i="8" s="1"/>
  <c r="B55" i="8" a="1"/>
  <c r="B55" i="8" s="1"/>
  <c r="B54" i="8" a="1"/>
  <c r="B54" i="8" s="1"/>
  <c r="B53" i="8" a="1"/>
  <c r="B53" i="8" s="1"/>
  <c r="B52" i="8" a="1"/>
  <c r="B52" i="8" s="1"/>
  <c r="C52" i="8" s="1" a="1"/>
  <c r="C52" i="8" s="1"/>
  <c r="B51" i="8" a="1"/>
  <c r="B51" i="8" s="1"/>
  <c r="B50" i="8" a="1"/>
  <c r="B50" i="8" s="1"/>
  <c r="B49" i="8" a="1"/>
  <c r="B49" i="8" s="1"/>
  <c r="B48" i="8" a="1"/>
  <c r="B48" i="8" s="1"/>
  <c r="B47" i="8" a="1"/>
  <c r="B47" i="8" s="1"/>
  <c r="B46" i="8" a="1"/>
  <c r="B46" i="8" s="1"/>
  <c r="B45" i="8" a="1"/>
  <c r="B45" i="8" s="1"/>
  <c r="B44" i="8" a="1"/>
  <c r="B44" i="8" s="1"/>
  <c r="I43" i="8"/>
  <c r="K43" i="8" s="1"/>
  <c r="B43" i="8" a="1"/>
  <c r="B43" i="8" s="1"/>
  <c r="B42" i="8" a="1"/>
  <c r="B42" i="8" s="1"/>
  <c r="B41" i="8" a="1"/>
  <c r="B41" i="8" s="1"/>
  <c r="B40" i="8" a="1"/>
  <c r="B40" i="8" s="1"/>
  <c r="B39" i="8" a="1"/>
  <c r="B39" i="8" s="1"/>
  <c r="B38" i="8" a="1"/>
  <c r="B38" i="8" s="1"/>
  <c r="B7" i="8" a="1"/>
  <c r="B7" i="8" s="1"/>
  <c r="C7" i="8" s="1" a="1"/>
  <c r="C7" i="8" s="1"/>
  <c r="B6" i="8" a="1"/>
  <c r="B6" i="8" s="1"/>
  <c r="H2" i="8"/>
  <c r="C96" i="2"/>
  <c r="B38" i="2" a="1"/>
  <c r="B38" i="2" s="1"/>
  <c r="B39" i="2" a="1"/>
  <c r="B39" i="2" s="1"/>
  <c r="B40" i="2" a="1"/>
  <c r="B40" i="2" s="1"/>
  <c r="B41" i="2" a="1"/>
  <c r="B41" i="2"/>
  <c r="B42" i="2" a="1"/>
  <c r="B42" i="2" s="1"/>
  <c r="B43" i="2" a="1"/>
  <c r="B43" i="2" s="1"/>
  <c r="B44" i="2" a="1"/>
  <c r="B44" i="2" s="1"/>
  <c r="B45" i="2" a="1"/>
  <c r="B45" i="2"/>
  <c r="B46" i="2" a="1"/>
  <c r="B46" i="2" s="1"/>
  <c r="B47" i="2" a="1"/>
  <c r="B47" i="2" s="1"/>
  <c r="B48" i="2" a="1"/>
  <c r="B48" i="2" s="1"/>
  <c r="B49" i="2" a="1"/>
  <c r="B49" i="2"/>
  <c r="B50" i="2" a="1"/>
  <c r="B50" i="2" s="1"/>
  <c r="B51" i="2" a="1"/>
  <c r="B51" i="2" s="1"/>
  <c r="B52" i="2" a="1"/>
  <c r="B52" i="2" s="1"/>
  <c r="B53" i="2" a="1"/>
  <c r="B53" i="2"/>
  <c r="B54" i="2" a="1"/>
  <c r="B54" i="2" s="1"/>
  <c r="B55" i="2" a="1"/>
  <c r="B55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B6" i="2" a="1"/>
  <c r="B6" i="2" s="1"/>
  <c r="C6" i="2" s="1" a="1"/>
  <c r="C6" i="2" s="1"/>
  <c r="B7" i="2" a="1"/>
  <c r="B7" i="2" s="1"/>
  <c r="C7" i="2" s="1" a="1"/>
  <c r="C7" i="2" s="1"/>
  <c r="H2" i="2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C134" i="2"/>
  <c r="C132" i="2"/>
  <c r="D132" i="9" l="1"/>
  <c r="I118" i="10" a="1"/>
  <c r="I118" i="10" s="1"/>
  <c r="I112" i="10" a="1"/>
  <c r="I112" i="10" s="1"/>
  <c r="I105" i="10" a="1"/>
  <c r="I105" i="10" s="1"/>
  <c r="I117" i="10" a="1"/>
  <c r="I117" i="10" s="1"/>
  <c r="I111" i="10" a="1"/>
  <c r="I111" i="10" s="1"/>
  <c r="I119" i="10" a="1"/>
  <c r="I119" i="10" s="1"/>
  <c r="I122" i="10" a="1"/>
  <c r="I122" i="10" s="1"/>
  <c r="I116" i="10" a="1"/>
  <c r="I116" i="10" s="1"/>
  <c r="I109" i="10" a="1"/>
  <c r="I109" i="10" s="1"/>
  <c r="I121" i="10" a="1"/>
  <c r="I121" i="10" s="1"/>
  <c r="I115" i="10" a="1"/>
  <c r="I115" i="10" s="1"/>
  <c r="I106" i="10" a="1"/>
  <c r="I106" i="10" s="1"/>
  <c r="I110" i="10" a="1"/>
  <c r="I110" i="10" s="1"/>
  <c r="I114" i="10" a="1"/>
  <c r="I114" i="10" s="1"/>
  <c r="I108" i="10" a="1"/>
  <c r="I108" i="10" s="1"/>
  <c r="H103" i="10"/>
  <c r="I120" i="10" a="1"/>
  <c r="I120" i="10" s="1"/>
  <c r="I113" i="10" a="1"/>
  <c r="I113" i="10" s="1"/>
  <c r="P74" i="10" a="1"/>
  <c r="P74" i="10" s="1"/>
  <c r="P81" i="10" a="1"/>
  <c r="P81" i="10" s="1"/>
  <c r="P68" i="10" a="1"/>
  <c r="P68" i="10" s="1"/>
  <c r="P75" i="10" a="1"/>
  <c r="P75" i="10" s="1"/>
  <c r="P82" i="10" a="1"/>
  <c r="P82" i="10" s="1"/>
  <c r="P69" i="10" a="1"/>
  <c r="P69" i="10" s="1"/>
  <c r="P76" i="10" a="1"/>
  <c r="P76" i="10" s="1"/>
  <c r="P83" i="10" a="1"/>
  <c r="P83" i="10" s="1"/>
  <c r="P80" i="10" a="1"/>
  <c r="P80" i="10" s="1"/>
  <c r="P70" i="10" a="1"/>
  <c r="P70" i="10" s="1"/>
  <c r="P77" i="10" a="1"/>
  <c r="P77" i="10" s="1"/>
  <c r="P73" i="10" a="1"/>
  <c r="P73" i="10" s="1"/>
  <c r="P71" i="10" a="1"/>
  <c r="P71" i="10" s="1"/>
  <c r="P78" i="10" a="1"/>
  <c r="P78" i="10" s="1"/>
  <c r="P84" i="10" a="1"/>
  <c r="P84" i="10" s="1"/>
  <c r="P79" i="10" a="1"/>
  <c r="P79" i="10" s="1"/>
  <c r="P67" i="10" a="1"/>
  <c r="P67" i="10" s="1"/>
  <c r="P72" i="10" a="1"/>
  <c r="P72" i="10" s="1"/>
  <c r="O79" i="10" a="1"/>
  <c r="O79" i="10" s="1"/>
  <c r="O74" i="10" a="1"/>
  <c r="O74" i="10" s="1"/>
  <c r="O68" i="10" a="1"/>
  <c r="O68" i="10" s="1"/>
  <c r="O84" i="10" a="1"/>
  <c r="O84" i="10" s="1"/>
  <c r="O73" i="10" a="1"/>
  <c r="O73" i="10" s="1"/>
  <c r="O78" i="10" a="1"/>
  <c r="O78" i="10" s="1"/>
  <c r="O72" i="10" a="1"/>
  <c r="O72" i="10" s="1"/>
  <c r="O83" i="10" a="1"/>
  <c r="O83" i="10" s="1"/>
  <c r="O77" i="10" a="1"/>
  <c r="O77" i="10" s="1"/>
  <c r="O76" i="10" a="1"/>
  <c r="O76" i="10" s="1"/>
  <c r="O71" i="10" a="1"/>
  <c r="O71" i="10" s="1"/>
  <c r="O69" i="10" a="1"/>
  <c r="O69" i="10" s="1"/>
  <c r="O82" i="10" a="1"/>
  <c r="O82" i="10" s="1"/>
  <c r="O80" i="10" a="1"/>
  <c r="O80" i="10" s="1"/>
  <c r="O81" i="10" a="1"/>
  <c r="O81" i="10" s="1"/>
  <c r="O75" i="10" a="1"/>
  <c r="O75" i="10" s="1"/>
  <c r="O70" i="10" a="1"/>
  <c r="O70" i="10" s="1"/>
  <c r="C6" i="10" a="1"/>
  <c r="C6" i="10" s="1"/>
  <c r="G12" i="10"/>
  <c r="F12" i="10"/>
  <c r="C5" i="10" a="1"/>
  <c r="C5" i="10" s="1"/>
  <c r="C7" i="10" a="1"/>
  <c r="C7" i="10" s="1"/>
  <c r="C54" i="10" a="1"/>
  <c r="C54" i="10" s="1"/>
  <c r="C41" i="10" a="1"/>
  <c r="C41" i="10" s="1"/>
  <c r="C46" i="10" a="1"/>
  <c r="C46" i="10" s="1"/>
  <c r="C49" i="10" a="1"/>
  <c r="C49" i="10" s="1"/>
  <c r="B67" i="10" a="1"/>
  <c r="B67" i="10" s="1"/>
  <c r="D67" i="10" s="1" a="1"/>
  <c r="D67" i="10" s="1"/>
  <c r="B69" i="10" a="1"/>
  <c r="B69" i="10" s="1"/>
  <c r="D69" i="10" s="1" a="1"/>
  <c r="D69" i="10" s="1"/>
  <c r="B71" i="10" a="1"/>
  <c r="B71" i="10" s="1"/>
  <c r="D71" i="10" s="1" a="1"/>
  <c r="D71" i="10" s="1"/>
  <c r="B73" i="10" a="1"/>
  <c r="B73" i="10" s="1"/>
  <c r="D73" i="10" s="1" a="1"/>
  <c r="D73" i="10" s="1"/>
  <c r="B75" i="10" a="1"/>
  <c r="B75" i="10" s="1"/>
  <c r="D75" i="10" s="1" a="1"/>
  <c r="D75" i="10" s="1"/>
  <c r="B77" i="10" a="1"/>
  <c r="B77" i="10" s="1"/>
  <c r="D77" i="10" s="1" a="1"/>
  <c r="D77" i="10" s="1"/>
  <c r="B79" i="10" a="1"/>
  <c r="B79" i="10" s="1"/>
  <c r="D79" i="10" s="1" a="1"/>
  <c r="D79" i="10" s="1"/>
  <c r="D81" i="10" a="1"/>
  <c r="D81" i="10" s="1"/>
  <c r="J65" i="10"/>
  <c r="K65" i="10" s="1" a="1"/>
  <c r="K65" i="10" s="1"/>
  <c r="E12" i="10"/>
  <c r="E14" i="10" s="1" a="1"/>
  <c r="E14" i="10" s="1"/>
  <c r="B82" i="10" a="1"/>
  <c r="B82" i="10" s="1"/>
  <c r="D82" i="10" s="1" a="1"/>
  <c r="D82" i="10" s="1"/>
  <c r="B80" i="10" a="1"/>
  <c r="B80" i="10" s="1"/>
  <c r="D80" i="10" s="1" a="1"/>
  <c r="D80" i="10" s="1"/>
  <c r="B78" i="10" a="1"/>
  <c r="B78" i="10" s="1"/>
  <c r="D78" i="10" s="1" a="1"/>
  <c r="D78" i="10" s="1"/>
  <c r="B76" i="10" a="1"/>
  <c r="B76" i="10" s="1"/>
  <c r="D76" i="10" s="1" a="1"/>
  <c r="D76" i="10" s="1"/>
  <c r="B74" i="10" a="1"/>
  <c r="B74" i="10" s="1"/>
  <c r="D74" i="10" s="1" a="1"/>
  <c r="D74" i="10" s="1"/>
  <c r="B72" i="10" a="1"/>
  <c r="B72" i="10" s="1"/>
  <c r="D72" i="10" s="1" a="1"/>
  <c r="D72" i="10" s="1"/>
  <c r="B70" i="10" a="1"/>
  <c r="B70" i="10" s="1"/>
  <c r="D70" i="10" s="1" a="1"/>
  <c r="D70" i="10" s="1"/>
  <c r="B68" i="10" a="1"/>
  <c r="B68" i="10" s="1"/>
  <c r="D68" i="10" s="1" a="1"/>
  <c r="D68" i="10" s="1"/>
  <c r="B65" i="10" a="1"/>
  <c r="B65" i="10" s="1"/>
  <c r="D65" i="10" s="1" a="1"/>
  <c r="D65" i="10" s="1"/>
  <c r="B95" i="10" s="1"/>
  <c r="D95" i="10" s="1"/>
  <c r="C50" i="10" a="1"/>
  <c r="C50" i="10" s="1"/>
  <c r="C39" i="10" a="1"/>
  <c r="C39" i="10" s="1"/>
  <c r="C44" i="10" a="1"/>
  <c r="C44" i="10" s="1"/>
  <c r="C51" i="10" a="1"/>
  <c r="C51" i="10" s="1"/>
  <c r="C40" i="10" a="1"/>
  <c r="C40" i="10" s="1"/>
  <c r="C52" i="10" a="1"/>
  <c r="C52" i="10" s="1"/>
  <c r="C53" i="10" a="1"/>
  <c r="C53" i="10" s="1"/>
  <c r="C45" i="10" a="1"/>
  <c r="C45" i="10" s="1"/>
  <c r="C43" i="10" a="1"/>
  <c r="C43" i="10" s="1"/>
  <c r="C55" i="10" a="1"/>
  <c r="C55" i="10" s="1"/>
  <c r="C47" i="10" a="1"/>
  <c r="C47" i="10" s="1"/>
  <c r="C42" i="10" a="1"/>
  <c r="C42" i="10" s="1"/>
  <c r="C48" i="10" a="1"/>
  <c r="C48" i="10" s="1"/>
  <c r="C38" i="10" a="1"/>
  <c r="C38" i="10" s="1"/>
  <c r="I40" i="10" s="1"/>
  <c r="K40" i="10" s="1"/>
  <c r="B66" i="10" a="1"/>
  <c r="B66" i="10" s="1"/>
  <c r="D66" i="10" s="1" a="1"/>
  <c r="D66" i="10" s="1"/>
  <c r="B71" i="9" a="1"/>
  <c r="B71" i="9" s="1"/>
  <c r="D71" i="9" s="1" a="1"/>
  <c r="D71" i="9" s="1"/>
  <c r="C42" i="9" a="1"/>
  <c r="C42" i="9" s="1"/>
  <c r="C52" i="9" a="1"/>
  <c r="C52" i="9" s="1"/>
  <c r="C39" i="9" a="1"/>
  <c r="C39" i="9" s="1"/>
  <c r="C47" i="9" a="1"/>
  <c r="C47" i="9" s="1"/>
  <c r="C5" i="9" a="1"/>
  <c r="C5" i="9" s="1"/>
  <c r="C6" i="9" a="1"/>
  <c r="C6" i="9" s="1"/>
  <c r="D130" i="9"/>
  <c r="C7" i="9" a="1"/>
  <c r="C7" i="9" s="1"/>
  <c r="D69" i="9" a="1"/>
  <c r="D69" i="9" s="1"/>
  <c r="J65" i="9"/>
  <c r="K65" i="9" s="1" a="1"/>
  <c r="K65" i="9" s="1"/>
  <c r="G104" i="9" s="1"/>
  <c r="E16" i="9"/>
  <c r="C40" i="9" a="1"/>
  <c r="C40" i="9" s="1"/>
  <c r="C44" i="9" a="1"/>
  <c r="C44" i="9" s="1"/>
  <c r="C50" i="9" a="1"/>
  <c r="C50" i="9" s="1"/>
  <c r="C55" i="9" a="1"/>
  <c r="C55" i="9" s="1"/>
  <c r="C46" i="9" a="1"/>
  <c r="C46" i="9" s="1"/>
  <c r="C54" i="9" a="1"/>
  <c r="C54" i="9" s="1"/>
  <c r="B65" i="9" a="1"/>
  <c r="B65" i="9" s="1"/>
  <c r="D65" i="9" s="1" a="1"/>
  <c r="D65" i="9" s="1"/>
  <c r="B89" i="9" s="1"/>
  <c r="D89" i="9" s="1"/>
  <c r="B70" i="9" a="1"/>
  <c r="B70" i="9" s="1"/>
  <c r="D70" i="9" s="1" a="1"/>
  <c r="D70" i="9" s="1"/>
  <c r="B66" i="9" a="1"/>
  <c r="B66" i="9" s="1"/>
  <c r="D66" i="9" s="1" a="1"/>
  <c r="D66" i="9" s="1"/>
  <c r="B67" i="9" a="1"/>
  <c r="B67" i="9" s="1"/>
  <c r="D67" i="9" s="1" a="1"/>
  <c r="D67" i="9" s="1"/>
  <c r="C49" i="9" a="1"/>
  <c r="C49" i="9" s="1"/>
  <c r="C41" i="9" a="1"/>
  <c r="C41" i="9" s="1"/>
  <c r="C38" i="9" a="1"/>
  <c r="C38" i="9" s="1"/>
  <c r="I40" i="9" s="1"/>
  <c r="K40" i="9" s="1"/>
  <c r="C51" i="9" a="1"/>
  <c r="C51" i="9" s="1"/>
  <c r="C53" i="9" a="1"/>
  <c r="C53" i="9" s="1"/>
  <c r="C45" i="9" a="1"/>
  <c r="C45" i="9" s="1"/>
  <c r="C43" i="9" a="1"/>
  <c r="C43" i="9" s="1"/>
  <c r="B82" i="9" a="1"/>
  <c r="B82" i="9" s="1"/>
  <c r="D82" i="9" s="1" a="1"/>
  <c r="D82" i="9" s="1"/>
  <c r="B81" i="9" a="1"/>
  <c r="B81" i="9" s="1"/>
  <c r="D81" i="9" s="1" a="1"/>
  <c r="D81" i="9" s="1"/>
  <c r="B80" i="9" a="1"/>
  <c r="B80" i="9" s="1"/>
  <c r="D80" i="9" s="1" a="1"/>
  <c r="D80" i="9" s="1"/>
  <c r="B79" i="9" a="1"/>
  <c r="B79" i="9" s="1"/>
  <c r="D79" i="9" s="1" a="1"/>
  <c r="D79" i="9" s="1"/>
  <c r="B78" i="9" a="1"/>
  <c r="B78" i="9" s="1"/>
  <c r="D78" i="9" s="1" a="1"/>
  <c r="D78" i="9" s="1"/>
  <c r="B77" i="9" a="1"/>
  <c r="B77" i="9" s="1"/>
  <c r="D77" i="9" s="1" a="1"/>
  <c r="D77" i="9" s="1"/>
  <c r="B76" i="9" a="1"/>
  <c r="B76" i="9" s="1"/>
  <c r="D76" i="9" s="1" a="1"/>
  <c r="D76" i="9" s="1"/>
  <c r="B75" i="9" a="1"/>
  <c r="B75" i="9" s="1"/>
  <c r="D75" i="9" s="1" a="1"/>
  <c r="D75" i="9" s="1"/>
  <c r="B74" i="9" a="1"/>
  <c r="B74" i="9" s="1"/>
  <c r="D74" i="9" s="1" a="1"/>
  <c r="D74" i="9" s="1"/>
  <c r="B73" i="9" a="1"/>
  <c r="B73" i="9" s="1"/>
  <c r="D73" i="9" s="1" a="1"/>
  <c r="D73" i="9" s="1"/>
  <c r="C48" i="9" a="1"/>
  <c r="C48" i="9" s="1"/>
  <c r="B68" i="9" a="1"/>
  <c r="B68" i="9" s="1"/>
  <c r="D68" i="9" s="1" a="1"/>
  <c r="D68" i="9" s="1"/>
  <c r="B72" i="9" a="1"/>
  <c r="B72" i="9" s="1"/>
  <c r="D72" i="9" s="1" a="1"/>
  <c r="D72" i="9" s="1"/>
  <c r="B77" i="8" a="1"/>
  <c r="B77" i="8" s="1"/>
  <c r="D77" i="8" s="1" a="1"/>
  <c r="D77" i="8" s="1"/>
  <c r="C38" i="8" a="1"/>
  <c r="C38" i="8" s="1"/>
  <c r="I40" i="8" s="1"/>
  <c r="B76" i="8" a="1"/>
  <c r="B76" i="8" s="1"/>
  <c r="C50" i="8" a="1"/>
  <c r="C50" i="8" s="1"/>
  <c r="B67" i="8" a="1"/>
  <c r="B67" i="8" s="1"/>
  <c r="B74" i="8" a="1"/>
  <c r="B74" i="8" s="1"/>
  <c r="K40" i="8"/>
  <c r="D132" i="8"/>
  <c r="C5" i="8" a="1"/>
  <c r="C5" i="8" s="1"/>
  <c r="D5" i="8" s="1"/>
  <c r="C6" i="8" a="1"/>
  <c r="C6" i="8" s="1"/>
  <c r="E12" i="8"/>
  <c r="F12" i="8"/>
  <c r="F14" i="8" s="1" a="1"/>
  <c r="F14" i="8" s="1"/>
  <c r="D80" i="8" a="1"/>
  <c r="D80" i="8" s="1"/>
  <c r="J67" i="8"/>
  <c r="K67" i="8" s="1" a="1"/>
  <c r="K67" i="8" s="1"/>
  <c r="G12" i="8"/>
  <c r="G103" i="8"/>
  <c r="N65" i="8"/>
  <c r="C51" i="8" a="1"/>
  <c r="C51" i="8" s="1"/>
  <c r="O65" i="8"/>
  <c r="H103" i="8"/>
  <c r="D74" i="8" a="1"/>
  <c r="D74" i="8" s="1"/>
  <c r="C42" i="8" a="1"/>
  <c r="C42" i="8" s="1"/>
  <c r="D76" i="8" a="1"/>
  <c r="D76" i="8" s="1"/>
  <c r="B79" i="8" a="1"/>
  <c r="B79" i="8" s="1"/>
  <c r="D79" i="8" s="1" a="1"/>
  <c r="D79" i="8" s="1"/>
  <c r="B69" i="8" a="1"/>
  <c r="B69" i="8" s="1"/>
  <c r="D69" i="8" s="1" a="1"/>
  <c r="D69" i="8" s="1"/>
  <c r="C53" i="8" a="1"/>
  <c r="C53" i="8" s="1"/>
  <c r="C45" i="8" a="1"/>
  <c r="C45" i="8" s="1"/>
  <c r="C43" i="8" a="1"/>
  <c r="C43" i="8" s="1"/>
  <c r="B75" i="8" a="1"/>
  <c r="B75" i="8" s="1"/>
  <c r="D75" i="8" s="1" a="1"/>
  <c r="D75" i="8" s="1"/>
  <c r="B70" i="8" a="1"/>
  <c r="B70" i="8" s="1"/>
  <c r="D70" i="8" s="1" a="1"/>
  <c r="D70" i="8" s="1"/>
  <c r="B66" i="8" a="1"/>
  <c r="B66" i="8" s="1"/>
  <c r="D66" i="8" s="1" a="1"/>
  <c r="D66" i="8" s="1"/>
  <c r="C54" i="8" a="1"/>
  <c r="C54" i="8" s="1"/>
  <c r="C46" i="8" a="1"/>
  <c r="C46" i="8" s="1"/>
  <c r="B71" i="8" a="1"/>
  <c r="B71" i="8" s="1"/>
  <c r="D71" i="8" s="1" a="1"/>
  <c r="D71" i="8" s="1"/>
  <c r="C55" i="8" a="1"/>
  <c r="C55" i="8" s="1"/>
  <c r="C47" i="8" a="1"/>
  <c r="C47" i="8" s="1"/>
  <c r="C41" i="8" a="1"/>
  <c r="C41" i="8" s="1"/>
  <c r="C39" i="8" a="1"/>
  <c r="C39" i="8" s="1"/>
  <c r="B82" i="8" a="1"/>
  <c r="B82" i="8" s="1"/>
  <c r="D82" i="8" s="1" a="1"/>
  <c r="D82" i="8" s="1"/>
  <c r="B78" i="8" a="1"/>
  <c r="B78" i="8" s="1"/>
  <c r="D78" i="8" s="1" a="1"/>
  <c r="D78" i="8" s="1"/>
  <c r="B72" i="8" a="1"/>
  <c r="B72" i="8" s="1"/>
  <c r="D72" i="8" s="1" a="1"/>
  <c r="D72" i="8" s="1"/>
  <c r="C48" i="8" a="1"/>
  <c r="C48" i="8" s="1"/>
  <c r="B81" i="8" a="1"/>
  <c r="B81" i="8" s="1"/>
  <c r="D81" i="8" s="1" a="1"/>
  <c r="D81" i="8" s="1"/>
  <c r="B73" i="8" a="1"/>
  <c r="B73" i="8" s="1"/>
  <c r="D73" i="8" s="1" a="1"/>
  <c r="D73" i="8" s="1"/>
  <c r="C40" i="8" a="1"/>
  <c r="C40" i="8" s="1"/>
  <c r="C49" i="8" a="1"/>
  <c r="C49" i="8" s="1"/>
  <c r="D67" i="8" a="1"/>
  <c r="D67" i="8" s="1"/>
  <c r="C44" i="8" a="1"/>
  <c r="C44" i="8" s="1"/>
  <c r="B65" i="8" a="1"/>
  <c r="B65" i="8" s="1"/>
  <c r="D65" i="8" s="1" a="1"/>
  <c r="D65" i="8" s="1"/>
  <c r="B95" i="8" s="1"/>
  <c r="D95" i="8" s="1"/>
  <c r="B68" i="8" a="1"/>
  <c r="B68" i="8" s="1"/>
  <c r="D68" i="8" s="1" a="1"/>
  <c r="D68" i="8" s="1"/>
  <c r="D5" i="2"/>
  <c r="E55" i="2" s="1" a="1"/>
  <c r="E55" i="2" s="1"/>
  <c r="E24" i="9" l="1" a="1"/>
  <c r="E24" i="9" s="1"/>
  <c r="F24" i="9" s="1"/>
  <c r="E33" i="9" a="1"/>
  <c r="E33" i="9" s="1"/>
  <c r="F33" i="9" s="1"/>
  <c r="H108" i="10" a="1"/>
  <c r="H108" i="10" s="1"/>
  <c r="H113" i="10" a="1"/>
  <c r="H113" i="10" s="1"/>
  <c r="H119" i="10" a="1"/>
  <c r="H119" i="10" s="1"/>
  <c r="H114" i="10" a="1"/>
  <c r="H114" i="10" s="1"/>
  <c r="H121" i="10" a="1"/>
  <c r="H121" i="10" s="1"/>
  <c r="H109" i="10" a="1"/>
  <c r="H109" i="10" s="1"/>
  <c r="H115" i="10" a="1"/>
  <c r="H115" i="10" s="1"/>
  <c r="H120" i="10" a="1"/>
  <c r="H120" i="10" s="1"/>
  <c r="H111" i="10" a="1"/>
  <c r="H111" i="10" s="1"/>
  <c r="H118" i="10" a="1"/>
  <c r="H118" i="10" s="1"/>
  <c r="H110" i="10" a="1"/>
  <c r="H110" i="10" s="1"/>
  <c r="H105" i="10" a="1"/>
  <c r="H105" i="10" s="1"/>
  <c r="H116" i="10" a="1"/>
  <c r="H116" i="10" s="1"/>
  <c r="H106" i="10" a="1"/>
  <c r="H106" i="10" s="1"/>
  <c r="H122" i="10" a="1"/>
  <c r="H122" i="10" s="1"/>
  <c r="H107" i="10" a="1"/>
  <c r="H107" i="10" s="1"/>
  <c r="H112" i="10" a="1"/>
  <c r="H112" i="10" s="1"/>
  <c r="H117" i="10" a="1"/>
  <c r="H117" i="10" s="1"/>
  <c r="E38" i="2" a="1"/>
  <c r="E38" i="2" s="1"/>
  <c r="E41" i="2" a="1"/>
  <c r="E41" i="2" s="1"/>
  <c r="E49" i="2" a="1"/>
  <c r="E49" i="2" s="1"/>
  <c r="E45" i="2" a="1"/>
  <c r="E45" i="2" s="1"/>
  <c r="E47" i="2" a="1"/>
  <c r="E47" i="2" s="1"/>
  <c r="E42" i="2" a="1"/>
  <c r="E42" i="2" s="1"/>
  <c r="E48" i="2" a="1"/>
  <c r="E48" i="2" s="1"/>
  <c r="E44" i="2" a="1"/>
  <c r="E44" i="2" s="1"/>
  <c r="E5" i="2" a="1"/>
  <c r="E5" i="2" s="1"/>
  <c r="E53" i="2" a="1"/>
  <c r="E53" i="2" s="1"/>
  <c r="E39" i="2" a="1"/>
  <c r="E39" i="2" s="1"/>
  <c r="E54" i="2" a="1"/>
  <c r="E54" i="2" s="1"/>
  <c r="E51" i="2" a="1"/>
  <c r="E51" i="2" s="1"/>
  <c r="D5" i="10"/>
  <c r="E54" i="10" s="1" a="1"/>
  <c r="E54" i="10" s="1"/>
  <c r="F19" i="10" a="1"/>
  <c r="F19" i="10" s="1"/>
  <c r="F24" i="10" a="1"/>
  <c r="F24" i="10" s="1"/>
  <c r="F30" i="10" a="1"/>
  <c r="F30" i="10" s="1"/>
  <c r="F23" i="10" a="1"/>
  <c r="F23" i="10" s="1"/>
  <c r="F25" i="10" a="1"/>
  <c r="F25" i="10" s="1"/>
  <c r="F18" i="10" a="1"/>
  <c r="F18" i="10" s="1"/>
  <c r="F15" i="10" a="1"/>
  <c r="F15" i="10" s="1"/>
  <c r="F20" i="10" a="1"/>
  <c r="F20" i="10" s="1"/>
  <c r="F26" i="10" a="1"/>
  <c r="F26" i="10" s="1"/>
  <c r="F31" i="10" a="1"/>
  <c r="F31" i="10" s="1"/>
  <c r="F21" i="10" a="1"/>
  <c r="F21" i="10" s="1"/>
  <c r="F28" i="10" a="1"/>
  <c r="F28" i="10" s="1"/>
  <c r="F16" i="10" a="1"/>
  <c r="F16" i="10" s="1"/>
  <c r="F22" i="10" a="1"/>
  <c r="F22" i="10" s="1"/>
  <c r="F27" i="10" a="1"/>
  <c r="F27" i="10" s="1"/>
  <c r="F17" i="10" a="1"/>
  <c r="F17" i="10" s="1"/>
  <c r="F29" i="10" a="1"/>
  <c r="F29" i="10" s="1"/>
  <c r="F14" i="10" a="1"/>
  <c r="F14" i="10" s="1"/>
  <c r="G22" i="10" a="1"/>
  <c r="G22" i="10" s="1"/>
  <c r="G30" i="10" a="1"/>
  <c r="G30" i="10" s="1"/>
  <c r="G27" i="10" a="1"/>
  <c r="G27" i="10" s="1"/>
  <c r="G15" i="10" a="1"/>
  <c r="G15" i="10" s="1"/>
  <c r="G23" i="10" a="1"/>
  <c r="G23" i="10" s="1"/>
  <c r="G31" i="10" a="1"/>
  <c r="G31" i="10" s="1"/>
  <c r="G16" i="10" a="1"/>
  <c r="G16" i="10" s="1"/>
  <c r="G24" i="10" a="1"/>
  <c r="G24" i="10" s="1"/>
  <c r="G17" i="10" a="1"/>
  <c r="G17" i="10" s="1"/>
  <c r="G25" i="10" a="1"/>
  <c r="G25" i="10" s="1"/>
  <c r="G18" i="10" a="1"/>
  <c r="G18" i="10" s="1"/>
  <c r="G26" i="10" a="1"/>
  <c r="G26" i="10" s="1"/>
  <c r="G14" i="10" a="1"/>
  <c r="G14" i="10" s="1"/>
  <c r="G28" i="10" a="1"/>
  <c r="G28" i="10" s="1"/>
  <c r="G21" i="10" a="1"/>
  <c r="G21" i="10" s="1"/>
  <c r="G29" i="10" a="1"/>
  <c r="G29" i="10" s="1"/>
  <c r="G19" i="10" a="1"/>
  <c r="G19" i="10" s="1"/>
  <c r="G20" i="10" a="1"/>
  <c r="G20" i="10" s="1"/>
  <c r="G103" i="10"/>
  <c r="G105" i="10" s="1" a="1"/>
  <c r="G105" i="10" s="1"/>
  <c r="N65" i="10"/>
  <c r="N67" i="10" s="1" a="1"/>
  <c r="N67" i="10" s="1"/>
  <c r="Q67" i="10" s="1" a="1"/>
  <c r="Q67" i="10" s="1"/>
  <c r="E27" i="10" a="1"/>
  <c r="E27" i="10" s="1"/>
  <c r="E19" i="10" a="1"/>
  <c r="E19" i="10" s="1"/>
  <c r="E29" i="10" a="1"/>
  <c r="E29" i="10" s="1"/>
  <c r="E24" i="10" a="1"/>
  <c r="E24" i="10" s="1"/>
  <c r="E16" i="10" a="1"/>
  <c r="E16" i="10" s="1"/>
  <c r="E21" i="10" a="1"/>
  <c r="E21" i="10" s="1"/>
  <c r="E26" i="10" a="1"/>
  <c r="E26" i="10" s="1"/>
  <c r="E18" i="10" a="1"/>
  <c r="E18" i="10" s="1"/>
  <c r="E28" i="10" a="1"/>
  <c r="E28" i="10" s="1"/>
  <c r="E20" i="10" a="1"/>
  <c r="E20" i="10" s="1"/>
  <c r="E25" i="10" a="1"/>
  <c r="E25" i="10" s="1"/>
  <c r="E17" i="10" a="1"/>
  <c r="E17" i="10" s="1"/>
  <c r="E15" i="10" a="1"/>
  <c r="E15" i="10" s="1"/>
  <c r="E31" i="10" a="1"/>
  <c r="E31" i="10" s="1"/>
  <c r="E23" i="10" a="1"/>
  <c r="E23" i="10" s="1"/>
  <c r="E22" i="10" a="1"/>
  <c r="E22" i="10" s="1"/>
  <c r="E30" i="10" a="1"/>
  <c r="E30" i="10" s="1"/>
  <c r="E53" i="10" a="1"/>
  <c r="E53" i="10" s="1"/>
  <c r="E45" i="10" a="1"/>
  <c r="E45" i="10" s="1"/>
  <c r="E43" i="10" a="1"/>
  <c r="E43" i="10" s="1"/>
  <c r="E47" i="10" a="1"/>
  <c r="E47" i="10" s="1"/>
  <c r="E55" i="10" a="1"/>
  <c r="E55" i="10" s="1"/>
  <c r="E42" i="10" a="1"/>
  <c r="E42" i="10" s="1"/>
  <c r="E48" i="10" a="1"/>
  <c r="E48" i="10" s="1"/>
  <c r="E50" i="10" a="1"/>
  <c r="E50" i="10" s="1"/>
  <c r="E39" i="10" a="1"/>
  <c r="E39" i="10" s="1"/>
  <c r="E51" i="10" a="1"/>
  <c r="E51" i="10" s="1"/>
  <c r="E40" i="10" a="1"/>
  <c r="E40" i="10" s="1"/>
  <c r="E38" i="10" a="1"/>
  <c r="E38" i="10" s="1"/>
  <c r="I42" i="10" s="1"/>
  <c r="K42" i="10" s="1"/>
  <c r="E5" i="10" a="1"/>
  <c r="E5" i="10" s="1"/>
  <c r="E49" i="10" a="1"/>
  <c r="E49" i="10" s="1"/>
  <c r="E41" i="10" a="1"/>
  <c r="E41" i="10" s="1"/>
  <c r="E44" i="10" a="1"/>
  <c r="E44" i="10" s="1"/>
  <c r="E52" i="10" a="1"/>
  <c r="E52" i="10" s="1"/>
  <c r="D5" i="9"/>
  <c r="E25" i="9" a="1"/>
  <c r="E25" i="9" s="1"/>
  <c r="F25" i="9" s="1"/>
  <c r="E29" i="9" a="1"/>
  <c r="E29" i="9" s="1"/>
  <c r="F29" i="9" s="1"/>
  <c r="D49" i="9" s="1"/>
  <c r="E19" i="9" a="1"/>
  <c r="E19" i="9" s="1"/>
  <c r="F19" i="9" s="1"/>
  <c r="D39" i="9" s="1"/>
  <c r="E22" i="9" a="1"/>
  <c r="E22" i="9" s="1"/>
  <c r="F22" i="9" s="1"/>
  <c r="D42" i="9" s="1"/>
  <c r="E20" i="9" a="1"/>
  <c r="E20" i="9" s="1"/>
  <c r="F20" i="9" s="1"/>
  <c r="E21" i="9" a="1"/>
  <c r="E21" i="9" s="1"/>
  <c r="F21" i="9" s="1"/>
  <c r="E34" i="9" a="1"/>
  <c r="E34" i="9" s="1"/>
  <c r="F34" i="9" s="1"/>
  <c r="N65" i="9"/>
  <c r="N82" i="9" s="1" a="1"/>
  <c r="N82" i="9" s="1"/>
  <c r="O82" i="9" s="1" a="1"/>
  <c r="O82" i="9" s="1"/>
  <c r="E32" i="9" a="1"/>
  <c r="E32" i="9" s="1"/>
  <c r="F32" i="9" s="1"/>
  <c r="E28" i="9" a="1"/>
  <c r="E28" i="9" s="1"/>
  <c r="F28" i="9" s="1"/>
  <c r="E30" i="9" a="1"/>
  <c r="E30" i="9" s="1"/>
  <c r="F30" i="9" s="1"/>
  <c r="E26" i="9" a="1"/>
  <c r="E26" i="9" s="1"/>
  <c r="F26" i="9" s="1"/>
  <c r="E18" i="9" a="1"/>
  <c r="E18" i="9" s="1"/>
  <c r="F18" i="9" s="1"/>
  <c r="D38" i="9" s="1"/>
  <c r="E31" i="9" a="1"/>
  <c r="E31" i="9" s="1"/>
  <c r="F31" i="9" s="1"/>
  <c r="D51" i="9" s="1"/>
  <c r="E27" i="9" a="1"/>
  <c r="E27" i="9" s="1"/>
  <c r="F27" i="9" s="1"/>
  <c r="E35" i="9" a="1"/>
  <c r="E35" i="9" s="1"/>
  <c r="F35" i="9" s="1"/>
  <c r="E23" i="9" a="1"/>
  <c r="E23" i="9" s="1"/>
  <c r="F23" i="9" s="1"/>
  <c r="G123" i="9" a="1"/>
  <c r="G123" i="9" s="1"/>
  <c r="H123" i="9" s="1" a="1"/>
  <c r="H123" i="9" s="1"/>
  <c r="G122" i="9" a="1"/>
  <c r="G122" i="9" s="1"/>
  <c r="H122" i="9" s="1" a="1"/>
  <c r="H122" i="9" s="1"/>
  <c r="G121" i="9" a="1"/>
  <c r="G121" i="9" s="1"/>
  <c r="H121" i="9" s="1" a="1"/>
  <c r="H121" i="9" s="1"/>
  <c r="G119" i="9" a="1"/>
  <c r="G119" i="9" s="1"/>
  <c r="H119" i="9" s="1" a="1"/>
  <c r="H119" i="9" s="1"/>
  <c r="G117" i="9" a="1"/>
  <c r="G117" i="9" s="1"/>
  <c r="H117" i="9" s="1" a="1"/>
  <c r="H117" i="9" s="1"/>
  <c r="G115" i="9" a="1"/>
  <c r="G115" i="9" s="1"/>
  <c r="H115" i="9" s="1" a="1"/>
  <c r="H115" i="9" s="1"/>
  <c r="G113" i="9" a="1"/>
  <c r="G113" i="9" s="1"/>
  <c r="H113" i="9" s="1" a="1"/>
  <c r="H113" i="9" s="1"/>
  <c r="G111" i="9" a="1"/>
  <c r="G111" i="9" s="1"/>
  <c r="H111" i="9" s="1" a="1"/>
  <c r="H111" i="9" s="1"/>
  <c r="G109" i="9" a="1"/>
  <c r="G109" i="9" s="1"/>
  <c r="H109" i="9" s="1" a="1"/>
  <c r="H109" i="9" s="1"/>
  <c r="G107" i="9" a="1"/>
  <c r="G107" i="9" s="1"/>
  <c r="H107" i="9" s="1" a="1"/>
  <c r="H107" i="9" s="1"/>
  <c r="G120" i="9" a="1"/>
  <c r="G120" i="9" s="1"/>
  <c r="H120" i="9" s="1" a="1"/>
  <c r="H120" i="9" s="1"/>
  <c r="G118" i="9" a="1"/>
  <c r="G118" i="9" s="1"/>
  <c r="H118" i="9" s="1" a="1"/>
  <c r="H118" i="9" s="1"/>
  <c r="G116" i="9" a="1"/>
  <c r="G116" i="9" s="1"/>
  <c r="H116" i="9" s="1" a="1"/>
  <c r="H116" i="9" s="1"/>
  <c r="G114" i="9" a="1"/>
  <c r="G114" i="9" s="1"/>
  <c r="H114" i="9" s="1" a="1"/>
  <c r="H114" i="9" s="1"/>
  <c r="G112" i="9" a="1"/>
  <c r="G112" i="9" s="1"/>
  <c r="H112" i="9" s="1" a="1"/>
  <c r="H112" i="9" s="1"/>
  <c r="G110" i="9" a="1"/>
  <c r="G110" i="9" s="1"/>
  <c r="H110" i="9" s="1" a="1"/>
  <c r="H110" i="9" s="1"/>
  <c r="G108" i="9" a="1"/>
  <c r="G108" i="9" s="1"/>
  <c r="H108" i="9" s="1" a="1"/>
  <c r="H108" i="9" s="1"/>
  <c r="G106" i="9" a="1"/>
  <c r="G106" i="9" s="1"/>
  <c r="H106" i="9" s="1" a="1"/>
  <c r="H106" i="9" s="1"/>
  <c r="F28" i="8" a="1"/>
  <c r="F28" i="8" s="1"/>
  <c r="E14" i="8" a="1"/>
  <c r="E14" i="8" s="1"/>
  <c r="E15" i="8" a="1"/>
  <c r="E15" i="8" s="1"/>
  <c r="E28" i="8" a="1"/>
  <c r="E28" i="8" s="1"/>
  <c r="F21" i="8" a="1"/>
  <c r="F21" i="8" s="1"/>
  <c r="E23" i="8" a="1"/>
  <c r="E23" i="8" s="1"/>
  <c r="F19" i="8" a="1"/>
  <c r="F19" i="8" s="1"/>
  <c r="E27" i="8" a="1"/>
  <c r="E27" i="8" s="1"/>
  <c r="F18" i="8" a="1"/>
  <c r="F18" i="8" s="1"/>
  <c r="F29" i="8" a="1"/>
  <c r="F29" i="8" s="1"/>
  <c r="F26" i="8" a="1"/>
  <c r="F26" i="8" s="1"/>
  <c r="F17" i="8" a="1"/>
  <c r="F17" i="8" s="1"/>
  <c r="F16" i="8" a="1"/>
  <c r="F16" i="8" s="1"/>
  <c r="E19" i="8" a="1"/>
  <c r="E19" i="8" s="1"/>
  <c r="E24" i="8" a="1"/>
  <c r="E24" i="8" s="1"/>
  <c r="E21" i="8" a="1"/>
  <c r="E21" i="8" s="1"/>
  <c r="E30" i="8" a="1"/>
  <c r="E30" i="8" s="1"/>
  <c r="F22" i="8" a="1"/>
  <c r="F22" i="8" s="1"/>
  <c r="E26" i="8" a="1"/>
  <c r="E26" i="8" s="1"/>
  <c r="E18" i="8" a="1"/>
  <c r="E18" i="8" s="1"/>
  <c r="F30" i="8" a="1"/>
  <c r="F30" i="8" s="1"/>
  <c r="E29" i="8" a="1"/>
  <c r="E29" i="8" s="1"/>
  <c r="F15" i="8" a="1"/>
  <c r="F15" i="8" s="1"/>
  <c r="F25" i="8" a="1"/>
  <c r="F25" i="8" s="1"/>
  <c r="E17" i="8" a="1"/>
  <c r="E17" i="8" s="1"/>
  <c r="E31" i="8" a="1"/>
  <c r="E31" i="8" s="1"/>
  <c r="E20" i="8" a="1"/>
  <c r="E20" i="8" s="1"/>
  <c r="F31" i="8" a="1"/>
  <c r="F31" i="8" s="1"/>
  <c r="F27" i="8" a="1"/>
  <c r="F27" i="8" s="1"/>
  <c r="E25" i="8" a="1"/>
  <c r="E25" i="8" s="1"/>
  <c r="E22" i="8" a="1"/>
  <c r="E22" i="8" s="1"/>
  <c r="E16" i="8" a="1"/>
  <c r="E16" i="8" s="1"/>
  <c r="F20" i="8" a="1"/>
  <c r="F20" i="8" s="1"/>
  <c r="F24" i="8" a="1"/>
  <c r="F24" i="8" s="1"/>
  <c r="F23" i="8" a="1"/>
  <c r="F23" i="8" s="1"/>
  <c r="G30" i="8" a="1"/>
  <c r="G30" i="8" s="1"/>
  <c r="G22" i="8" a="1"/>
  <c r="G22" i="8" s="1"/>
  <c r="G14" i="8" a="1"/>
  <c r="G14" i="8" s="1"/>
  <c r="G27" i="8" a="1"/>
  <c r="G27" i="8" s="1"/>
  <c r="G17" i="8" a="1"/>
  <c r="G17" i="8" s="1"/>
  <c r="G24" i="8" a="1"/>
  <c r="G24" i="8" s="1"/>
  <c r="G20" i="8" a="1"/>
  <c r="G20" i="8" s="1"/>
  <c r="G29" i="8" a="1"/>
  <c r="G29" i="8" s="1"/>
  <c r="G15" i="8" a="1"/>
  <c r="G15" i="8" s="1"/>
  <c r="G31" i="8" a="1"/>
  <c r="G31" i="8" s="1"/>
  <c r="G23" i="8" a="1"/>
  <c r="G23" i="8" s="1"/>
  <c r="G21" i="8" a="1"/>
  <c r="G21" i="8" s="1"/>
  <c r="G19" i="8" a="1"/>
  <c r="G19" i="8" s="1"/>
  <c r="G18" i="8" a="1"/>
  <c r="G18" i="8" s="1"/>
  <c r="G26" i="8" a="1"/>
  <c r="G26" i="8" s="1"/>
  <c r="G25" i="8" a="1"/>
  <c r="G25" i="8" s="1"/>
  <c r="G16" i="8" a="1"/>
  <c r="G16" i="8" s="1"/>
  <c r="G28" i="8" a="1"/>
  <c r="G28" i="8" s="1"/>
  <c r="O83" i="8" a="1"/>
  <c r="O83" i="8" s="1"/>
  <c r="O77" i="8" a="1"/>
  <c r="O77" i="8" s="1"/>
  <c r="O79" i="8" a="1"/>
  <c r="O79" i="8" s="1"/>
  <c r="O67" i="8" a="1"/>
  <c r="O67" i="8" s="1"/>
  <c r="O68" i="8" a="1"/>
  <c r="O68" i="8" s="1"/>
  <c r="O84" i="8" a="1"/>
  <c r="O84" i="8" s="1"/>
  <c r="O78" i="8" a="1"/>
  <c r="O78" i="8" s="1"/>
  <c r="O74" i="8" a="1"/>
  <c r="O74" i="8" s="1"/>
  <c r="O69" i="8" a="1"/>
  <c r="O69" i="8" s="1"/>
  <c r="O82" i="8" a="1"/>
  <c r="O82" i="8" s="1"/>
  <c r="O70" i="8" a="1"/>
  <c r="O70" i="8" s="1"/>
  <c r="O76" i="8" a="1"/>
  <c r="O76" i="8" s="1"/>
  <c r="O72" i="8" a="1"/>
  <c r="O72" i="8" s="1"/>
  <c r="O81" i="8" a="1"/>
  <c r="O81" i="8" s="1"/>
  <c r="O80" i="8" a="1"/>
  <c r="O80" i="8" s="1"/>
  <c r="O75" i="8" a="1"/>
  <c r="O75" i="8" s="1"/>
  <c r="O73" i="8" a="1"/>
  <c r="O73" i="8" s="1"/>
  <c r="O71" i="8" a="1"/>
  <c r="O71" i="8" s="1"/>
  <c r="I103" i="8"/>
  <c r="I120" i="8" s="1" a="1"/>
  <c r="I120" i="8" s="1"/>
  <c r="P65" i="8"/>
  <c r="H122" i="8" a="1"/>
  <c r="H122" i="8" s="1"/>
  <c r="H120" i="8" a="1"/>
  <c r="H120" i="8" s="1"/>
  <c r="H119" i="8" a="1"/>
  <c r="H119" i="8" s="1"/>
  <c r="H118" i="8" a="1"/>
  <c r="H118" i="8" s="1"/>
  <c r="H117" i="8" a="1"/>
  <c r="H117" i="8" s="1"/>
  <c r="H116" i="8" a="1"/>
  <c r="H116" i="8" s="1"/>
  <c r="H115" i="8" a="1"/>
  <c r="H115" i="8" s="1"/>
  <c r="H114" i="8" a="1"/>
  <c r="H114" i="8" s="1"/>
  <c r="H113" i="8" a="1"/>
  <c r="H113" i="8" s="1"/>
  <c r="H112" i="8" a="1"/>
  <c r="H112" i="8" s="1"/>
  <c r="H111" i="8" a="1"/>
  <c r="H111" i="8" s="1"/>
  <c r="H110" i="8" a="1"/>
  <c r="H110" i="8" s="1"/>
  <c r="H109" i="8" a="1"/>
  <c r="H109" i="8" s="1"/>
  <c r="H121" i="8" a="1"/>
  <c r="H121" i="8" s="1"/>
  <c r="H106" i="8" a="1"/>
  <c r="H106" i="8" s="1"/>
  <c r="H107" i="8" a="1"/>
  <c r="H107" i="8" s="1"/>
  <c r="H108" i="8" a="1"/>
  <c r="H108" i="8" s="1"/>
  <c r="H105" i="8" a="1"/>
  <c r="H105" i="8" s="1"/>
  <c r="N72" i="8" a="1"/>
  <c r="N72" i="8" s="1"/>
  <c r="N83" i="8" a="1"/>
  <c r="N83" i="8" s="1"/>
  <c r="N80" i="8" a="1"/>
  <c r="N80" i="8" s="1"/>
  <c r="N77" i="8" a="1"/>
  <c r="N77" i="8" s="1"/>
  <c r="N75" i="8" a="1"/>
  <c r="N75" i="8" s="1"/>
  <c r="N73" i="8" a="1"/>
  <c r="N73" i="8" s="1"/>
  <c r="N79" i="8" a="1"/>
  <c r="N79" i="8" s="1"/>
  <c r="N67" i="8" a="1"/>
  <c r="N67" i="8" s="1"/>
  <c r="N68" i="8" a="1"/>
  <c r="N68" i="8" s="1"/>
  <c r="N71" i="8" a="1"/>
  <c r="N71" i="8" s="1"/>
  <c r="N78" i="8" a="1"/>
  <c r="N78" i="8" s="1"/>
  <c r="N74" i="8" a="1"/>
  <c r="N74" i="8" s="1"/>
  <c r="N84" i="8" a="1"/>
  <c r="N84" i="8" s="1"/>
  <c r="N82" i="8" a="1"/>
  <c r="N82" i="8" s="1"/>
  <c r="N81" i="8" a="1"/>
  <c r="N81" i="8" s="1"/>
  <c r="N69" i="8" a="1"/>
  <c r="N69" i="8" s="1"/>
  <c r="N76" i="8" a="1"/>
  <c r="N76" i="8" s="1"/>
  <c r="N70" i="8" a="1"/>
  <c r="N70" i="8" s="1"/>
  <c r="E48" i="8" a="1"/>
  <c r="E48" i="8" s="1"/>
  <c r="E40" i="8" a="1"/>
  <c r="E40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45" i="8" a="1"/>
  <c r="E45" i="8" s="1"/>
  <c r="E47" i="8" a="1"/>
  <c r="E47" i="8" s="1"/>
  <c r="E55" i="8" a="1"/>
  <c r="E55" i="8" s="1"/>
  <c r="E41" i="8" a="1"/>
  <c r="E41" i="8" s="1"/>
  <c r="E5" i="8" a="1"/>
  <c r="E5" i="8" s="1"/>
  <c r="E42" i="8" a="1"/>
  <c r="E42" i="8" s="1"/>
  <c r="E38" i="8" a="1"/>
  <c r="E38" i="8" s="1"/>
  <c r="I42" i="8" s="1"/>
  <c r="K42" i="8" s="1"/>
  <c r="E54" i="8" a="1"/>
  <c r="E54" i="8" s="1"/>
  <c r="E44" i="8" a="1"/>
  <c r="E44" i="8" s="1"/>
  <c r="E46" i="8" a="1"/>
  <c r="E46" i="8" s="1"/>
  <c r="E43" i="8" a="1"/>
  <c r="E43" i="8" s="1"/>
  <c r="E39" i="8" a="1"/>
  <c r="E39" i="8" s="1"/>
  <c r="G121" i="8" a="1"/>
  <c r="G121" i="8" s="1"/>
  <c r="G122" i="8" a="1"/>
  <c r="G122" i="8" s="1"/>
  <c r="G120" i="8" a="1"/>
  <c r="G120" i="8" s="1"/>
  <c r="G119" i="8" a="1"/>
  <c r="G119" i="8" s="1"/>
  <c r="G118" i="8" a="1"/>
  <c r="G118" i="8" s="1"/>
  <c r="G117" i="8" a="1"/>
  <c r="G117" i="8" s="1"/>
  <c r="G116" i="8" a="1"/>
  <c r="G116" i="8" s="1"/>
  <c r="G115" i="8" a="1"/>
  <c r="G115" i="8" s="1"/>
  <c r="G114" i="8" a="1"/>
  <c r="G114" i="8" s="1"/>
  <c r="G105" i="8" a="1"/>
  <c r="G105" i="8" s="1"/>
  <c r="G112" i="8" a="1"/>
  <c r="G112" i="8" s="1"/>
  <c r="G110" i="8" a="1"/>
  <c r="G110" i="8" s="1"/>
  <c r="G106" i="8" a="1"/>
  <c r="G106" i="8" s="1"/>
  <c r="G107" i="8" a="1"/>
  <c r="G107" i="8" s="1"/>
  <c r="G108" i="8" a="1"/>
  <c r="G108" i="8" s="1"/>
  <c r="G109" i="8" a="1"/>
  <c r="G109" i="8" s="1"/>
  <c r="G113" i="8" a="1"/>
  <c r="G113" i="8" s="1"/>
  <c r="G111" i="8" a="1"/>
  <c r="G111" i="8" s="1"/>
  <c r="E46" i="2" a="1"/>
  <c r="E46" i="2" s="1"/>
  <c r="E52" i="2" a="1"/>
  <c r="E52" i="2" s="1"/>
  <c r="E43" i="2" a="1"/>
  <c r="E43" i="2" s="1"/>
  <c r="E40" i="2" a="1"/>
  <c r="E40" i="2" s="1"/>
  <c r="E50" i="2" a="1"/>
  <c r="E50" i="2" s="1"/>
  <c r="E38" i="9" l="1" a="1"/>
  <c r="E38" i="9" s="1"/>
  <c r="E39" i="9" a="1"/>
  <c r="E39" i="9" s="1"/>
  <c r="E41" i="9" a="1"/>
  <c r="E41" i="9" s="1"/>
  <c r="E49" i="9" a="1"/>
  <c r="E49" i="9" s="1"/>
  <c r="E47" i="9" a="1"/>
  <c r="E47" i="9" s="1"/>
  <c r="E42" i="9" a="1"/>
  <c r="E42" i="9" s="1"/>
  <c r="E50" i="9" a="1"/>
  <c r="E50" i="9" s="1"/>
  <c r="E55" i="9" a="1"/>
  <c r="E55" i="9" s="1"/>
  <c r="E43" i="9" a="1"/>
  <c r="E43" i="9" s="1"/>
  <c r="E51" i="9" a="1"/>
  <c r="E51" i="9" s="1"/>
  <c r="E44" i="9" a="1"/>
  <c r="E44" i="9" s="1"/>
  <c r="E52" i="9" a="1"/>
  <c r="E52" i="9" s="1"/>
  <c r="E45" i="9" a="1"/>
  <c r="E45" i="9" s="1"/>
  <c r="E53" i="9" a="1"/>
  <c r="E53" i="9" s="1"/>
  <c r="E46" i="9" a="1"/>
  <c r="E46" i="9" s="1"/>
  <c r="E54" i="9" a="1"/>
  <c r="E54" i="9" s="1"/>
  <c r="E40" i="9" a="1"/>
  <c r="E40" i="9" s="1"/>
  <c r="E48" i="9" a="1"/>
  <c r="E48" i="9" s="1"/>
  <c r="J105" i="10" a="1"/>
  <c r="J105" i="10" s="1"/>
  <c r="J105" i="8" a="1"/>
  <c r="J105" i="8" s="1"/>
  <c r="J119" i="8" a="1"/>
  <c r="J119" i="8" s="1"/>
  <c r="G66" i="2" a="1"/>
  <c r="G66" i="2" s="1"/>
  <c r="B97" i="2"/>
  <c r="G68" i="2" a="1"/>
  <c r="G68" i="2" s="1"/>
  <c r="G72" i="2" a="1"/>
  <c r="G72" i="2" s="1"/>
  <c r="G77" i="2" a="1"/>
  <c r="G77" i="2" s="1"/>
  <c r="G76" i="2" a="1"/>
  <c r="G76" i="2" s="1"/>
  <c r="G79" i="2" a="1"/>
  <c r="G79" i="2" s="1"/>
  <c r="G67" i="2" a="1"/>
  <c r="G67" i="2" s="1"/>
  <c r="G78" i="2" a="1"/>
  <c r="G78" i="2" s="1"/>
  <c r="G74" i="2" a="1"/>
  <c r="G74" i="2" s="1"/>
  <c r="G70" i="2" a="1"/>
  <c r="G70" i="2" s="1"/>
  <c r="G73" i="2" a="1"/>
  <c r="G73" i="2" s="1"/>
  <c r="G69" i="2" a="1"/>
  <c r="G69" i="2" s="1"/>
  <c r="G71" i="2" a="1"/>
  <c r="G71" i="2" s="1"/>
  <c r="G81" i="2" a="1"/>
  <c r="G81" i="2" s="1"/>
  <c r="G75" i="2" a="1"/>
  <c r="G75" i="2" s="1"/>
  <c r="G82" i="2" a="1"/>
  <c r="G82" i="2" s="1"/>
  <c r="G80" i="2" a="1"/>
  <c r="G80" i="2" s="1"/>
  <c r="E46" i="10" a="1"/>
  <c r="E46" i="10" s="1"/>
  <c r="H14" i="10"/>
  <c r="D38" i="10" s="1"/>
  <c r="I41" i="10" s="1"/>
  <c r="K41" i="10" s="1"/>
  <c r="H28" i="10"/>
  <c r="D52" i="10" s="1"/>
  <c r="H27" i="10"/>
  <c r="D51" i="10" s="1"/>
  <c r="H22" i="10"/>
  <c r="D46" i="10" s="1"/>
  <c r="H23" i="10"/>
  <c r="D47" i="10" s="1"/>
  <c r="D42" i="10"/>
  <c r="H18" i="10"/>
  <c r="H31" i="10"/>
  <c r="D55" i="10" s="1"/>
  <c r="H26" i="10"/>
  <c r="D50" i="10" s="1"/>
  <c r="H21" i="10"/>
  <c r="D45" i="10" s="1"/>
  <c r="H15" i="10"/>
  <c r="D39" i="10" s="1"/>
  <c r="H16" i="10"/>
  <c r="D40" i="10" s="1"/>
  <c r="H17" i="10"/>
  <c r="D41" i="10" s="1"/>
  <c r="H24" i="10"/>
  <c r="D48" i="10" s="1"/>
  <c r="H25" i="10"/>
  <c r="D49" i="10" s="1"/>
  <c r="H29" i="10"/>
  <c r="D53" i="10" s="1"/>
  <c r="H30" i="10"/>
  <c r="D54" i="10" s="1"/>
  <c r="H20" i="10"/>
  <c r="D44" i="10" s="1"/>
  <c r="H19" i="10"/>
  <c r="D43" i="10" s="1"/>
  <c r="G121" i="10" a="1"/>
  <c r="G121" i="10" s="1"/>
  <c r="J121" i="10" s="1" a="1"/>
  <c r="J121" i="10" s="1"/>
  <c r="G122" i="10" a="1"/>
  <c r="G122" i="10" s="1"/>
  <c r="J122" i="10" s="1" a="1"/>
  <c r="J122" i="10" s="1"/>
  <c r="G120" i="10" a="1"/>
  <c r="G120" i="10" s="1"/>
  <c r="J120" i="10" s="1" a="1"/>
  <c r="J120" i="10" s="1"/>
  <c r="G119" i="10" a="1"/>
  <c r="G119" i="10" s="1"/>
  <c r="J119" i="10" s="1" a="1"/>
  <c r="J119" i="10" s="1"/>
  <c r="G118" i="10" a="1"/>
  <c r="G118" i="10" s="1"/>
  <c r="J118" i="10" s="1" a="1"/>
  <c r="J118" i="10" s="1"/>
  <c r="G117" i="10" a="1"/>
  <c r="G117" i="10" s="1"/>
  <c r="J117" i="10" s="1" a="1"/>
  <c r="J117" i="10" s="1"/>
  <c r="G116" i="10" a="1"/>
  <c r="G116" i="10" s="1"/>
  <c r="J116" i="10" s="1" a="1"/>
  <c r="J116" i="10" s="1"/>
  <c r="G115" i="10" a="1"/>
  <c r="G115" i="10" s="1"/>
  <c r="J115" i="10" s="1" a="1"/>
  <c r="J115" i="10" s="1"/>
  <c r="G114" i="10" a="1"/>
  <c r="G114" i="10" s="1"/>
  <c r="J114" i="10" s="1" a="1"/>
  <c r="J114" i="10" s="1"/>
  <c r="G113" i="10" a="1"/>
  <c r="G113" i="10" s="1"/>
  <c r="J113" i="10" s="1" a="1"/>
  <c r="J113" i="10" s="1"/>
  <c r="G112" i="10" a="1"/>
  <c r="G112" i="10" s="1"/>
  <c r="J112" i="10" s="1" a="1"/>
  <c r="J112" i="10" s="1"/>
  <c r="G111" i="10" a="1"/>
  <c r="G111" i="10" s="1"/>
  <c r="J111" i="10" s="1" a="1"/>
  <c r="J111" i="10" s="1"/>
  <c r="G110" i="10" a="1"/>
  <c r="G110" i="10" s="1"/>
  <c r="J110" i="10" s="1" a="1"/>
  <c r="J110" i="10" s="1"/>
  <c r="G109" i="10" a="1"/>
  <c r="G109" i="10" s="1"/>
  <c r="J109" i="10" s="1" a="1"/>
  <c r="J109" i="10" s="1"/>
  <c r="G108" i="10" a="1"/>
  <c r="G108" i="10" s="1"/>
  <c r="J108" i="10" s="1" a="1"/>
  <c r="J108" i="10" s="1"/>
  <c r="G107" i="10" a="1"/>
  <c r="G107" i="10" s="1"/>
  <c r="J107" i="10" s="1" a="1"/>
  <c r="J107" i="10" s="1"/>
  <c r="B133" i="10"/>
  <c r="D133" i="10" s="1"/>
  <c r="G106" i="10" a="1"/>
  <c r="G106" i="10" s="1"/>
  <c r="J106" i="10" s="1" a="1"/>
  <c r="J106" i="10" s="1"/>
  <c r="G68" i="10" a="1"/>
  <c r="G68" i="10" s="1"/>
  <c r="G82" i="10" a="1"/>
  <c r="G82" i="10" s="1"/>
  <c r="G80" i="10" a="1"/>
  <c r="G80" i="10" s="1"/>
  <c r="G78" i="10" a="1"/>
  <c r="G78" i="10" s="1"/>
  <c r="G76" i="10" a="1"/>
  <c r="G76" i="10" s="1"/>
  <c r="G74" i="10" a="1"/>
  <c r="G74" i="10" s="1"/>
  <c r="G72" i="10" a="1"/>
  <c r="G72" i="10" s="1"/>
  <c r="G70" i="10" a="1"/>
  <c r="G70" i="10" s="1"/>
  <c r="G65" i="10" a="1"/>
  <c r="G65" i="10" s="1"/>
  <c r="B97" i="10" s="1"/>
  <c r="D97" i="10" s="1"/>
  <c r="G81" i="10" a="1"/>
  <c r="G81" i="10" s="1"/>
  <c r="G79" i="10" a="1"/>
  <c r="G79" i="10" s="1"/>
  <c r="G77" i="10" a="1"/>
  <c r="G77" i="10" s="1"/>
  <c r="G75" i="10" a="1"/>
  <c r="G75" i="10" s="1"/>
  <c r="G73" i="10" a="1"/>
  <c r="G73" i="10" s="1"/>
  <c r="G71" i="10" a="1"/>
  <c r="G71" i="10" s="1"/>
  <c r="G69" i="10" a="1"/>
  <c r="G69" i="10" s="1"/>
  <c r="G67" i="10" a="1"/>
  <c r="G67" i="10" s="1"/>
  <c r="G66" i="10" a="1"/>
  <c r="G66" i="10" s="1"/>
  <c r="N84" i="10" a="1"/>
  <c r="N84" i="10" s="1"/>
  <c r="Q84" i="10" s="1" a="1"/>
  <c r="Q84" i="10" s="1"/>
  <c r="N82" i="10" a="1"/>
  <c r="N82" i="10" s="1"/>
  <c r="Q82" i="10" s="1" a="1"/>
  <c r="Q82" i="10" s="1"/>
  <c r="N80" i="10" a="1"/>
  <c r="N80" i="10" s="1"/>
  <c r="Q80" i="10" s="1" a="1"/>
  <c r="Q80" i="10" s="1"/>
  <c r="N78" i="10" a="1"/>
  <c r="N78" i="10" s="1"/>
  <c r="Q78" i="10" s="1" a="1"/>
  <c r="Q78" i="10" s="1"/>
  <c r="N76" i="10" a="1"/>
  <c r="N76" i="10" s="1"/>
  <c r="Q76" i="10" s="1" a="1"/>
  <c r="Q76" i="10" s="1"/>
  <c r="N74" i="10" a="1"/>
  <c r="N74" i="10" s="1"/>
  <c r="Q74" i="10" s="1" a="1"/>
  <c r="Q74" i="10" s="1"/>
  <c r="N72" i="10" a="1"/>
  <c r="N72" i="10" s="1"/>
  <c r="Q72" i="10" s="1" a="1"/>
  <c r="Q72" i="10" s="1"/>
  <c r="N70" i="10" a="1"/>
  <c r="N70" i="10" s="1"/>
  <c r="Q70" i="10" s="1" a="1"/>
  <c r="Q70" i="10" s="1"/>
  <c r="N68" i="10" a="1"/>
  <c r="N68" i="10" s="1"/>
  <c r="Q68" i="10" s="1" a="1"/>
  <c r="Q68" i="10" s="1"/>
  <c r="N81" i="10" a="1"/>
  <c r="N81" i="10" s="1"/>
  <c r="Q81" i="10" s="1" a="1"/>
  <c r="Q81" i="10" s="1"/>
  <c r="N79" i="10" a="1"/>
  <c r="N79" i="10" s="1"/>
  <c r="Q79" i="10" s="1" a="1"/>
  <c r="Q79" i="10" s="1"/>
  <c r="N77" i="10" a="1"/>
  <c r="N77" i="10" s="1"/>
  <c r="Q77" i="10" s="1" a="1"/>
  <c r="Q77" i="10" s="1"/>
  <c r="N75" i="10" a="1"/>
  <c r="N75" i="10" s="1"/>
  <c r="Q75" i="10" s="1" a="1"/>
  <c r="Q75" i="10" s="1"/>
  <c r="N73" i="10" a="1"/>
  <c r="N73" i="10" s="1"/>
  <c r="Q73" i="10" s="1" a="1"/>
  <c r="Q73" i="10" s="1"/>
  <c r="N71" i="10" a="1"/>
  <c r="N71" i="10" s="1"/>
  <c r="Q71" i="10" s="1" a="1"/>
  <c r="Q71" i="10" s="1"/>
  <c r="N69" i="10" a="1"/>
  <c r="N69" i="10" s="1"/>
  <c r="Q69" i="10" s="1" a="1"/>
  <c r="Q69" i="10" s="1"/>
  <c r="B96" i="10"/>
  <c r="D96" i="10" s="1"/>
  <c r="N83" i="10" a="1"/>
  <c r="N83" i="10" s="1"/>
  <c r="Q83" i="10" s="1" a="1"/>
  <c r="Q83" i="10" s="1"/>
  <c r="E5" i="9" a="1"/>
  <c r="E5" i="9" s="1"/>
  <c r="I42" i="9"/>
  <c r="K42" i="9" s="1"/>
  <c r="N67" i="9" a="1"/>
  <c r="N67" i="9" s="1"/>
  <c r="O67" i="9" s="1" a="1"/>
  <c r="O67" i="9" s="1"/>
  <c r="N75" i="9" a="1"/>
  <c r="N75" i="9" s="1"/>
  <c r="O75" i="9" s="1" a="1"/>
  <c r="O75" i="9" s="1"/>
  <c r="N83" i="9" a="1"/>
  <c r="N83" i="9" s="1"/>
  <c r="O83" i="9" s="1" a="1"/>
  <c r="O83" i="9" s="1"/>
  <c r="I41" i="9"/>
  <c r="K41" i="9" s="1"/>
  <c r="D45" i="9"/>
  <c r="N70" i="9" a="1"/>
  <c r="N70" i="9" s="1"/>
  <c r="O70" i="9" s="1" a="1"/>
  <c r="O70" i="9" s="1"/>
  <c r="N76" i="9" a="1"/>
  <c r="N76" i="9" s="1"/>
  <c r="O76" i="9" s="1" a="1"/>
  <c r="O76" i="9" s="1"/>
  <c r="N84" i="9" a="1"/>
  <c r="N84" i="9" s="1"/>
  <c r="O84" i="9" s="1" a="1"/>
  <c r="O84" i="9" s="1"/>
  <c r="N71" i="9" a="1"/>
  <c r="N71" i="9" s="1"/>
  <c r="O71" i="9" s="1" a="1"/>
  <c r="O71" i="9" s="1"/>
  <c r="N77" i="9" a="1"/>
  <c r="N77" i="9" s="1"/>
  <c r="O77" i="9" s="1" a="1"/>
  <c r="O77" i="9" s="1"/>
  <c r="N68" i="9" a="1"/>
  <c r="N68" i="9" s="1"/>
  <c r="O68" i="9" s="1" a="1"/>
  <c r="O68" i="9" s="1"/>
  <c r="N78" i="9" a="1"/>
  <c r="N78" i="9" s="1"/>
  <c r="O78" i="9" s="1" a="1"/>
  <c r="O78" i="9" s="1"/>
  <c r="N72" i="9" a="1"/>
  <c r="N72" i="9" s="1"/>
  <c r="O72" i="9" s="1" a="1"/>
  <c r="O72" i="9" s="1"/>
  <c r="N79" i="9" a="1"/>
  <c r="N79" i="9" s="1"/>
  <c r="O79" i="9" s="1" a="1"/>
  <c r="O79" i="9" s="1"/>
  <c r="N69" i="9" a="1"/>
  <c r="N69" i="9" s="1"/>
  <c r="O69" i="9" s="1" a="1"/>
  <c r="O69" i="9" s="1"/>
  <c r="N80" i="9" a="1"/>
  <c r="N80" i="9" s="1"/>
  <c r="O80" i="9" s="1" a="1"/>
  <c r="O80" i="9" s="1"/>
  <c r="N73" i="9" a="1"/>
  <c r="N73" i="9" s="1"/>
  <c r="O73" i="9" s="1" a="1"/>
  <c r="O73" i="9" s="1"/>
  <c r="N81" i="9" a="1"/>
  <c r="N81" i="9" s="1"/>
  <c r="O81" i="9" s="1" a="1"/>
  <c r="O81" i="9" s="1"/>
  <c r="N74" i="9" a="1"/>
  <c r="N74" i="9" s="1"/>
  <c r="O74" i="9" s="1" a="1"/>
  <c r="O74" i="9" s="1"/>
  <c r="D52" i="9"/>
  <c r="D40" i="9"/>
  <c r="D48" i="9"/>
  <c r="D50" i="9"/>
  <c r="D54" i="9"/>
  <c r="D53" i="9"/>
  <c r="D47" i="9"/>
  <c r="D46" i="9"/>
  <c r="D44" i="9"/>
  <c r="D41" i="9"/>
  <c r="D55" i="9"/>
  <c r="D91" i="9"/>
  <c r="B131" i="9"/>
  <c r="D131" i="9" s="1"/>
  <c r="D43" i="9"/>
  <c r="I107" i="8" a="1"/>
  <c r="I107" i="8" s="1"/>
  <c r="J108" i="8" s="1" a="1"/>
  <c r="J108" i="8" s="1"/>
  <c r="I112" i="8" a="1"/>
  <c r="I112" i="8" s="1"/>
  <c r="J113" i="8" s="1" a="1"/>
  <c r="J113" i="8" s="1"/>
  <c r="I119" i="8" a="1"/>
  <c r="I119" i="8" s="1"/>
  <c r="J120" i="8" s="1" a="1"/>
  <c r="J120" i="8" s="1"/>
  <c r="I109" i="8" a="1"/>
  <c r="I109" i="8" s="1"/>
  <c r="J110" i="8" s="1" a="1"/>
  <c r="J110" i="8" s="1"/>
  <c r="I113" i="8" a="1"/>
  <c r="I113" i="8" s="1"/>
  <c r="J114" i="8" s="1" a="1"/>
  <c r="J114" i="8" s="1"/>
  <c r="H28" i="8"/>
  <c r="D52" i="8" s="1"/>
  <c r="H14" i="8"/>
  <c r="H30" i="8"/>
  <c r="D54" i="8" s="1"/>
  <c r="H16" i="8"/>
  <c r="D40" i="8" s="1"/>
  <c r="H21" i="8"/>
  <c r="D45" i="8" s="1"/>
  <c r="H17" i="8"/>
  <c r="D41" i="8" s="1"/>
  <c r="H22" i="8"/>
  <c r="D46" i="8" s="1"/>
  <c r="H24" i="8"/>
  <c r="D48" i="8" s="1"/>
  <c r="H27" i="8"/>
  <c r="D51" i="8" s="1"/>
  <c r="H25" i="8"/>
  <c r="D49" i="8" s="1"/>
  <c r="H29" i="8"/>
  <c r="D53" i="8" s="1"/>
  <c r="H19" i="8"/>
  <c r="D43" i="8" s="1"/>
  <c r="H23" i="8"/>
  <c r="D47" i="8" s="1"/>
  <c r="H18" i="8"/>
  <c r="D42" i="8" s="1"/>
  <c r="H20" i="8"/>
  <c r="D44" i="8" s="1"/>
  <c r="H26" i="8"/>
  <c r="D50" i="8" s="1"/>
  <c r="H31" i="8"/>
  <c r="D55" i="8" s="1"/>
  <c r="H15" i="8"/>
  <c r="D39" i="8" s="1"/>
  <c r="I110" i="8" a="1"/>
  <c r="I110" i="8" s="1"/>
  <c r="J111" i="8" s="1" a="1"/>
  <c r="J111" i="8" s="1"/>
  <c r="I106" i="8" a="1"/>
  <c r="I106" i="8" s="1"/>
  <c r="J107" i="8" s="1" a="1"/>
  <c r="J107" i="8" s="1"/>
  <c r="I108" i="8" a="1"/>
  <c r="I108" i="8" s="1"/>
  <c r="J109" i="8" s="1" a="1"/>
  <c r="J109" i="8" s="1"/>
  <c r="I105" i="8" a="1"/>
  <c r="I105" i="8" s="1"/>
  <c r="I118" i="8" a="1"/>
  <c r="I118" i="8" s="1"/>
  <c r="I114" i="8" a="1"/>
  <c r="I114" i="8" s="1"/>
  <c r="J115" i="8" s="1" a="1"/>
  <c r="J115" i="8" s="1"/>
  <c r="I117" i="8" a="1"/>
  <c r="I117" i="8" s="1"/>
  <c r="J118" i="8" s="1" a="1"/>
  <c r="J118" i="8" s="1"/>
  <c r="I121" i="8" a="1"/>
  <c r="I121" i="8" s="1"/>
  <c r="J121" i="8" s="1" a="1"/>
  <c r="J121" i="8" s="1"/>
  <c r="I122" i="8" a="1"/>
  <c r="I122" i="8" s="1"/>
  <c r="I111" i="8" a="1"/>
  <c r="I111" i="8" s="1"/>
  <c r="J112" i="8" s="1" a="1"/>
  <c r="J112" i="8" s="1"/>
  <c r="I115" i="8" a="1"/>
  <c r="I115" i="8" s="1"/>
  <c r="J116" i="8" s="1" a="1"/>
  <c r="J116" i="8" s="1"/>
  <c r="D97" i="8"/>
  <c r="I116" i="8" a="1"/>
  <c r="I116" i="8" s="1"/>
  <c r="J117" i="8" s="1" a="1"/>
  <c r="J117" i="8" s="1"/>
  <c r="P79" i="8" a="1"/>
  <c r="P79" i="8" s="1"/>
  <c r="Q79" i="8" s="1" a="1"/>
  <c r="Q79" i="8" s="1"/>
  <c r="P68" i="8" a="1"/>
  <c r="P68" i="8" s="1"/>
  <c r="Q68" i="8" s="1" a="1"/>
  <c r="Q68" i="8" s="1"/>
  <c r="P78" i="8" a="1"/>
  <c r="P78" i="8" s="1"/>
  <c r="Q78" i="8" s="1" a="1"/>
  <c r="Q78" i="8" s="1"/>
  <c r="P74" i="8" a="1"/>
  <c r="P74" i="8" s="1"/>
  <c r="Q74" i="8" s="1" a="1"/>
  <c r="Q74" i="8" s="1"/>
  <c r="P69" i="8" a="1"/>
  <c r="P69" i="8" s="1"/>
  <c r="Q69" i="8" s="1" a="1"/>
  <c r="Q69" i="8" s="1"/>
  <c r="P84" i="8" a="1"/>
  <c r="P84" i="8" s="1"/>
  <c r="Q84" i="8" s="1" a="1"/>
  <c r="Q84" i="8" s="1"/>
  <c r="P70" i="8" a="1"/>
  <c r="P70" i="8" s="1"/>
  <c r="Q70" i="8" s="1" a="1"/>
  <c r="Q70" i="8" s="1"/>
  <c r="P82" i="8" a="1"/>
  <c r="P82" i="8" s="1"/>
  <c r="Q82" i="8" s="1" a="1"/>
  <c r="Q82" i="8" s="1"/>
  <c r="P76" i="8" a="1"/>
  <c r="P76" i="8" s="1"/>
  <c r="Q76" i="8" s="1" a="1"/>
  <c r="Q76" i="8" s="1"/>
  <c r="P71" i="8" a="1"/>
  <c r="P71" i="8" s="1"/>
  <c r="Q71" i="8" s="1" a="1"/>
  <c r="Q71" i="8" s="1"/>
  <c r="P72" i="8" a="1"/>
  <c r="P72" i="8" s="1"/>
  <c r="Q72" i="8" s="1" a="1"/>
  <c r="Q72" i="8" s="1"/>
  <c r="P81" i="8" a="1"/>
  <c r="P81" i="8" s="1"/>
  <c r="Q81" i="8" s="1" a="1"/>
  <c r="Q81" i="8" s="1"/>
  <c r="P80" i="8" a="1"/>
  <c r="P80" i="8" s="1"/>
  <c r="Q80" i="8" s="1" a="1"/>
  <c r="Q80" i="8" s="1"/>
  <c r="P77" i="8" a="1"/>
  <c r="P77" i="8" s="1"/>
  <c r="Q77" i="8" s="1" a="1"/>
  <c r="Q77" i="8" s="1"/>
  <c r="P75" i="8" a="1"/>
  <c r="P75" i="8" s="1"/>
  <c r="Q75" i="8" s="1" a="1"/>
  <c r="Q75" i="8" s="1"/>
  <c r="P67" i="8" a="1"/>
  <c r="P67" i="8" s="1"/>
  <c r="Q67" i="8" s="1" a="1"/>
  <c r="Q67" i="8" s="1"/>
  <c r="P73" i="8" a="1"/>
  <c r="P73" i="8" s="1"/>
  <c r="Q73" i="8" s="1" a="1"/>
  <c r="Q73" i="8" s="1"/>
  <c r="P83" i="8" a="1"/>
  <c r="P83" i="8" s="1"/>
  <c r="Q83" i="8" s="1" a="1"/>
  <c r="Q83" i="8" s="1"/>
  <c r="D98" i="2"/>
  <c r="I43" i="2"/>
  <c r="K43" i="2" s="1"/>
  <c r="H77" i="9" l="1" a="1"/>
  <c r="H77" i="9" s="1"/>
  <c r="H83" i="9" a="1"/>
  <c r="H83" i="9" s="1"/>
  <c r="H78" i="9" a="1"/>
  <c r="H78" i="9" s="1"/>
  <c r="H71" i="9" a="1"/>
  <c r="H71" i="9" s="1"/>
  <c r="H66" i="9" a="1"/>
  <c r="H66" i="9" s="1"/>
  <c r="B92" i="9" s="1"/>
  <c r="D92" i="9" s="1"/>
  <c r="H72" i="9" a="1"/>
  <c r="H72" i="9" s="1"/>
  <c r="H80" i="9" a="1"/>
  <c r="H80" i="9" s="1"/>
  <c r="H73" i="9" a="1"/>
  <c r="H73" i="9" s="1"/>
  <c r="H79" i="9" a="1"/>
  <c r="H79" i="9" s="1"/>
  <c r="H74" i="9" a="1"/>
  <c r="H74" i="9" s="1"/>
  <c r="H67" i="9" a="1"/>
  <c r="H67" i="9" s="1"/>
  <c r="H68" i="9" a="1"/>
  <c r="H68" i="9" s="1"/>
  <c r="H81" i="9" a="1"/>
  <c r="H81" i="9" s="1"/>
  <c r="H76" i="9" a="1"/>
  <c r="H76" i="9" s="1"/>
  <c r="H69" i="9" a="1"/>
  <c r="H69" i="9" s="1"/>
  <c r="H75" i="9" a="1"/>
  <c r="H75" i="9" s="1"/>
  <c r="H82" i="9" a="1"/>
  <c r="H82" i="9" s="1"/>
  <c r="H70" i="9" a="1"/>
  <c r="H70" i="9" s="1"/>
  <c r="J106" i="8" a="1"/>
  <c r="J106" i="8" s="1"/>
  <c r="J122" i="8" a="1"/>
  <c r="J122" i="8" s="1"/>
  <c r="B90" i="9"/>
  <c r="D90" i="9" s="1"/>
  <c r="D38" i="8"/>
  <c r="I41" i="8" s="1"/>
  <c r="K41" i="8" s="1"/>
  <c r="B96" i="8"/>
  <c r="D96" i="8" s="1"/>
  <c r="B133" i="8"/>
  <c r="D133" i="8" s="1"/>
  <c r="D97" i="2"/>
  <c r="B2" i="2"/>
  <c r="K65" i="2"/>
  <c r="L65" i="2" s="1" a="1"/>
  <c r="L65" i="2" s="1"/>
  <c r="K66" i="2"/>
  <c r="L66" i="2" s="1" a="1"/>
  <c r="L66" i="2" s="1"/>
  <c r="P65" i="2" s="1"/>
  <c r="G12" i="2"/>
  <c r="K68" i="2"/>
  <c r="L68" i="2" s="1" a="1"/>
  <c r="L68" i="2" s="1"/>
  <c r="R65" i="2" s="1"/>
  <c r="K70" i="2"/>
  <c r="L70" i="2" s="1" a="1"/>
  <c r="L70" i="2" s="1"/>
  <c r="T65" i="2" s="1"/>
  <c r="K71" i="2"/>
  <c r="L71" i="2" s="1" a="1"/>
  <c r="L71" i="2" s="1"/>
  <c r="U65" i="2" s="1"/>
  <c r="M12" i="2"/>
  <c r="C120" i="2" a="1"/>
  <c r="C120" i="2" s="1"/>
  <c r="B120" i="2" a="1"/>
  <c r="B120" i="2" s="1"/>
  <c r="C119" i="2" a="1"/>
  <c r="C119" i="2" s="1"/>
  <c r="B119" i="2" a="1"/>
  <c r="B119" i="2" s="1"/>
  <c r="C118" i="2" a="1"/>
  <c r="C118" i="2" s="1"/>
  <c r="B118" i="2" a="1"/>
  <c r="B118" i="2" s="1"/>
  <c r="C117" i="2" a="1"/>
  <c r="C117" i="2" s="1"/>
  <c r="B117" i="2" a="1"/>
  <c r="B117" i="2" s="1"/>
  <c r="C116" i="2" a="1"/>
  <c r="C116" i="2" s="1"/>
  <c r="B116" i="2" a="1"/>
  <c r="B116" i="2" s="1"/>
  <c r="C115" i="2" a="1"/>
  <c r="C115" i="2" s="1"/>
  <c r="B115" i="2" a="1"/>
  <c r="B115" i="2" s="1"/>
  <c r="C114" i="2" a="1"/>
  <c r="C114" i="2" s="1"/>
  <c r="B114" i="2" a="1"/>
  <c r="B114" i="2" s="1"/>
  <c r="C113" i="2" a="1"/>
  <c r="C113" i="2" s="1"/>
  <c r="B113" i="2" a="1"/>
  <c r="B113" i="2" s="1"/>
  <c r="C112" i="2" a="1"/>
  <c r="C112" i="2" s="1"/>
  <c r="B112" i="2" a="1"/>
  <c r="B112" i="2" s="1"/>
  <c r="C111" i="2" a="1"/>
  <c r="C111" i="2" s="1"/>
  <c r="B111" i="2" a="1"/>
  <c r="B111" i="2" s="1"/>
  <c r="C110" i="2" a="1"/>
  <c r="C110" i="2" s="1"/>
  <c r="B110" i="2" a="1"/>
  <c r="B110" i="2" s="1"/>
  <c r="C109" i="2" a="1"/>
  <c r="C109" i="2" s="1"/>
  <c r="B109" i="2" a="1"/>
  <c r="B109" i="2" s="1"/>
  <c r="C108" i="2" a="1"/>
  <c r="C108" i="2" s="1"/>
  <c r="B108" i="2" a="1"/>
  <c r="B108" i="2" s="1"/>
  <c r="C107" i="2" a="1"/>
  <c r="C107" i="2" s="1"/>
  <c r="B107" i="2" a="1"/>
  <c r="B107" i="2" s="1"/>
  <c r="C106" i="2" a="1"/>
  <c r="C106" i="2" s="1"/>
  <c r="B106" i="2" a="1"/>
  <c r="B106" i="2" s="1"/>
  <c r="C105" i="2" a="1"/>
  <c r="C105" i="2" s="1"/>
  <c r="B105" i="2" a="1"/>
  <c r="B105" i="2" s="1"/>
  <c r="C104" i="2" a="1"/>
  <c r="C104" i="2" s="1"/>
  <c r="B104" i="2" a="1"/>
  <c r="B104" i="2" s="1"/>
  <c r="C103" i="2" a="1"/>
  <c r="C103" i="2" s="1"/>
  <c r="B132" i="2" s="1"/>
  <c r="D132" i="2" s="1"/>
  <c r="B103" i="2" a="1"/>
  <c r="B103" i="2" s="1"/>
  <c r="B134" i="2" s="1"/>
  <c r="D134" i="2" s="1"/>
  <c r="P68" i="2" l="1" a="1"/>
  <c r="P68" i="2" s="1"/>
  <c r="P73" i="2" a="1"/>
  <c r="P73" i="2" s="1"/>
  <c r="P83" i="2" a="1"/>
  <c r="P83" i="2" s="1"/>
  <c r="P69" i="2" a="1"/>
  <c r="P69" i="2" s="1"/>
  <c r="P79" i="2" a="1"/>
  <c r="P79" i="2" s="1"/>
  <c r="P67" i="2" a="1"/>
  <c r="P67" i="2" s="1"/>
  <c r="P74" i="2" a="1"/>
  <c r="P74" i="2" s="1"/>
  <c r="P80" i="2" a="1"/>
  <c r="P80" i="2" s="1"/>
  <c r="P76" i="2" a="1"/>
  <c r="P76" i="2" s="1"/>
  <c r="P78" i="2" a="1"/>
  <c r="P78" i="2" s="1"/>
  <c r="P70" i="2" a="1"/>
  <c r="P70" i="2" s="1"/>
  <c r="P81" i="2" a="1"/>
  <c r="P81" i="2" s="1"/>
  <c r="P77" i="2" a="1"/>
  <c r="P77" i="2" s="1"/>
  <c r="P72" i="2" a="1"/>
  <c r="P72" i="2" s="1"/>
  <c r="P84" i="2" a="1"/>
  <c r="P84" i="2" s="1"/>
  <c r="P75" i="2" a="1"/>
  <c r="P75" i="2" s="1"/>
  <c r="P82" i="2" a="1"/>
  <c r="P82" i="2" s="1"/>
  <c r="P71" i="2" a="1"/>
  <c r="P71" i="2" s="1"/>
  <c r="T69" i="2" a="1"/>
  <c r="T69" i="2" s="1"/>
  <c r="T75" i="2" a="1"/>
  <c r="T75" i="2" s="1"/>
  <c r="T82" i="2" a="1"/>
  <c r="T82" i="2" s="1"/>
  <c r="T80" i="2" a="1"/>
  <c r="T80" i="2" s="1"/>
  <c r="T68" i="2" a="1"/>
  <c r="T68" i="2" s="1"/>
  <c r="T70" i="2" a="1"/>
  <c r="T70" i="2" s="1"/>
  <c r="T76" i="2" a="1"/>
  <c r="T76" i="2" s="1"/>
  <c r="T77" i="2" a="1"/>
  <c r="T77" i="2" s="1"/>
  <c r="T83" i="2" a="1"/>
  <c r="T83" i="2" s="1"/>
  <c r="T81" i="2" a="1"/>
  <c r="T81" i="2" s="1"/>
  <c r="T71" i="2" a="1"/>
  <c r="T71" i="2" s="1"/>
  <c r="T78" i="2" a="1"/>
  <c r="T78" i="2" s="1"/>
  <c r="T84" i="2" a="1"/>
  <c r="T84" i="2" s="1"/>
  <c r="T79" i="2" a="1"/>
  <c r="T79" i="2" s="1"/>
  <c r="T74" i="2" a="1"/>
  <c r="T74" i="2" s="1"/>
  <c r="T72" i="2" a="1"/>
  <c r="T72" i="2" s="1"/>
  <c r="T73" i="2" a="1"/>
  <c r="T73" i="2" s="1"/>
  <c r="T67" i="2" a="1"/>
  <c r="T67" i="2" s="1"/>
  <c r="R72" i="2" a="1"/>
  <c r="R72" i="2" s="1"/>
  <c r="R78" i="2" a="1"/>
  <c r="R78" i="2" s="1"/>
  <c r="R70" i="2" a="1"/>
  <c r="R70" i="2" s="1"/>
  <c r="R73" i="2" a="1"/>
  <c r="R73" i="2" s="1"/>
  <c r="R79" i="2" a="1"/>
  <c r="R79" i="2" s="1"/>
  <c r="R67" i="2" a="1"/>
  <c r="R67" i="2" s="1"/>
  <c r="R80" i="2" a="1"/>
  <c r="R80" i="2" s="1"/>
  <c r="R71" i="2" a="1"/>
  <c r="R71" i="2" s="1"/>
  <c r="R68" i="2" a="1"/>
  <c r="R68" i="2" s="1"/>
  <c r="R74" i="2" a="1"/>
  <c r="R74" i="2" s="1"/>
  <c r="R81" i="2" a="1"/>
  <c r="R81" i="2" s="1"/>
  <c r="R82" i="2" a="1"/>
  <c r="R82" i="2" s="1"/>
  <c r="R83" i="2" a="1"/>
  <c r="R83" i="2" s="1"/>
  <c r="R84" i="2" a="1"/>
  <c r="R84" i="2" s="1"/>
  <c r="R69" i="2" a="1"/>
  <c r="R69" i="2" s="1"/>
  <c r="R75" i="2" a="1"/>
  <c r="R75" i="2" s="1"/>
  <c r="R76" i="2" a="1"/>
  <c r="R76" i="2" s="1"/>
  <c r="R77" i="2" a="1"/>
  <c r="R77" i="2" s="1"/>
  <c r="U67" i="2" a="1"/>
  <c r="U67" i="2" s="1"/>
  <c r="U74" i="2" a="1"/>
  <c r="U74" i="2" s="1"/>
  <c r="U80" i="2" a="1"/>
  <c r="U80" i="2" s="1"/>
  <c r="U78" i="2" a="1"/>
  <c r="U78" i="2" s="1"/>
  <c r="U72" i="2" a="1"/>
  <c r="U72" i="2" s="1"/>
  <c r="U68" i="2" a="1"/>
  <c r="U68" i="2" s="1"/>
  <c r="U81" i="2" a="1"/>
  <c r="U81" i="2" s="1"/>
  <c r="U84" i="2" a="1"/>
  <c r="U84" i="2" s="1"/>
  <c r="U69" i="2" a="1"/>
  <c r="U69" i="2" s="1"/>
  <c r="U75" i="2" a="1"/>
  <c r="U75" i="2" s="1"/>
  <c r="U82" i="2" a="1"/>
  <c r="U82" i="2" s="1"/>
  <c r="U70" i="2" a="1"/>
  <c r="U70" i="2" s="1"/>
  <c r="U76" i="2" a="1"/>
  <c r="U76" i="2" s="1"/>
  <c r="U71" i="2" a="1"/>
  <c r="U71" i="2" s="1"/>
  <c r="U79" i="2" a="1"/>
  <c r="U79" i="2" s="1"/>
  <c r="U77" i="2" a="1"/>
  <c r="U77" i="2" s="1"/>
  <c r="U83" i="2" a="1"/>
  <c r="U83" i="2" s="1"/>
  <c r="U73" i="2" a="1"/>
  <c r="U73" i="2" s="1"/>
  <c r="K73" i="2"/>
  <c r="L73" i="2" s="1" a="1"/>
  <c r="L73" i="2" s="1"/>
  <c r="W65" i="2" s="1"/>
  <c r="F12" i="2"/>
  <c r="F30" i="2" s="1" a="1"/>
  <c r="F30" i="2" s="1"/>
  <c r="B75" i="2" a="1"/>
  <c r="B75" i="2" s="1"/>
  <c r="D75" i="2" s="1" a="1"/>
  <c r="D75" i="2" s="1"/>
  <c r="B68" i="2" a="1"/>
  <c r="B68" i="2" s="1"/>
  <c r="D68" i="2" s="1" a="1"/>
  <c r="D68" i="2" s="1"/>
  <c r="B79" i="2" a="1"/>
  <c r="B79" i="2" s="1"/>
  <c r="D79" i="2" s="1" a="1"/>
  <c r="D79" i="2" s="1"/>
  <c r="B65" i="2" a="1"/>
  <c r="B65" i="2" s="1"/>
  <c r="B70" i="2" a="1"/>
  <c r="B70" i="2" s="1"/>
  <c r="D70" i="2" s="1" a="1"/>
  <c r="D70" i="2" s="1"/>
  <c r="B76" i="2" a="1"/>
  <c r="B76" i="2" s="1"/>
  <c r="D76" i="2" s="1" a="1"/>
  <c r="D76" i="2" s="1"/>
  <c r="B81" i="2" a="1"/>
  <c r="B81" i="2" s="1"/>
  <c r="D81" i="2" s="1" a="1"/>
  <c r="D81" i="2" s="1"/>
  <c r="B71" i="2" a="1"/>
  <c r="B71" i="2" s="1"/>
  <c r="D71" i="2" s="1" a="1"/>
  <c r="D71" i="2" s="1"/>
  <c r="B66" i="2" a="1"/>
  <c r="B66" i="2" s="1"/>
  <c r="D66" i="2" s="1" a="1"/>
  <c r="D66" i="2" s="1"/>
  <c r="B72" i="2" a="1"/>
  <c r="B72" i="2" s="1"/>
  <c r="D72" i="2" s="1" a="1"/>
  <c r="D72" i="2" s="1"/>
  <c r="B77" i="2" a="1"/>
  <c r="B77" i="2" s="1"/>
  <c r="D77" i="2" s="1" a="1"/>
  <c r="D77" i="2" s="1"/>
  <c r="B82" i="2" a="1"/>
  <c r="B82" i="2" s="1"/>
  <c r="D82" i="2" s="1" a="1"/>
  <c r="D82" i="2" s="1"/>
  <c r="B73" i="2" a="1"/>
  <c r="B73" i="2" s="1"/>
  <c r="D73" i="2" s="1" a="1"/>
  <c r="D73" i="2" s="1"/>
  <c r="B78" i="2" a="1"/>
  <c r="B78" i="2" s="1"/>
  <c r="D78" i="2" s="1" a="1"/>
  <c r="D78" i="2" s="1"/>
  <c r="B67" i="2" a="1"/>
  <c r="B67" i="2" s="1"/>
  <c r="D67" i="2" s="1" a="1"/>
  <c r="D67" i="2" s="1"/>
  <c r="B69" i="2" a="1"/>
  <c r="B69" i="2" s="1"/>
  <c r="D69" i="2" s="1" a="1"/>
  <c r="D69" i="2" s="1"/>
  <c r="B74" i="2" a="1"/>
  <c r="B74" i="2" s="1"/>
  <c r="D74" i="2" s="1" a="1"/>
  <c r="D74" i="2" s="1"/>
  <c r="B80" i="2" a="1"/>
  <c r="B80" i="2" s="1"/>
  <c r="I42" i="2"/>
  <c r="K42" i="2" s="1"/>
  <c r="E12" i="2"/>
  <c r="E17" i="2" s="1" a="1"/>
  <c r="E17" i="2" s="1"/>
  <c r="F21" i="2" a="1"/>
  <c r="F21" i="2" s="1"/>
  <c r="G14" i="2" a="1"/>
  <c r="G14" i="2" s="1"/>
  <c r="G19" i="2" a="1"/>
  <c r="G19" i="2" s="1"/>
  <c r="K67" i="2"/>
  <c r="L67" i="2" s="1" a="1"/>
  <c r="L67" i="2" s="1"/>
  <c r="Q65" i="2" s="1"/>
  <c r="H12" i="2"/>
  <c r="H29" i="2" s="1" a="1"/>
  <c r="H29" i="2" s="1"/>
  <c r="K12" i="2"/>
  <c r="K18" i="2" s="1" a="1"/>
  <c r="K18" i="2" s="1"/>
  <c r="O65" i="2"/>
  <c r="L12" i="2"/>
  <c r="K72" i="2"/>
  <c r="L72" i="2" s="1" a="1"/>
  <c r="L72" i="2" s="1"/>
  <c r="V65" i="2" s="1"/>
  <c r="K69" i="2"/>
  <c r="L69" i="2" s="1" a="1"/>
  <c r="L69" i="2" s="1"/>
  <c r="S65" i="2" s="1"/>
  <c r="I12" i="2"/>
  <c r="M15" i="2" a="1"/>
  <c r="M15" i="2" s="1"/>
  <c r="M20" i="2" a="1"/>
  <c r="M20" i="2" s="1"/>
  <c r="M31" i="2" a="1"/>
  <c r="M31" i="2" s="1"/>
  <c r="M21" i="2" a="1"/>
  <c r="M21" i="2" s="1"/>
  <c r="M26" i="2" a="1"/>
  <c r="M26" i="2" s="1"/>
  <c r="M16" i="2" a="1"/>
  <c r="M16" i="2" s="1"/>
  <c r="M27" i="2" a="1"/>
  <c r="M27" i="2" s="1"/>
  <c r="M23" i="2" a="1"/>
  <c r="M23" i="2" s="1"/>
  <c r="M28" i="2" a="1"/>
  <c r="M28" i="2" s="1"/>
  <c r="M17" i="2" a="1"/>
  <c r="M17" i="2" s="1"/>
  <c r="M22" i="2" a="1"/>
  <c r="M22" i="2" s="1"/>
  <c r="M18" i="2" a="1"/>
  <c r="M18" i="2" s="1"/>
  <c r="M29" i="2" a="1"/>
  <c r="M29" i="2" s="1"/>
  <c r="M19" i="2" a="1"/>
  <c r="M19" i="2" s="1"/>
  <c r="M24" i="2" a="1"/>
  <c r="M24" i="2" s="1"/>
  <c r="M14" i="2" a="1"/>
  <c r="M14" i="2" s="1"/>
  <c r="M25" i="2" a="1"/>
  <c r="M25" i="2" s="1"/>
  <c r="M30" i="2" a="1"/>
  <c r="M30" i="2" s="1"/>
  <c r="F20" i="2" a="1"/>
  <c r="F20" i="2" s="1"/>
  <c r="G31" i="2" a="1"/>
  <c r="G31" i="2" s="1"/>
  <c r="G25" i="2" a="1"/>
  <c r="G25" i="2" s="1"/>
  <c r="G18" i="2" a="1"/>
  <c r="G18" i="2" s="1"/>
  <c r="G30" i="2" a="1"/>
  <c r="G30" i="2" s="1"/>
  <c r="G24" i="2" a="1"/>
  <c r="G24" i="2" s="1"/>
  <c r="G23" i="2" a="1"/>
  <c r="G23" i="2" s="1"/>
  <c r="G17" i="2" a="1"/>
  <c r="G17" i="2" s="1"/>
  <c r="G29" i="2" a="1"/>
  <c r="G29" i="2" s="1"/>
  <c r="G22" i="2" a="1"/>
  <c r="G22" i="2" s="1"/>
  <c r="J12" i="2"/>
  <c r="G28" i="2" a="1"/>
  <c r="G28" i="2" s="1"/>
  <c r="G16" i="2" a="1"/>
  <c r="G16" i="2" s="1"/>
  <c r="F22" i="2" a="1"/>
  <c r="F22" i="2" s="1"/>
  <c r="G27" i="2" a="1"/>
  <c r="G27" i="2" s="1"/>
  <c r="G21" i="2" a="1"/>
  <c r="G21" i="2" s="1"/>
  <c r="G15" i="2" a="1"/>
  <c r="G15" i="2" s="1"/>
  <c r="G26" i="2" a="1"/>
  <c r="G26" i="2" s="1"/>
  <c r="G20" i="2" a="1"/>
  <c r="G20" i="2" s="1"/>
  <c r="J103" i="2"/>
  <c r="L103" i="2"/>
  <c r="M103" i="2"/>
  <c r="H103" i="2"/>
  <c r="C50" i="2" a="1"/>
  <c r="C50" i="2" s="1"/>
  <c r="C45" i="2" a="1"/>
  <c r="C45" i="2" s="1"/>
  <c r="C47" i="2" a="1"/>
  <c r="C47" i="2" s="1"/>
  <c r="C52" i="2" a="1"/>
  <c r="C52" i="2" s="1"/>
  <c r="C43" i="2" a="1"/>
  <c r="C43" i="2" s="1"/>
  <c r="C53" i="2" a="1"/>
  <c r="C53" i="2" s="1"/>
  <c r="C40" i="2" a="1"/>
  <c r="C40" i="2" s="1"/>
  <c r="C42" i="2" a="1"/>
  <c r="C42" i="2" s="1"/>
  <c r="C39" i="2" a="1"/>
  <c r="C39" i="2" s="1"/>
  <c r="C54" i="2" a="1"/>
  <c r="C54" i="2" s="1"/>
  <c r="C38" i="2" a="1"/>
  <c r="C38" i="2" s="1"/>
  <c r="C49" i="2" a="1"/>
  <c r="C49" i="2" s="1"/>
  <c r="C55" i="2" a="1"/>
  <c r="C55" i="2" s="1"/>
  <c r="C44" i="2" a="1"/>
  <c r="C44" i="2" s="1"/>
  <c r="C46" i="2" a="1"/>
  <c r="C46" i="2" s="1"/>
  <c r="D80" i="2" a="1"/>
  <c r="D80" i="2" s="1"/>
  <c r="C41" i="2" a="1"/>
  <c r="C41" i="2" s="1"/>
  <c r="C51" i="2" a="1"/>
  <c r="C51" i="2" s="1"/>
  <c r="C48" i="2" a="1"/>
  <c r="C48" i="2" s="1"/>
  <c r="G103" i="2"/>
  <c r="G105" i="2" s="1" a="1"/>
  <c r="G105" i="2" s="1"/>
  <c r="D65" i="2" l="1" a="1"/>
  <c r="D65" i="2" s="1"/>
  <c r="B95" i="2" s="1"/>
  <c r="D95" i="2" s="1"/>
  <c r="F19" i="2" a="1"/>
  <c r="F19" i="2" s="1"/>
  <c r="F25" i="2" a="1"/>
  <c r="F25" i="2" s="1"/>
  <c r="E25" i="2" a="1"/>
  <c r="E25" i="2" s="1"/>
  <c r="E24" i="2" a="1"/>
  <c r="E24" i="2" s="1"/>
  <c r="E14" i="2" a="1"/>
  <c r="E14" i="2" s="1"/>
  <c r="E20" i="2" a="1"/>
  <c r="E20" i="2" s="1"/>
  <c r="E27" i="2" a="1"/>
  <c r="E27" i="2" s="1"/>
  <c r="E16" i="2" a="1"/>
  <c r="E16" i="2" s="1"/>
  <c r="E29" i="2" a="1"/>
  <c r="E29" i="2" s="1"/>
  <c r="E19" i="2" a="1"/>
  <c r="E19" i="2" s="1"/>
  <c r="E21" i="2" a="1"/>
  <c r="E21" i="2" s="1"/>
  <c r="E23" i="2" a="1"/>
  <c r="E23" i="2" s="1"/>
  <c r="E15" i="2" a="1"/>
  <c r="E15" i="2" s="1"/>
  <c r="E18" i="2" a="1"/>
  <c r="E18" i="2" s="1"/>
  <c r="E26" i="2" a="1"/>
  <c r="E26" i="2" s="1"/>
  <c r="S70" i="2" a="1"/>
  <c r="S70" i="2" s="1"/>
  <c r="S77" i="2" a="1"/>
  <c r="S77" i="2" s="1"/>
  <c r="S83" i="2" a="1"/>
  <c r="S83" i="2" s="1"/>
  <c r="S71" i="2" a="1"/>
  <c r="S71" i="2" s="1"/>
  <c r="S84" i="2" a="1"/>
  <c r="S84" i="2" s="1"/>
  <c r="S72" i="2" a="1"/>
  <c r="S72" i="2" s="1"/>
  <c r="S78" i="2" a="1"/>
  <c r="S78" i="2" s="1"/>
  <c r="S74" i="2" a="1"/>
  <c r="S74" i="2" s="1"/>
  <c r="S73" i="2" a="1"/>
  <c r="S73" i="2" s="1"/>
  <c r="S79" i="2" a="1"/>
  <c r="S79" i="2" s="1"/>
  <c r="S81" i="2" a="1"/>
  <c r="S81" i="2" s="1"/>
  <c r="S75" i="2" a="1"/>
  <c r="S75" i="2" s="1"/>
  <c r="S76" i="2" a="1"/>
  <c r="S76" i="2" s="1"/>
  <c r="S67" i="2" a="1"/>
  <c r="S67" i="2" s="1"/>
  <c r="S80" i="2" a="1"/>
  <c r="S80" i="2" s="1"/>
  <c r="S68" i="2" a="1"/>
  <c r="S68" i="2" s="1"/>
  <c r="S69" i="2" a="1"/>
  <c r="S69" i="2" s="1"/>
  <c r="S82" i="2" a="1"/>
  <c r="S82" i="2" s="1"/>
  <c r="Q67" i="2" a="1"/>
  <c r="Q67" i="2" s="1"/>
  <c r="Q74" i="2" a="1"/>
  <c r="Q74" i="2" s="1"/>
  <c r="Q80" i="2" a="1"/>
  <c r="Q80" i="2" s="1"/>
  <c r="Q78" i="2" a="1"/>
  <c r="Q78" i="2" s="1"/>
  <c r="Q72" i="2" a="1"/>
  <c r="Q72" i="2" s="1"/>
  <c r="Q68" i="2" a="1"/>
  <c r="Q68" i="2" s="1"/>
  <c r="Q81" i="2" a="1"/>
  <c r="Q81" i="2" s="1"/>
  <c r="Q79" i="2" a="1"/>
  <c r="Q79" i="2" s="1"/>
  <c r="Q69" i="2" a="1"/>
  <c r="Q69" i="2" s="1"/>
  <c r="Q75" i="2" a="1"/>
  <c r="Q75" i="2" s="1"/>
  <c r="Q82" i="2" a="1"/>
  <c r="Q82" i="2" s="1"/>
  <c r="Q71" i="2" a="1"/>
  <c r="Q71" i="2" s="1"/>
  <c r="Q70" i="2" a="1"/>
  <c r="Q70" i="2" s="1"/>
  <c r="Q76" i="2" a="1"/>
  <c r="Q76" i="2" s="1"/>
  <c r="Q84" i="2" a="1"/>
  <c r="Q84" i="2" s="1"/>
  <c r="Q77" i="2" a="1"/>
  <c r="Q77" i="2" s="1"/>
  <c r="Q83" i="2" a="1"/>
  <c r="Q83" i="2" s="1"/>
  <c r="Q73" i="2" a="1"/>
  <c r="Q73" i="2" s="1"/>
  <c r="O67" i="2" a="1"/>
  <c r="O67" i="2" s="1"/>
  <c r="O78" i="2" a="1"/>
  <c r="O78" i="2" s="1"/>
  <c r="O83" i="2" a="1"/>
  <c r="O83" i="2" s="1"/>
  <c r="O81" i="2" a="1"/>
  <c r="O81" i="2" s="1"/>
  <c r="O72" i="2" a="1"/>
  <c r="O72" i="2" s="1"/>
  <c r="O68" i="2" a="1"/>
  <c r="O68" i="2" s="1"/>
  <c r="O73" i="2" a="1"/>
  <c r="O73" i="2" s="1"/>
  <c r="O84" i="2" a="1"/>
  <c r="O84" i="2" s="1"/>
  <c r="O76" i="2" a="1"/>
  <c r="O76" i="2" s="1"/>
  <c r="O74" i="2" a="1"/>
  <c r="O74" i="2" s="1"/>
  <c r="O79" i="2" a="1"/>
  <c r="O79" i="2" s="1"/>
  <c r="O77" i="2" a="1"/>
  <c r="O77" i="2" s="1"/>
  <c r="O69" i="2" a="1"/>
  <c r="O69" i="2" s="1"/>
  <c r="O80" i="2" a="1"/>
  <c r="O80" i="2" s="1"/>
  <c r="O82" i="2" a="1"/>
  <c r="O82" i="2" s="1"/>
  <c r="O70" i="2" a="1"/>
  <c r="O70" i="2" s="1"/>
  <c r="O75" i="2" a="1"/>
  <c r="O75" i="2" s="1"/>
  <c r="O71" i="2" a="1"/>
  <c r="O71" i="2" s="1"/>
  <c r="V68" i="2" a="1"/>
  <c r="V68" i="2" s="1"/>
  <c r="V74" i="2" a="1"/>
  <c r="V74" i="2" s="1"/>
  <c r="V79" i="2" a="1"/>
  <c r="V79" i="2" s="1"/>
  <c r="V69" i="2" a="1"/>
  <c r="V69" i="2" s="1"/>
  <c r="V78" i="2" a="1"/>
  <c r="V78" i="2" s="1"/>
  <c r="V70" i="2" a="1"/>
  <c r="V70" i="2" s="1"/>
  <c r="V75" i="2" a="1"/>
  <c r="V75" i="2" s="1"/>
  <c r="V80" i="2" a="1"/>
  <c r="V80" i="2" s="1"/>
  <c r="V77" i="2" a="1"/>
  <c r="V77" i="2" s="1"/>
  <c r="V83" i="2" a="1"/>
  <c r="V83" i="2" s="1"/>
  <c r="V84" i="2" a="1"/>
  <c r="V84" i="2" s="1"/>
  <c r="V81" i="2" a="1"/>
  <c r="V81" i="2" s="1"/>
  <c r="V72" i="2" a="1"/>
  <c r="V72" i="2" s="1"/>
  <c r="V73" i="2" a="1"/>
  <c r="V73" i="2" s="1"/>
  <c r="V71" i="2" a="1"/>
  <c r="V71" i="2" s="1"/>
  <c r="V76" i="2" a="1"/>
  <c r="V76" i="2" s="1"/>
  <c r="V82" i="2" a="1"/>
  <c r="V82" i="2" s="1"/>
  <c r="V67" i="2" a="1"/>
  <c r="V67" i="2" s="1"/>
  <c r="W73" i="2" a="1"/>
  <c r="W73" i="2" s="1"/>
  <c r="W81" i="2" a="1"/>
  <c r="W81" i="2" s="1"/>
  <c r="W74" i="2" a="1"/>
  <c r="W74" i="2" s="1"/>
  <c r="W82" i="2" a="1"/>
  <c r="W82" i="2" s="1"/>
  <c r="W72" i="2" a="1"/>
  <c r="W72" i="2" s="1"/>
  <c r="W68" i="2" a="1"/>
  <c r="W68" i="2" s="1"/>
  <c r="W75" i="2" a="1"/>
  <c r="W75" i="2" s="1"/>
  <c r="W83" i="2" a="1"/>
  <c r="W83" i="2" s="1"/>
  <c r="W79" i="2" a="1"/>
  <c r="W79" i="2" s="1"/>
  <c r="W80" i="2" a="1"/>
  <c r="W80" i="2" s="1"/>
  <c r="W69" i="2" a="1"/>
  <c r="W69" i="2" s="1"/>
  <c r="W76" i="2" a="1"/>
  <c r="W76" i="2" s="1"/>
  <c r="W84" i="2" a="1"/>
  <c r="W84" i="2" s="1"/>
  <c r="W78" i="2" a="1"/>
  <c r="W78" i="2" s="1"/>
  <c r="W70" i="2" a="1"/>
  <c r="W70" i="2" s="1"/>
  <c r="W77" i="2" a="1"/>
  <c r="W77" i="2" s="1"/>
  <c r="W67" i="2" a="1"/>
  <c r="W67" i="2" s="1"/>
  <c r="W71" i="2" a="1"/>
  <c r="W71" i="2" s="1"/>
  <c r="I103" i="2"/>
  <c r="I119" i="2" s="1" a="1"/>
  <c r="I119" i="2" s="1"/>
  <c r="I40" i="2"/>
  <c r="K40" i="2" s="1"/>
  <c r="F29" i="2" a="1"/>
  <c r="F29" i="2" s="1"/>
  <c r="F26" i="2" a="1"/>
  <c r="F26" i="2" s="1"/>
  <c r="E22" i="2" a="1"/>
  <c r="E22" i="2" s="1"/>
  <c r="E30" i="2" a="1"/>
  <c r="E30" i="2" s="1"/>
  <c r="F14" i="2" a="1"/>
  <c r="F14" i="2" s="1"/>
  <c r="F28" i="2" a="1"/>
  <c r="F28" i="2" s="1"/>
  <c r="K20" i="2" a="1"/>
  <c r="K20" i="2" s="1"/>
  <c r="F27" i="2" a="1"/>
  <c r="F27" i="2" s="1"/>
  <c r="O103" i="2"/>
  <c r="O109" i="2" s="1" a="1"/>
  <c r="O109" i="2" s="1"/>
  <c r="H25" i="2" a="1"/>
  <c r="H25" i="2" s="1"/>
  <c r="F17" i="2" a="1"/>
  <c r="F17" i="2" s="1"/>
  <c r="F31" i="2" a="1"/>
  <c r="F31" i="2" s="1"/>
  <c r="F18" i="2" a="1"/>
  <c r="F18" i="2" s="1"/>
  <c r="F23" i="2" a="1"/>
  <c r="F23" i="2" s="1"/>
  <c r="E31" i="2" a="1"/>
  <c r="E31" i="2" s="1"/>
  <c r="E28" i="2" a="1"/>
  <c r="E28" i="2" s="1"/>
  <c r="F24" i="2" a="1"/>
  <c r="F24" i="2" s="1"/>
  <c r="H17" i="2" a="1"/>
  <c r="H17" i="2" s="1"/>
  <c r="H26" i="2" a="1"/>
  <c r="H26" i="2" s="1"/>
  <c r="H20" i="2" a="1"/>
  <c r="H20" i="2" s="1"/>
  <c r="H14" i="2" a="1"/>
  <c r="H14" i="2" s="1"/>
  <c r="H15" i="2" a="1"/>
  <c r="H15" i="2" s="1"/>
  <c r="H28" i="2" a="1"/>
  <c r="H28" i="2" s="1"/>
  <c r="H22" i="2" a="1"/>
  <c r="H22" i="2" s="1"/>
  <c r="H30" i="2" a="1"/>
  <c r="H30" i="2" s="1"/>
  <c r="H24" i="2" a="1"/>
  <c r="H24" i="2" s="1"/>
  <c r="H19" i="2" a="1"/>
  <c r="H19" i="2" s="1"/>
  <c r="H21" i="2" a="1"/>
  <c r="H21" i="2" s="1"/>
  <c r="H18" i="2" a="1"/>
  <c r="H18" i="2" s="1"/>
  <c r="H27" i="2" a="1"/>
  <c r="H27" i="2" s="1"/>
  <c r="F16" i="2" a="1"/>
  <c r="F16" i="2" s="1"/>
  <c r="F15" i="2" a="1"/>
  <c r="F15" i="2" s="1"/>
  <c r="K27" i="2" a="1"/>
  <c r="K27" i="2" s="1"/>
  <c r="K31" i="2" a="1"/>
  <c r="K31" i="2" s="1"/>
  <c r="K29" i="2" a="1"/>
  <c r="K29" i="2" s="1"/>
  <c r="K24" i="2" a="1"/>
  <c r="K24" i="2" s="1"/>
  <c r="K23" i="2" a="1"/>
  <c r="K23" i="2" s="1"/>
  <c r="K17" i="2" a="1"/>
  <c r="K17" i="2" s="1"/>
  <c r="K22" i="2" a="1"/>
  <c r="K22" i="2" s="1"/>
  <c r="K21" i="2" a="1"/>
  <c r="K21" i="2" s="1"/>
  <c r="K15" i="2" a="1"/>
  <c r="K15" i="2" s="1"/>
  <c r="K26" i="2" a="1"/>
  <c r="K26" i="2" s="1"/>
  <c r="K30" i="2" a="1"/>
  <c r="K30" i="2" s="1"/>
  <c r="H16" i="2" a="1"/>
  <c r="H16" i="2" s="1"/>
  <c r="H23" i="2" a="1"/>
  <c r="H23" i="2" s="1"/>
  <c r="H31" i="2" a="1"/>
  <c r="H31" i="2" s="1"/>
  <c r="K14" i="2" a="1"/>
  <c r="K14" i="2" s="1"/>
  <c r="K16" i="2" a="1"/>
  <c r="K16" i="2" s="1"/>
  <c r="K25" i="2" a="1"/>
  <c r="K25" i="2" s="1"/>
  <c r="K28" i="2" a="1"/>
  <c r="K28" i="2" s="1"/>
  <c r="K19" i="2" a="1"/>
  <c r="K19" i="2" s="1"/>
  <c r="K103" i="2"/>
  <c r="K119" i="2" s="1" a="1"/>
  <c r="K119" i="2" s="1"/>
  <c r="N103" i="2"/>
  <c r="N112" i="2" s="1" a="1"/>
  <c r="N112" i="2" s="1"/>
  <c r="J20" i="2" a="1"/>
  <c r="J20" i="2" s="1"/>
  <c r="J28" i="2" a="1"/>
  <c r="J28" i="2" s="1"/>
  <c r="J21" i="2" a="1"/>
  <c r="J21" i="2" s="1"/>
  <c r="J29" i="2" a="1"/>
  <c r="J29" i="2" s="1"/>
  <c r="J14" i="2" a="1"/>
  <c r="J14" i="2" s="1"/>
  <c r="J22" i="2" a="1"/>
  <c r="J22" i="2" s="1"/>
  <c r="J30" i="2" a="1"/>
  <c r="J30" i="2" s="1"/>
  <c r="J16" i="2" a="1"/>
  <c r="J16" i="2" s="1"/>
  <c r="J24" i="2" a="1"/>
  <c r="J24" i="2" s="1"/>
  <c r="J15" i="2" a="1"/>
  <c r="J15" i="2" s="1"/>
  <c r="J23" i="2" a="1"/>
  <c r="J23" i="2" s="1"/>
  <c r="J31" i="2" a="1"/>
  <c r="J31" i="2" s="1"/>
  <c r="J17" i="2" a="1"/>
  <c r="J17" i="2" s="1"/>
  <c r="J25" i="2" a="1"/>
  <c r="J25" i="2" s="1"/>
  <c r="J18" i="2" a="1"/>
  <c r="J18" i="2" s="1"/>
  <c r="J26" i="2" a="1"/>
  <c r="J26" i="2" s="1"/>
  <c r="J19" i="2" a="1"/>
  <c r="J19" i="2" s="1"/>
  <c r="J27" i="2" a="1"/>
  <c r="J27" i="2" s="1"/>
  <c r="M105" i="2" a="1"/>
  <c r="M105" i="2" s="1"/>
  <c r="M111" i="2" a="1"/>
  <c r="M111" i="2" s="1"/>
  <c r="M116" i="2" a="1"/>
  <c r="M116" i="2" s="1"/>
  <c r="M121" i="2" a="1"/>
  <c r="M121" i="2" s="1"/>
  <c r="J107" i="2" a="1"/>
  <c r="J107" i="2" s="1"/>
  <c r="J113" i="2" a="1"/>
  <c r="J113" i="2" s="1"/>
  <c r="J120" i="2" a="1"/>
  <c r="J120" i="2" s="1"/>
  <c r="M106" i="2" a="1"/>
  <c r="M106" i="2" s="1"/>
  <c r="M122" i="2" a="1"/>
  <c r="M122" i="2" s="1"/>
  <c r="J108" i="2" a="1"/>
  <c r="J108" i="2" s="1"/>
  <c r="J114" i="2" a="1"/>
  <c r="J114" i="2" s="1"/>
  <c r="M107" i="2" a="1"/>
  <c r="M107" i="2" s="1"/>
  <c r="M112" i="2" a="1"/>
  <c r="M112" i="2" s="1"/>
  <c r="M117" i="2" a="1"/>
  <c r="M117" i="2" s="1"/>
  <c r="J115" i="2" a="1"/>
  <c r="J115" i="2" s="1"/>
  <c r="J121" i="2" a="1"/>
  <c r="J121" i="2" s="1"/>
  <c r="M108" i="2" a="1"/>
  <c r="M108" i="2" s="1"/>
  <c r="M113" i="2" a="1"/>
  <c r="M113" i="2" s="1"/>
  <c r="M119" i="2" a="1"/>
  <c r="M119" i="2" s="1"/>
  <c r="J110" i="2" a="1"/>
  <c r="J110" i="2" s="1"/>
  <c r="M118" i="2" a="1"/>
  <c r="M118" i="2" s="1"/>
  <c r="J109" i="2" a="1"/>
  <c r="J109" i="2" s="1"/>
  <c r="J116" i="2" a="1"/>
  <c r="J116" i="2" s="1"/>
  <c r="J122" i="2" a="1"/>
  <c r="J122" i="2" s="1"/>
  <c r="O120" i="2" a="1"/>
  <c r="O120" i="2" s="1"/>
  <c r="M114" i="2" a="1"/>
  <c r="M114" i="2" s="1"/>
  <c r="J111" i="2" a="1"/>
  <c r="J111" i="2" s="1"/>
  <c r="J117" i="2" a="1"/>
  <c r="J117" i="2" s="1"/>
  <c r="O114" i="2" a="1"/>
  <c r="O114" i="2" s="1"/>
  <c r="M109" i="2" a="1"/>
  <c r="M109" i="2" s="1"/>
  <c r="M115" i="2" a="1"/>
  <c r="M115" i="2" s="1"/>
  <c r="M120" i="2" a="1"/>
  <c r="M120" i="2" s="1"/>
  <c r="J105" i="2" a="1"/>
  <c r="J105" i="2" s="1"/>
  <c r="J112" i="2" a="1"/>
  <c r="J112" i="2" s="1"/>
  <c r="J118" i="2" a="1"/>
  <c r="J118" i="2" s="1"/>
  <c r="M110" i="2" a="1"/>
  <c r="M110" i="2" s="1"/>
  <c r="J106" i="2" a="1"/>
  <c r="J106" i="2" s="1"/>
  <c r="J119" i="2" a="1"/>
  <c r="J119" i="2" s="1"/>
  <c r="I17" i="2" a="1"/>
  <c r="I17" i="2" s="1"/>
  <c r="I22" i="2" a="1"/>
  <c r="I22" i="2" s="1"/>
  <c r="I28" i="2" a="1"/>
  <c r="I28" i="2" s="1"/>
  <c r="I23" i="2" a="1"/>
  <c r="I23" i="2" s="1"/>
  <c r="I18" i="2" a="1"/>
  <c r="I18" i="2" s="1"/>
  <c r="I24" i="2" a="1"/>
  <c r="I24" i="2" s="1"/>
  <c r="I29" i="2" a="1"/>
  <c r="I29" i="2" s="1"/>
  <c r="I19" i="2" a="1"/>
  <c r="I19" i="2" s="1"/>
  <c r="I20" i="2" a="1"/>
  <c r="I20" i="2" s="1"/>
  <c r="I25" i="2" a="1"/>
  <c r="I25" i="2" s="1"/>
  <c r="I30" i="2" a="1"/>
  <c r="I30" i="2" s="1"/>
  <c r="I15" i="2" a="1"/>
  <c r="I15" i="2" s="1"/>
  <c r="I31" i="2" a="1"/>
  <c r="I31" i="2" s="1"/>
  <c r="I16" i="2" a="1"/>
  <c r="I16" i="2" s="1"/>
  <c r="I21" i="2" a="1"/>
  <c r="I21" i="2" s="1"/>
  <c r="I26" i="2" a="1"/>
  <c r="I26" i="2" s="1"/>
  <c r="I27" i="2" a="1"/>
  <c r="I27" i="2" s="1"/>
  <c r="I14" i="2" a="1"/>
  <c r="I14" i="2" s="1"/>
  <c r="L110" i="2" a="1"/>
  <c r="L110" i="2" s="1"/>
  <c r="L111" i="2" a="1"/>
  <c r="L111" i="2" s="1"/>
  <c r="L117" i="2" a="1"/>
  <c r="L117" i="2" s="1"/>
  <c r="L105" i="2" a="1"/>
  <c r="L105" i="2" s="1"/>
  <c r="L112" i="2" a="1"/>
  <c r="L112" i="2" s="1"/>
  <c r="L118" i="2" a="1"/>
  <c r="L118" i="2" s="1"/>
  <c r="L107" i="2" a="1"/>
  <c r="L107" i="2" s="1"/>
  <c r="L113" i="2" a="1"/>
  <c r="L113" i="2" s="1"/>
  <c r="L120" i="2" a="1"/>
  <c r="L120" i="2" s="1"/>
  <c r="L106" i="2" a="1"/>
  <c r="L106" i="2" s="1"/>
  <c r="L119" i="2" a="1"/>
  <c r="L119" i="2" s="1"/>
  <c r="L108" i="2" a="1"/>
  <c r="L108" i="2" s="1"/>
  <c r="L114" i="2" a="1"/>
  <c r="L114" i="2" s="1"/>
  <c r="L115" i="2" a="1"/>
  <c r="L115" i="2" s="1"/>
  <c r="L121" i="2" a="1"/>
  <c r="L121" i="2" s="1"/>
  <c r="L109" i="2" a="1"/>
  <c r="L109" i="2" s="1"/>
  <c r="L116" i="2" a="1"/>
  <c r="L116" i="2" s="1"/>
  <c r="L122" i="2" a="1"/>
  <c r="L122" i="2" s="1"/>
  <c r="L18" i="2" a="1"/>
  <c r="L18" i="2" s="1"/>
  <c r="L24" i="2" a="1"/>
  <c r="L24" i="2" s="1"/>
  <c r="L29" i="2" a="1"/>
  <c r="L29" i="2" s="1"/>
  <c r="L19" i="2" a="1"/>
  <c r="L19" i="2" s="1"/>
  <c r="L14" i="2" a="1"/>
  <c r="L14" i="2" s="1"/>
  <c r="L20" i="2" a="1"/>
  <c r="L20" i="2" s="1"/>
  <c r="L25" i="2" a="1"/>
  <c r="L25" i="2" s="1"/>
  <c r="L30" i="2" a="1"/>
  <c r="L30" i="2" s="1"/>
  <c r="L16" i="2" a="1"/>
  <c r="L16" i="2" s="1"/>
  <c r="L21" i="2" a="1"/>
  <c r="L21" i="2" s="1"/>
  <c r="L26" i="2" a="1"/>
  <c r="L26" i="2" s="1"/>
  <c r="L15" i="2" a="1"/>
  <c r="L15" i="2" s="1"/>
  <c r="L31" i="2" a="1"/>
  <c r="L31" i="2" s="1"/>
  <c r="L27" i="2" a="1"/>
  <c r="L27" i="2" s="1"/>
  <c r="L17" i="2" a="1"/>
  <c r="L17" i="2" s="1"/>
  <c r="L22" i="2" a="1"/>
  <c r="L22" i="2" s="1"/>
  <c r="L28" i="2" a="1"/>
  <c r="L28" i="2" s="1"/>
  <c r="L23" i="2" a="1"/>
  <c r="L23" i="2" s="1"/>
  <c r="G112" i="2" a="1"/>
  <c r="G112" i="2" s="1"/>
  <c r="G108" i="2" a="1"/>
  <c r="G108" i="2" s="1"/>
  <c r="G116" i="2" a="1"/>
  <c r="G116" i="2" s="1"/>
  <c r="G122" i="2" a="1"/>
  <c r="G122" i="2" s="1"/>
  <c r="G110" i="2" a="1"/>
  <c r="G110" i="2" s="1"/>
  <c r="G109" i="2" a="1"/>
  <c r="G109" i="2" s="1"/>
  <c r="G117" i="2" a="1"/>
  <c r="G117" i="2" s="1"/>
  <c r="G111" i="2" a="1"/>
  <c r="G111" i="2" s="1"/>
  <c r="G118" i="2" a="1"/>
  <c r="G118" i="2" s="1"/>
  <c r="G113" i="2" a="1"/>
  <c r="G113" i="2" s="1"/>
  <c r="G119" i="2" a="1"/>
  <c r="G119" i="2" s="1"/>
  <c r="G120" i="2" a="1"/>
  <c r="G120" i="2" s="1"/>
  <c r="G106" i="2" a="1"/>
  <c r="G106" i="2" s="1"/>
  <c r="G114" i="2" a="1"/>
  <c r="G114" i="2" s="1"/>
  <c r="G121" i="2" a="1"/>
  <c r="G121" i="2" s="1"/>
  <c r="G107" i="2" a="1"/>
  <c r="G107" i="2" s="1"/>
  <c r="G115" i="2" a="1"/>
  <c r="G115" i="2" s="1"/>
  <c r="H109" i="2" a="1"/>
  <c r="H109" i="2" s="1"/>
  <c r="H117" i="2" a="1"/>
  <c r="H117" i="2" s="1"/>
  <c r="H110" i="2" a="1"/>
  <c r="H110" i="2" s="1"/>
  <c r="H118" i="2" a="1"/>
  <c r="H118" i="2" s="1"/>
  <c r="H111" i="2" a="1"/>
  <c r="H111" i="2" s="1"/>
  <c r="H119" i="2" a="1"/>
  <c r="H119" i="2" s="1"/>
  <c r="H112" i="2" a="1"/>
  <c r="H112" i="2" s="1"/>
  <c r="H120" i="2" a="1"/>
  <c r="H120" i="2" s="1"/>
  <c r="H105" i="2" a="1"/>
  <c r="H105" i="2" s="1"/>
  <c r="H113" i="2" a="1"/>
  <c r="H113" i="2" s="1"/>
  <c r="H121" i="2" a="1"/>
  <c r="H121" i="2" s="1"/>
  <c r="H106" i="2" a="1"/>
  <c r="H106" i="2" s="1"/>
  <c r="H114" i="2" a="1"/>
  <c r="H114" i="2" s="1"/>
  <c r="H122" i="2" a="1"/>
  <c r="H122" i="2" s="1"/>
  <c r="H107" i="2" a="1"/>
  <c r="H107" i="2" s="1"/>
  <c r="H115" i="2" a="1"/>
  <c r="H115" i="2" s="1"/>
  <c r="H108" i="2" a="1"/>
  <c r="H108" i="2" s="1"/>
  <c r="H116" i="2" a="1"/>
  <c r="H116" i="2" s="1"/>
  <c r="O112" i="2" l="1" a="1"/>
  <c r="O112" i="2" s="1"/>
  <c r="X68" i="2" a="1"/>
  <c r="X68" i="2" s="1"/>
  <c r="O113" i="2" a="1"/>
  <c r="O113" i="2" s="1"/>
  <c r="O105" i="2" a="1"/>
  <c r="O105" i="2" s="1"/>
  <c r="O106" i="2" a="1"/>
  <c r="O106" i="2" s="1"/>
  <c r="O122" i="2" a="1"/>
  <c r="O122" i="2" s="1"/>
  <c r="X84" i="2" a="1"/>
  <c r="X84" i="2" s="1"/>
  <c r="X80" i="2" a="1"/>
  <c r="X80" i="2" s="1"/>
  <c r="I117" i="2" a="1"/>
  <c r="I117" i="2" s="1"/>
  <c r="X70" i="2" a="1"/>
  <c r="X70" i="2" s="1"/>
  <c r="X82" i="2" a="1"/>
  <c r="X82" i="2" s="1"/>
  <c r="X73" i="2" a="1"/>
  <c r="X73" i="2" s="1"/>
  <c r="X69" i="2" a="1"/>
  <c r="X69" i="2" s="1"/>
  <c r="X72" i="2" a="1"/>
  <c r="X72" i="2" s="1"/>
  <c r="X77" i="2" a="1"/>
  <c r="X77" i="2" s="1"/>
  <c r="X81" i="2" a="1"/>
  <c r="X81" i="2" s="1"/>
  <c r="X79" i="2" a="1"/>
  <c r="X79" i="2" s="1"/>
  <c r="X83" i="2" a="1"/>
  <c r="X83" i="2" s="1"/>
  <c r="X71" i="2" a="1"/>
  <c r="X71" i="2" s="1"/>
  <c r="X74" i="2" a="1"/>
  <c r="X74" i="2" s="1"/>
  <c r="X78" i="2" a="1"/>
  <c r="X78" i="2" s="1"/>
  <c r="X75" i="2" a="1"/>
  <c r="X75" i="2" s="1"/>
  <c r="X76" i="2" a="1"/>
  <c r="X76" i="2" s="1"/>
  <c r="X67" i="2" a="1"/>
  <c r="X67" i="2" s="1"/>
  <c r="I118" i="2" a="1"/>
  <c r="I118" i="2" s="1"/>
  <c r="N106" i="2" a="1"/>
  <c r="N106" i="2" s="1"/>
  <c r="N116" i="2" a="1"/>
  <c r="N116" i="2" s="1"/>
  <c r="I113" i="2" a="1"/>
  <c r="I113" i="2" s="1"/>
  <c r="I112" i="2" a="1"/>
  <c r="I112" i="2" s="1"/>
  <c r="I122" i="2" a="1"/>
  <c r="I122" i="2" s="1"/>
  <c r="I114" i="2" a="1"/>
  <c r="I114" i="2" s="1"/>
  <c r="N109" i="2" a="1"/>
  <c r="N109" i="2" s="1"/>
  <c r="N118" i="2" a="1"/>
  <c r="N118" i="2" s="1"/>
  <c r="I108" i="2" a="1"/>
  <c r="I108" i="2" s="1"/>
  <c r="I107" i="2" a="1"/>
  <c r="I107" i="2" s="1"/>
  <c r="O108" i="2" a="1"/>
  <c r="O108" i="2" s="1"/>
  <c r="O107" i="2" a="1"/>
  <c r="O107" i="2" s="1"/>
  <c r="O118" i="2" a="1"/>
  <c r="O118" i="2" s="1"/>
  <c r="O116" i="2" a="1"/>
  <c r="O116" i="2" s="1"/>
  <c r="I106" i="2" a="1"/>
  <c r="I106" i="2" s="1"/>
  <c r="I110" i="2" a="1"/>
  <c r="I110" i="2" s="1"/>
  <c r="I121" i="2" a="1"/>
  <c r="I121" i="2" s="1"/>
  <c r="O119" i="2" a="1"/>
  <c r="O119" i="2" s="1"/>
  <c r="I116" i="2" a="1"/>
  <c r="I116" i="2" s="1"/>
  <c r="I120" i="2" a="1"/>
  <c r="I120" i="2" s="1"/>
  <c r="O121" i="2" a="1"/>
  <c r="O121" i="2" s="1"/>
  <c r="I111" i="2" a="1"/>
  <c r="I111" i="2" s="1"/>
  <c r="I115" i="2" a="1"/>
  <c r="I115" i="2" s="1"/>
  <c r="O117" i="2" a="1"/>
  <c r="O117" i="2" s="1"/>
  <c r="O110" i="2" a="1"/>
  <c r="O110" i="2" s="1"/>
  <c r="O115" i="2" a="1"/>
  <c r="O115" i="2" s="1"/>
  <c r="I105" i="2" a="1"/>
  <c r="I105" i="2" s="1"/>
  <c r="I109" i="2" a="1"/>
  <c r="I109" i="2" s="1"/>
  <c r="O111" i="2" a="1"/>
  <c r="O111" i="2" s="1"/>
  <c r="N111" i="2" a="1"/>
  <c r="N111" i="2" s="1"/>
  <c r="K106" i="2" a="1"/>
  <c r="K106" i="2" s="1"/>
  <c r="K111" i="2" a="1"/>
  <c r="K111" i="2" s="1"/>
  <c r="K108" i="2" a="1"/>
  <c r="K108" i="2" s="1"/>
  <c r="N30" i="2"/>
  <c r="K105" i="2" a="1"/>
  <c r="K105" i="2" s="1"/>
  <c r="K120" i="2" a="1"/>
  <c r="K120" i="2" s="1"/>
  <c r="K109" i="2" a="1"/>
  <c r="K109" i="2" s="1"/>
  <c r="K110" i="2" a="1"/>
  <c r="K110" i="2" s="1"/>
  <c r="K113" i="2" a="1"/>
  <c r="K113" i="2" s="1"/>
  <c r="N22" i="2"/>
  <c r="K114" i="2" a="1"/>
  <c r="K114" i="2" s="1"/>
  <c r="K121" i="2" a="1"/>
  <c r="K121" i="2" s="1"/>
  <c r="K122" i="2" a="1"/>
  <c r="K122" i="2" s="1"/>
  <c r="K115" i="2" a="1"/>
  <c r="K115" i="2" s="1"/>
  <c r="D42" i="2"/>
  <c r="K117" i="2" a="1"/>
  <c r="K117" i="2" s="1"/>
  <c r="K116" i="2" a="1"/>
  <c r="K116" i="2" s="1"/>
  <c r="K118" i="2" a="1"/>
  <c r="K118" i="2" s="1"/>
  <c r="K107" i="2" a="1"/>
  <c r="K107" i="2" s="1"/>
  <c r="D54" i="2"/>
  <c r="D39" i="2"/>
  <c r="D50" i="2"/>
  <c r="D49" i="2"/>
  <c r="N15" i="2"/>
  <c r="D51" i="2"/>
  <c r="N20" i="2"/>
  <c r="N26" i="2"/>
  <c r="D43" i="2"/>
  <c r="N25" i="2"/>
  <c r="N23" i="2"/>
  <c r="D40" i="2"/>
  <c r="D48" i="2"/>
  <c r="D52" i="2"/>
  <c r="N114" i="2" a="1"/>
  <c r="N114" i="2" s="1"/>
  <c r="N108" i="2" a="1"/>
  <c r="N108" i="2" s="1"/>
  <c r="N120" i="2" a="1"/>
  <c r="N120" i="2" s="1"/>
  <c r="N105" i="2" a="1"/>
  <c r="N105" i="2" s="1"/>
  <c r="P105" i="2" s="1" a="1"/>
  <c r="P105" i="2" s="1"/>
  <c r="B133" i="2" s="1"/>
  <c r="D133" i="2" s="1"/>
  <c r="N121" i="2" a="1"/>
  <c r="N121" i="2" s="1"/>
  <c r="N113" i="2" a="1"/>
  <c r="N113" i="2" s="1"/>
  <c r="N110" i="2" a="1"/>
  <c r="N110" i="2" s="1"/>
  <c r="N122" i="2" a="1"/>
  <c r="N122" i="2" s="1"/>
  <c r="N115" i="2" a="1"/>
  <c r="N115" i="2" s="1"/>
  <c r="N119" i="2" a="1"/>
  <c r="N119" i="2" s="1"/>
  <c r="N107" i="2" a="1"/>
  <c r="N107" i="2" s="1"/>
  <c r="N117" i="2" a="1"/>
  <c r="N117" i="2" s="1"/>
  <c r="D44" i="2"/>
  <c r="D45" i="2"/>
  <c r="N29" i="2"/>
  <c r="N27" i="2"/>
  <c r="N16" i="2"/>
  <c r="N24" i="2"/>
  <c r="N17" i="2"/>
  <c r="N14" i="2"/>
  <c r="N31" i="2"/>
  <c r="N19" i="2"/>
  <c r="K112" i="2" a="1"/>
  <c r="K112" i="2" s="1"/>
  <c r="P112" i="2" s="1" a="1"/>
  <c r="P112" i="2" s="1"/>
  <c r="N18" i="2"/>
  <c r="D47" i="2"/>
  <c r="D53" i="2"/>
  <c r="D46" i="2"/>
  <c r="D55" i="2"/>
  <c r="N21" i="2"/>
  <c r="N28" i="2"/>
  <c r="D38" i="2"/>
  <c r="I41" i="2" s="1"/>
  <c r="K41" i="2" s="1"/>
  <c r="D41" i="2"/>
  <c r="P111" i="2" l="1" a="1"/>
  <c r="P111" i="2" s="1"/>
  <c r="P109" i="2" a="1"/>
  <c r="P109" i="2" s="1"/>
  <c r="P120" i="2" a="1"/>
  <c r="P120" i="2" s="1"/>
  <c r="P119" i="2" a="1"/>
  <c r="P119" i="2" s="1"/>
  <c r="P118" i="2" a="1"/>
  <c r="P118" i="2" s="1"/>
  <c r="P116" i="2" a="1"/>
  <c r="P116" i="2" s="1"/>
  <c r="P106" i="2" a="1"/>
  <c r="P106" i="2" s="1"/>
  <c r="P110" i="2" a="1"/>
  <c r="P110" i="2" s="1"/>
  <c r="P108" i="2" a="1"/>
  <c r="P108" i="2" s="1"/>
  <c r="P113" i="2" a="1"/>
  <c r="P113" i="2" s="1"/>
  <c r="B96" i="2"/>
  <c r="D96" i="2" s="1"/>
  <c r="P121" i="2" a="1"/>
  <c r="P121" i="2" s="1"/>
  <c r="P115" i="2" a="1"/>
  <c r="P115" i="2" s="1"/>
  <c r="P114" i="2" a="1"/>
  <c r="P114" i="2" s="1"/>
  <c r="P117" i="2" a="1"/>
  <c r="P117" i="2" s="1"/>
  <c r="P107" i="2" a="1"/>
  <c r="P107" i="2" s="1"/>
  <c r="P122" i="2" a="1"/>
  <c r="P12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<sst xmlns="http://schemas.openxmlformats.org/spreadsheetml/2006/main" count="417" uniqueCount="108">
  <si>
    <t>Pi Greco</t>
  </si>
  <si>
    <t>Massa</t>
  </si>
  <si>
    <t>Boltzmann k</t>
  </si>
  <si>
    <t>Planck h</t>
  </si>
  <si>
    <t>Temperatura</t>
  </si>
  <si>
    <t>Qtrasl</t>
  </si>
  <si>
    <t>Qvib</t>
  </si>
  <si>
    <t>Qrot</t>
  </si>
  <si>
    <t>Qel</t>
  </si>
  <si>
    <t>Qvib2</t>
  </si>
  <si>
    <t>Qvib3</t>
  </si>
  <si>
    <t>Qvib4</t>
  </si>
  <si>
    <t>Qvib5</t>
  </si>
  <si>
    <t>Qvib6</t>
  </si>
  <si>
    <t>Qvib7</t>
  </si>
  <si>
    <t>Qvib8</t>
  </si>
  <si>
    <t>Qvib9</t>
  </si>
  <si>
    <t>Qvib1</t>
  </si>
  <si>
    <t>Qtot</t>
  </si>
  <si>
    <t>Volume</t>
  </si>
  <si>
    <t>Rydberg R</t>
  </si>
  <si>
    <t>Avogadro N</t>
  </si>
  <si>
    <t>Translational Factor</t>
  </si>
  <si>
    <t>Theta vib</t>
  </si>
  <si>
    <t>S Translational</t>
  </si>
  <si>
    <t>S vib 1</t>
  </si>
  <si>
    <t>S vib 2</t>
  </si>
  <si>
    <t>S vib 3</t>
  </si>
  <si>
    <t>S vib 4</t>
  </si>
  <si>
    <t>S vib 5</t>
  </si>
  <si>
    <t>S vib 6</t>
  </si>
  <si>
    <t>S vib 7</t>
  </si>
  <si>
    <t>S vib 8</t>
  </si>
  <si>
    <t>S vib 9</t>
  </si>
  <si>
    <t>S vib tot</t>
  </si>
  <si>
    <t>Theta vib 1</t>
  </si>
  <si>
    <t>Theta vib2</t>
  </si>
  <si>
    <t>Theta vib3</t>
  </si>
  <si>
    <t>Theta vib4</t>
  </si>
  <si>
    <t>Theta vib5</t>
  </si>
  <si>
    <t>Theta vib6</t>
  </si>
  <si>
    <t>Theta vib7</t>
  </si>
  <si>
    <t>Theta vib8</t>
  </si>
  <si>
    <t>Theta vib9</t>
  </si>
  <si>
    <t>S rotational</t>
  </si>
  <si>
    <t>CvRot</t>
  </si>
  <si>
    <t>Cv translational</t>
  </si>
  <si>
    <t>Cv vib1</t>
  </si>
  <si>
    <t>Cv vib2</t>
  </si>
  <si>
    <t>Cv vib3</t>
  </si>
  <si>
    <t>Cv vib4</t>
  </si>
  <si>
    <t>Cv vib5</t>
  </si>
  <si>
    <t>Cv vib6</t>
  </si>
  <si>
    <t>Cv vib7</t>
  </si>
  <si>
    <t>Cv vib8</t>
  </si>
  <si>
    <t>Cv vib9</t>
  </si>
  <si>
    <t>Cv vib tot</t>
  </si>
  <si>
    <t>Theta vib1</t>
  </si>
  <si>
    <t>Simmetry Number</t>
  </si>
  <si>
    <t>Wavenumbers [cm^-1]</t>
  </si>
  <si>
    <t>Frequencies [s^-1]</t>
  </si>
  <si>
    <t>Frequency1</t>
  </si>
  <si>
    <t>Frequency2</t>
  </si>
  <si>
    <t>Frequency3</t>
  </si>
  <si>
    <t>Frequency4</t>
  </si>
  <si>
    <t>Frequency5</t>
  </si>
  <si>
    <t>Frequency6</t>
  </si>
  <si>
    <t>Frequency7</t>
  </si>
  <si>
    <t>Frequency8</t>
  </si>
  <si>
    <t>Frequency9</t>
  </si>
  <si>
    <t>Frequencies[s^-1]</t>
  </si>
  <si>
    <t>Quantity</t>
  </si>
  <si>
    <t>My value</t>
  </si>
  <si>
    <t>Gaussian</t>
  </si>
  <si>
    <t>Error</t>
  </si>
  <si>
    <t>Theta rot</t>
  </si>
  <si>
    <t>Strasl</t>
  </si>
  <si>
    <t>Svib</t>
  </si>
  <si>
    <t>Srot</t>
  </si>
  <si>
    <t>Sel</t>
  </si>
  <si>
    <t>Comparison with Gaussian</t>
  </si>
  <si>
    <t>T=298 K</t>
  </si>
  <si>
    <t>Cv trasl</t>
  </si>
  <si>
    <t>Cv vib</t>
  </si>
  <si>
    <t>Cv rot</t>
  </si>
  <si>
    <t>Rotational Constants [Ghz]</t>
  </si>
  <si>
    <t>Rotational Constant [m^-1]</t>
  </si>
  <si>
    <t>Speed of Light [cm/s]</t>
  </si>
  <si>
    <t>Moments of Inertia</t>
  </si>
  <si>
    <t>Speed of Light [m/s]</t>
  </si>
  <si>
    <t>Total Moment of Inertia</t>
  </si>
  <si>
    <t>Theta vib 2</t>
  </si>
  <si>
    <t>Theta vib 3</t>
  </si>
  <si>
    <t>S rotational Gaussian</t>
  </si>
  <si>
    <t>Rotational Temp 1</t>
  </si>
  <si>
    <t>Rotational Temp 2</t>
  </si>
  <si>
    <t>Rotational Temp 3</t>
  </si>
  <si>
    <t>Srot Gaussian</t>
  </si>
  <si>
    <t>S rotational gaussian</t>
  </si>
  <si>
    <t>H2O</t>
  </si>
  <si>
    <t>CO</t>
  </si>
  <si>
    <t>NO2</t>
  </si>
  <si>
    <t>NO3</t>
  </si>
  <si>
    <t>Somma</t>
  </si>
  <si>
    <t>Media</t>
  </si>
  <si>
    <t>Totale parziale</t>
  </si>
  <si>
    <t>Conteggio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</si>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</sst>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"/>
    <numFmt numFmtId="166" formatCode="0.0000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32"/>
      <color rgb="FF000000"/>
      <name val="Aptos Narrow"/>
      <family val="2"/>
      <scheme val="minor"/>
    </font>
    <font>
      <sz val="22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2">
    <xf numFmtId="0" fontId="0" fillId="0" borderId="0" xfId="0"/>
    <xf numFmtId="11" fontId="0" fillId="0" borderId="0" xfId="0" applyNumberFormat="1"/>
    <xf numFmtId="0" fontId="0" fillId="0" borderId="2" xfId="0" applyBorder="1"/>
    <xf numFmtId="0" fontId="0" fillId="0" borderId="5" xfId="0" applyBorder="1"/>
    <xf numFmtId="3" fontId="0" fillId="0" borderId="0" xfId="0" applyNumberFormat="1"/>
    <xf numFmtId="0" fontId="2" fillId="3" borderId="0" xfId="0" applyFont="1" applyFill="1"/>
    <xf numFmtId="11" fontId="0" fillId="0" borderId="3" xfId="0" applyNumberFormat="1" applyBorder="1"/>
    <xf numFmtId="11" fontId="0" fillId="0" borderId="1" xfId="0" applyNumberFormat="1" applyBorder="1"/>
    <xf numFmtId="11" fontId="0" fillId="0" borderId="6" xfId="0" applyNumberFormat="1" applyBorder="1"/>
    <xf numFmtId="0" fontId="0" fillId="0" borderId="4" xfId="0" applyBorder="1"/>
    <xf numFmtId="0" fontId="2" fillId="2" borderId="0" xfId="0" applyFont="1" applyFill="1"/>
    <xf numFmtId="11" fontId="0" fillId="0" borderId="4" xfId="0" applyNumberFormat="1" applyBorder="1"/>
    <xf numFmtId="11" fontId="3" fillId="0" borderId="0" xfId="0" applyNumberFormat="1" applyFont="1"/>
    <xf numFmtId="0" fontId="5" fillId="0" borderId="0" xfId="0" applyFont="1"/>
    <xf numFmtId="0" fontId="6" fillId="0" borderId="0" xfId="0" applyFont="1"/>
    <xf numFmtId="10" fontId="0" fillId="0" borderId="0" xfId="0" applyNumberFormat="1"/>
    <xf numFmtId="44" fontId="0" fillId="0" borderId="0" xfId="1" applyFont="1"/>
    <xf numFmtId="9" fontId="0" fillId="0" borderId="0" xfId="2" applyFont="1"/>
    <xf numFmtId="11" fontId="7" fillId="0" borderId="0" xfId="0" applyNumberFormat="1" applyFont="1"/>
    <xf numFmtId="0" fontId="0" fillId="0" borderId="3" xfId="0" applyBorder="1"/>
    <xf numFmtId="0" fontId="0" fillId="0" borderId="1" xfId="0" applyBorder="1"/>
    <xf numFmtId="0" fontId="0" fillId="0" borderId="3" xfId="0" applyFont="1" applyBorder="1"/>
    <xf numFmtId="0" fontId="0" fillId="0" borderId="1" xfId="0" applyFont="1" applyBorder="1"/>
    <xf numFmtId="164" fontId="0" fillId="0" borderId="0" xfId="0" applyNumberFormat="1"/>
    <xf numFmtId="0" fontId="0" fillId="0" borderId="0" xfId="0" applyNumberFormat="1"/>
    <xf numFmtId="166" fontId="0" fillId="0" borderId="0" xfId="0" applyNumberFormat="1"/>
    <xf numFmtId="11" fontId="0" fillId="0" borderId="3" xfId="0" applyNumberFormat="1" applyFont="1" applyBorder="1"/>
    <xf numFmtId="11" fontId="0" fillId="0" borderId="1" xfId="0" applyNumberFormat="1" applyFont="1" applyBorder="1"/>
    <xf numFmtId="11" fontId="0" fillId="0" borderId="0" xfId="0" applyNumberFormat="1" applyFont="1" applyBorder="1"/>
    <xf numFmtId="11" fontId="0" fillId="0" borderId="0" xfId="0" applyNumberFormat="1" applyBorder="1"/>
    <xf numFmtId="0" fontId="7" fillId="0" borderId="0" xfId="0" applyFont="1"/>
    <xf numFmtId="9" fontId="0" fillId="4" borderId="0" xfId="2" applyFont="1" applyFill="1"/>
  </cellXfs>
  <cellStyles count="3">
    <cellStyle name="Normale" xfId="0" builtinId="0"/>
    <cellStyle name="Percentuale" xfId="2" builtinId="5"/>
    <cellStyle name="Valuta" xfId="1" builtinId="4"/>
  </cellStyles>
  <dxfs count="310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66" formatCode="0.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5" formatCode="0.00E+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5" formatCode="0.00E+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6" formatCode="0.000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minor"/>
      </font>
      <numFmt numFmtId="15" formatCode="0.00E+00"/>
    </dxf>
    <dxf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numFmt numFmtId="15" formatCode="0.00E+00"/>
    </dxf>
    <dxf>
      <numFmt numFmtId="15" formatCode="0.00E+00"/>
    </dxf>
    <dxf>
      <numFmt numFmtId="166" formatCode="0.0000"/>
    </dxf>
    <dxf>
      <numFmt numFmtId="164" formatCode="0.000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Qtrasl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Summary!$C$9</c:f>
              <c:strCache>
                <c:ptCount val="1"/>
                <c:pt idx="0">
                  <c:v>CH4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Summary!$B$10:$B$27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Summary!$C$10:$C$27</c:f>
              <c:numCache>
                <c:formatCode>0.00E+00</c:formatCode>
                <c:ptCount val="18"/>
                <c:pt idx="0">
                  <c:v>2521877.4627657244</c:v>
                </c:pt>
                <c:pt idx="1">
                  <c:v>5264211.124957609</c:v>
                </c:pt>
                <c:pt idx="2">
                  <c:v>9196198.377590565</c:v>
                </c:pt>
                <c:pt idx="3">
                  <c:v>14506460.04873226</c:v>
                </c:pt>
                <c:pt idx="4">
                  <c:v>21326933.774790563</c:v>
                </c:pt>
                <c:pt idx="5">
                  <c:v>29778875.0724416</c:v>
                </c:pt>
                <c:pt idx="6">
                  <c:v>39975103.230146907</c:v>
                </c:pt>
                <c:pt idx="7">
                  <c:v>52021553.871447526</c:v>
                </c:pt>
                <c:pt idx="8">
                  <c:v>66018405.855081007</c:v>
                </c:pt>
                <c:pt idx="9">
                  <c:v>82060930.171762764</c:v>
                </c:pt>
                <c:pt idx="10">
                  <c:v>100240148.4364855</c:v>
                </c:pt>
                <c:pt idx="11">
                  <c:v>120643355.95256518</c:v>
                </c:pt>
                <c:pt idx="12">
                  <c:v>143354545.43822351</c:v>
                </c:pt>
                <c:pt idx="13">
                  <c:v>168454755.99864444</c:v>
                </c:pt>
                <c:pt idx="14">
                  <c:v>196022364.61200806</c:v>
                </c:pt>
                <c:pt idx="15">
                  <c:v>226133332.58135051</c:v>
                </c:pt>
                <c:pt idx="16">
                  <c:v>258861416.13519424</c:v>
                </c:pt>
                <c:pt idx="17">
                  <c:v>294278348.08289552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CC-496F-B710-0B47E56CE5A3}"/>
            </c:ext>
          </c:extLst>
        </c:ser>
        <c:ser>
          <c:idx val="1"/>
          <c:order val="1"/>
          <c:tx>
            <c:strRef>
              <c:f>Summary!$D$9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Summary!$B$10:$B$27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Summary!$D$10:$D$27</c:f>
              <c:numCache>
                <c:formatCode>0.00E+00</c:formatCode>
                <c:ptCount val="18"/>
                <c:pt idx="0">
                  <c:v>3001780.6884724037</c:v>
                </c:pt>
                <c:pt idx="1">
                  <c:v>6265969.5120988935</c:v>
                </c:pt>
                <c:pt idx="2">
                  <c:v>10946198.260933122</c:v>
                </c:pt>
                <c:pt idx="3">
                  <c:v>17266981.554538038</c:v>
                </c:pt>
                <c:pt idx="4">
                  <c:v>25385364.235456251</c:v>
                </c:pt>
                <c:pt idx="5">
                  <c:v>35445676.261706412</c:v>
                </c:pt>
                <c:pt idx="6">
                  <c:v>47582205.982501037</c:v>
                </c:pt>
                <c:pt idx="7">
                  <c:v>61921048.14814581</c:v>
                </c:pt>
                <c:pt idx="8">
                  <c:v>78581445.254751191</c:v>
                </c:pt>
                <c:pt idx="9">
                  <c:v>97676797.982695296</c:v>
                </c:pt>
                <c:pt idx="10">
                  <c:v>119315448.99737346</c:v>
                </c:pt>
                <c:pt idx="11">
                  <c:v>143601305.55025297</c:v>
                </c:pt>
                <c:pt idx="12">
                  <c:v>170634343.83892369</c:v>
                </c:pt>
                <c:pt idx="13">
                  <c:v>200511024.3871657</c:v>
                </c:pt>
                <c:pt idx="14">
                  <c:v>233324638.99959299</c:v>
                </c:pt>
                <c:pt idx="15">
                  <c:v>269165604.11233348</c:v>
                </c:pt>
                <c:pt idx="16">
                  <c:v>308121711.47009856</c:v>
                </c:pt>
                <c:pt idx="17">
                  <c:v>350278344.34985685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CC-496F-B710-0B47E56CE5A3}"/>
            </c:ext>
          </c:extLst>
        </c:ser>
        <c:ser>
          <c:idx val="2"/>
          <c:order val="2"/>
          <c:tx>
            <c:strRef>
              <c:f>Summary!$E$9</c:f>
              <c:strCache>
                <c:ptCount val="1"/>
                <c:pt idx="0">
                  <c:v>CO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Summary!$B$10:$B$27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Summary!$E$10:$E$27</c:f>
              <c:numCache>
                <c:formatCode>0.00E+00</c:formatCode>
                <c:ptCount val="18"/>
                <c:pt idx="0">
                  <c:v>5828871.0614144932</c:v>
                </c:pt>
                <c:pt idx="1">
                  <c:v>12167287.404119264</c:v>
                </c:pt>
                <c:pt idx="2">
                  <c:v>21255376.357334509</c:v>
                </c:pt>
                <c:pt idx="3">
                  <c:v>33529101.405621</c:v>
                </c:pt>
                <c:pt idx="4">
                  <c:v>49293412.921121113</c:v>
                </c:pt>
                <c:pt idx="5">
                  <c:v>68828571.456787363</c:v>
                </c:pt>
                <c:pt idx="6">
                  <c:v>92395338.725032106</c:v>
                </c:pt>
                <c:pt idx="7">
                  <c:v>120238566.07154621</c:v>
                </c:pt>
                <c:pt idx="8">
                  <c:v>152589799.10442713</c:v>
                </c:pt>
                <c:pt idx="9">
                  <c:v>189669239.76804861</c:v>
                </c:pt>
                <c:pt idx="10">
                  <c:v>231687268.33085251</c:v>
                </c:pt>
                <c:pt idx="11">
                  <c:v>278845652.35482734</c:v>
                </c:pt>
                <c:pt idx="12">
                  <c:v>331338526.06411374</c:v>
                </c:pt>
                <c:pt idx="13">
                  <c:v>389353196.93181866</c:v>
                </c:pt>
                <c:pt idx="14">
                  <c:v>453070819.39814854</c:v>
                </c:pt>
                <c:pt idx="15">
                  <c:v>522666964.49997985</c:v>
                </c:pt>
                <c:pt idx="16">
                  <c:v>598312106.63679194</c:v>
                </c:pt>
                <c:pt idx="17">
                  <c:v>680172043.43469834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CC-496F-B710-0B47E56CE5A3}"/>
            </c:ext>
          </c:extLst>
        </c:ser>
        <c:ser>
          <c:idx val="3"/>
          <c:order val="3"/>
          <c:tx>
            <c:strRef>
              <c:f>Summary!$F$9</c:f>
              <c:strCache>
                <c:ptCount val="1"/>
                <c:pt idx="0">
                  <c:v>NO2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Summary!$B$10:$B$27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Summary!$F$10:$F$27</c:f>
              <c:numCache>
                <c:formatCode>0.00E+00</c:formatCode>
                <c:ptCount val="18"/>
                <c:pt idx="0">
                  <c:v>12251683.935067885</c:v>
                </c:pt>
                <c:pt idx="1">
                  <c:v>25574379.335511845</c:v>
                </c:pt>
                <c:pt idx="2">
                  <c:v>44676602.091070868</c:v>
                </c:pt>
                <c:pt idx="3">
                  <c:v>70474702.34293066</c:v>
                </c:pt>
                <c:pt idx="4">
                  <c:v>103609654.22415982</c:v>
                </c:pt>
                <c:pt idx="5">
                  <c:v>144670536.42222068</c:v>
                </c:pt>
                <c:pt idx="6">
                  <c:v>194205443.07904336</c:v>
                </c:pt>
                <c:pt idx="7">
                  <c:v>252729026.3917551</c:v>
                </c:pt>
                <c:pt idx="8">
                  <c:v>320727971.2736091</c:v>
                </c:pt>
                <c:pt idx="9">
                  <c:v>398665119.43031341</c:v>
                </c:pt>
                <c:pt idx="10">
                  <c:v>486982668.42087841</c:v>
                </c:pt>
                <c:pt idx="11">
                  <c:v>586104712.78637624</c:v>
                </c:pt>
                <c:pt idx="12">
                  <c:v>696439302.58145177</c:v>
                </c:pt>
                <c:pt idx="13">
                  <c:v>818380138.73637199</c:v>
                </c:pt>
                <c:pt idx="14">
                  <c:v>952307989.14279425</c:v>
                </c:pt>
                <c:pt idx="15">
                  <c:v>1098591885.9562399</c:v>
                </c:pt>
                <c:pt idx="16">
                  <c:v>1257590148.7276602</c:v>
                </c:pt>
                <c:pt idx="17">
                  <c:v>1429651266.9142756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CC-496F-B710-0B47E56CE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261759"/>
        <c:axId val="1537284799"/>
      </c:scatterChart>
      <c:valAx>
        <c:axId val="1537261759"/>
        <c:scaling>
          <c:orientation val="minMax"/>
          <c:max val="2000"/>
          <c:min val="2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84799"/>
        <c:crosses val="autoZero"/>
        <c:crossBetween val="midCat"/>
      </c:valAx>
      <c:valAx>
        <c:axId val="153728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61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Qrot vs Temperature</a:t>
            </a:r>
          </a:p>
        </c:rich>
      </c:tx>
      <c:layout>
        <c:manualLayout>
          <c:xMode val="edge"/>
          <c:yMode val="edge"/>
          <c:x val="0.3730485564304462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Summary!$U$9</c:f>
              <c:strCache>
                <c:ptCount val="1"/>
                <c:pt idx="0">
                  <c:v>CH4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Summary!$T$10:$T$27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Summary!$U$10:$U$27</c:f>
              <c:numCache>
                <c:formatCode>0.00E+00</c:formatCode>
                <c:ptCount val="18"/>
                <c:pt idx="0">
                  <c:v>146.27541669686576</c:v>
                </c:pt>
                <c:pt idx="1">
                  <c:v>227.47670812841204</c:v>
                </c:pt>
                <c:pt idx="2">
                  <c:v>317.90836417062752</c:v>
                </c:pt>
                <c:pt idx="3">
                  <c:v>417.90139746196849</c:v>
                </c:pt>
                <c:pt idx="4">
                  <c:v>526.61594892147468</c:v>
                </c:pt>
                <c:pt idx="5">
                  <c:v>643.4012915183655</c:v>
                </c:pt>
                <c:pt idx="6">
                  <c:v>767.73388993338096</c:v>
                </c:pt>
                <c:pt idx="7">
                  <c:v>899.18064040388253</c:v>
                </c:pt>
                <c:pt idx="8">
                  <c:v>1037.3754729347916</c:v>
                </c:pt>
                <c:pt idx="9">
                  <c:v>1182.0036480507736</c:v>
                </c:pt>
                <c:pt idx="10">
                  <c:v>1332.7907695874394</c:v>
                </c:pt>
                <c:pt idx="11">
                  <c:v>1489.4948342534576</c:v>
                </c:pt>
                <c:pt idx="12">
                  <c:v>1651.9003166839025</c:v>
                </c:pt>
                <c:pt idx="13">
                  <c:v>1819.8136650272811</c:v>
                </c:pt>
                <c:pt idx="14">
                  <c:v>1993.0598018351375</c:v>
                </c:pt>
                <c:pt idx="15">
                  <c:v>2171.4793588744874</c:v>
                </c:pt>
                <c:pt idx="16">
                  <c:v>2354.9264590099669</c:v>
                </c:pt>
                <c:pt idx="17">
                  <c:v>2543.2669133649983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C0-4976-9DB6-CF90364A8870}"/>
            </c:ext>
          </c:extLst>
        </c:ser>
        <c:ser>
          <c:idx val="1"/>
          <c:order val="1"/>
          <c:tx>
            <c:strRef>
              <c:f>Summary!$V$9</c:f>
              <c:strCache>
                <c:ptCount val="1"/>
                <c:pt idx="0">
                  <c:v>H2O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Summary!$T$10:$T$27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Summary!$V$10:$V$27</c:f>
              <c:numCache>
                <c:formatCode>0.00E+00</c:formatCode>
                <c:ptCount val="18"/>
                <c:pt idx="0">
                  <c:v>43.604478404705191</c:v>
                </c:pt>
                <c:pt idx="1">
                  <c:v>67.810459413795002</c:v>
                </c:pt>
                <c:pt idx="2">
                  <c:v>94.767998021709317</c:v>
                </c:pt>
                <c:pt idx="3">
                  <c:v>124.57576859062863</c:v>
                </c:pt>
                <c:pt idx="4">
                  <c:v>156.98341041069682</c:v>
                </c:pt>
                <c:pt idx="5">
                  <c:v>191.79694274747627</c:v>
                </c:pt>
                <c:pt idx="6">
                  <c:v>228.86030052155525</c:v>
                </c:pt>
                <c:pt idx="7">
                  <c:v>268.04437616249282</c:v>
                </c:pt>
                <c:pt idx="8">
                  <c:v>309.24004476362012</c:v>
                </c:pt>
                <c:pt idx="9">
                  <c:v>352.35348296783945</c:v>
                </c:pt>
                <c:pt idx="10">
                  <c:v>397.30289369745577</c:v>
                </c:pt>
                <c:pt idx="11">
                  <c:v>444.01613614077957</c:v>
                </c:pt>
                <c:pt idx="12">
                  <c:v>492.42896251556033</c:v>
                </c:pt>
                <c:pt idx="13">
                  <c:v>542.48367531035535</c:v>
                </c:pt>
                <c:pt idx="14">
                  <c:v>594.1280842050636</c:v>
                </c:pt>
                <c:pt idx="15">
                  <c:v>647.31468177273348</c:v>
                </c:pt>
                <c:pt idx="16">
                  <c:v>701.9999822620174</c:v>
                </c:pt>
                <c:pt idx="17">
                  <c:v>758.14398417366795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C0-4976-9DB6-CF90364A8870}"/>
            </c:ext>
          </c:extLst>
        </c:ser>
        <c:ser>
          <c:idx val="2"/>
          <c:order val="2"/>
          <c:tx>
            <c:strRef>
              <c:f>Summary!$W$9</c:f>
              <c:strCache>
                <c:ptCount val="1"/>
                <c:pt idx="0">
                  <c:v>CO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Summary!$T$10:$T$27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Summary!$W$10:$W$27</c:f>
              <c:numCache>
                <c:formatCode>0.00E+00</c:formatCode>
                <c:ptCount val="18"/>
                <c:pt idx="0">
                  <c:v>108.96498822795705</c:v>
                </c:pt>
                <c:pt idx="1">
                  <c:v>146.26172916504302</c:v>
                </c:pt>
                <c:pt idx="2">
                  <c:v>182.8271614563038</c:v>
                </c:pt>
                <c:pt idx="3">
                  <c:v>219.39259374756455</c:v>
                </c:pt>
                <c:pt idx="4">
                  <c:v>255.9580260388253</c:v>
                </c:pt>
                <c:pt idx="5">
                  <c:v>292.52345833008604</c:v>
                </c:pt>
                <c:pt idx="6">
                  <c:v>329.08889062134682</c:v>
                </c:pt>
                <c:pt idx="7">
                  <c:v>365.6543229126076</c:v>
                </c:pt>
                <c:pt idx="8">
                  <c:v>402.21975520386832</c:v>
                </c:pt>
                <c:pt idx="9">
                  <c:v>438.78518749512909</c:v>
                </c:pt>
                <c:pt idx="10">
                  <c:v>475.35061978638987</c:v>
                </c:pt>
                <c:pt idx="11">
                  <c:v>511.91605207765059</c:v>
                </c:pt>
                <c:pt idx="12">
                  <c:v>548.48148436891131</c:v>
                </c:pt>
                <c:pt idx="13">
                  <c:v>585.04691666017209</c:v>
                </c:pt>
                <c:pt idx="14">
                  <c:v>621.61234895143286</c:v>
                </c:pt>
                <c:pt idx="15">
                  <c:v>658.17778124269364</c:v>
                </c:pt>
                <c:pt idx="16">
                  <c:v>694.74321353395442</c:v>
                </c:pt>
                <c:pt idx="17">
                  <c:v>731.30864582521519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C0-4976-9DB6-CF90364A8870}"/>
            </c:ext>
          </c:extLst>
        </c:ser>
        <c:ser>
          <c:idx val="3"/>
          <c:order val="3"/>
          <c:tx>
            <c:strRef>
              <c:f>Summary!$X$9</c:f>
              <c:strCache>
                <c:ptCount val="1"/>
                <c:pt idx="0">
                  <c:v>NO2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Summary!$T$10:$T$27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Summary!$X$10:$X$27</c:f>
              <c:numCache>
                <c:formatCode>0.00E+00</c:formatCode>
                <c:ptCount val="18"/>
                <c:pt idx="0">
                  <c:v>2248.1434137803572</c:v>
                </c:pt>
                <c:pt idx="1">
                  <c:v>3496.1463430805184</c:v>
                </c:pt>
                <c:pt idx="2">
                  <c:v>4886.0130515095461</c:v>
                </c:pt>
                <c:pt idx="3">
                  <c:v>6422.8309549834457</c:v>
                </c:pt>
                <c:pt idx="4">
                  <c:v>8093.6920495190352</c:v>
                </c:pt>
                <c:pt idx="5">
                  <c:v>9888.5951488510254</c:v>
                </c:pt>
                <c:pt idx="6">
                  <c:v>11799.4939078966</c:v>
                </c:pt>
                <c:pt idx="7">
                  <c:v>13819.731846753348</c:v>
                </c:pt>
                <c:pt idx="8">
                  <c:v>15943.682744235221</c:v>
                </c:pt>
                <c:pt idx="9">
                  <c:v>18166.509290734703</c:v>
                </c:pt>
                <c:pt idx="10">
                  <c:v>20483.994223066584</c:v>
                </c:pt>
                <c:pt idx="11">
                  <c:v>22892.418132202289</c:v>
                </c:pt>
                <c:pt idx="12">
                  <c:v>25388.468554977462</c:v>
                </c:pt>
                <c:pt idx="13">
                  <c:v>27969.170744643907</c:v>
                </c:pt>
                <c:pt idx="14">
                  <c:v>30631.83389216799</c:v>
                </c:pt>
                <c:pt idx="15">
                  <c:v>33374.008627372263</c:v>
                </c:pt>
                <c:pt idx="16">
                  <c:v>36193.452928128252</c:v>
                </c:pt>
                <c:pt idx="17">
                  <c:v>39088.104412076034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C0-4976-9DB6-CF90364A8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261759"/>
        <c:axId val="1537276639"/>
      </c:scatterChart>
      <c:valAx>
        <c:axId val="1537261759"/>
        <c:scaling>
          <c:orientation val="minMax"/>
          <c:max val="2000"/>
          <c:min val="2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76639"/>
        <c:crosses val="autoZero"/>
        <c:crossBetween val="midCat"/>
      </c:valAx>
      <c:valAx>
        <c:axId val="153727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61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Summary!$C$32</c:f>
              <c:strCache>
                <c:ptCount val="1"/>
                <c:pt idx="0">
                  <c:v>CH4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Summary!$B$33:$B$50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Summary!$C$33:$C$50</c:f>
              <c:numCache>
                <c:formatCode>0.00E+00</c:formatCode>
                <c:ptCount val="18"/>
                <c:pt idx="0">
                  <c:v>2.4684156686781186E-21</c:v>
                </c:pt>
                <c:pt idx="1">
                  <c:v>4.5603329076358544E-16</c:v>
                </c:pt>
                <c:pt idx="2">
                  <c:v>5.6707014620515153E-13</c:v>
                </c:pt>
                <c:pt idx="3">
                  <c:v>6.8848518278132965E-11</c:v>
                </c:pt>
                <c:pt idx="4">
                  <c:v>2.2329538994490243E-9</c:v>
                </c:pt>
                <c:pt idx="5">
                  <c:v>3.1905686644379746E-8</c:v>
                </c:pt>
                <c:pt idx="6">
                  <c:v>2.6470866318275023E-7</c:v>
                </c:pt>
                <c:pt idx="7">
                  <c:v>1.5032282671174634E-6</c:v>
                </c:pt>
                <c:pt idx="8">
                  <c:v>6.4830923741909241E-6</c:v>
                </c:pt>
                <c:pt idx="9">
                  <c:v>2.2747080536235654E-5</c:v>
                </c:pt>
                <c:pt idx="10">
                  <c:v>6.8078103134747373E-5</c:v>
                </c:pt>
                <c:pt idx="11">
                  <c:v>1.7972895619725306E-4</c:v>
                </c:pt>
                <c:pt idx="12">
                  <c:v>4.2894370885485442E-4</c:v>
                </c:pt>
                <c:pt idx="13">
                  <c:v>9.4254396304753007E-4</c:v>
                </c:pt>
                <c:pt idx="14">
                  <c:v>1.9336581158986477E-3</c:v>
                </c:pt>
                <c:pt idx="15">
                  <c:v>3.7440041298667844E-3</c:v>
                </c:pt>
                <c:pt idx="16">
                  <c:v>6.9004955383880099E-3</c:v>
                </c:pt>
                <c:pt idx="17">
                  <c:v>1.2189325562006562E-2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BE-4F27-95AE-68B09F4045A9}"/>
            </c:ext>
          </c:extLst>
        </c:ser>
        <c:ser>
          <c:idx val="1"/>
          <c:order val="1"/>
          <c:tx>
            <c:strRef>
              <c:f>Summary!$D$32</c:f>
              <c:strCache>
                <c:ptCount val="1"/>
                <c:pt idx="0">
                  <c:v>H2O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Summary!$B$33:$B$50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Summary!$D$33:$D$50</c:f>
              <c:numCache>
                <c:formatCode>0.00E+00</c:formatCode>
                <c:ptCount val="18"/>
                <c:pt idx="0">
                  <c:v>1.5985894747668009E-10</c:v>
                </c:pt>
                <c:pt idx="1">
                  <c:v>5.046676480992032E-8</c:v>
                </c:pt>
                <c:pt idx="2">
                  <c:v>1.4643878398643956E-6</c:v>
                </c:pt>
                <c:pt idx="3">
                  <c:v>1.3928480676607449E-5</c:v>
                </c:pt>
                <c:pt idx="4">
                  <c:v>7.0180525320407382E-5</c:v>
                </c:pt>
                <c:pt idx="5">
                  <c:v>2.3804157949120958E-4</c:v>
                </c:pt>
                <c:pt idx="6">
                  <c:v>6.2074465945095804E-4</c:v>
                </c:pt>
                <c:pt idx="7">
                  <c:v>1.3475619935165129E-3</c:v>
                </c:pt>
                <c:pt idx="8">
                  <c:v>2.5615189480488196E-3</c:v>
                </c:pt>
                <c:pt idx="9">
                  <c:v>4.4090344105660881E-3</c:v>
                </c:pt>
                <c:pt idx="10">
                  <c:v>7.0331217939209349E-3</c:v>
                </c:pt>
                <c:pt idx="11">
                  <c:v>1.0569845920345955E-2</c:v>
                </c:pt>
                <c:pt idx="12">
                  <c:v>1.5147079011615151E-2</c:v>
                </c:pt>
                <c:pt idx="13">
                  <c:v>2.0884625655887664E-2</c:v>
                </c:pt>
                <c:pt idx="14">
                  <c:v>2.7895034870526584E-2</c:v>
                </c:pt>
                <c:pt idx="15">
                  <c:v>3.6284670561222712E-2</c:v>
                </c:pt>
                <c:pt idx="16">
                  <c:v>4.6154801416935037E-2</c:v>
                </c:pt>
                <c:pt idx="17">
                  <c:v>5.7602593952840973E-2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BE-4F27-95AE-68B09F4045A9}"/>
            </c:ext>
          </c:extLst>
        </c:ser>
        <c:ser>
          <c:idx val="2"/>
          <c:order val="2"/>
          <c:tx>
            <c:strRef>
              <c:f>Summary!$E$32</c:f>
              <c:strCache>
                <c:ptCount val="1"/>
                <c:pt idx="0">
                  <c:v>CO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Summary!$B$33:$B$50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Summary!$E$33:$E$50</c:f>
              <c:numCache>
                <c:formatCode>0.00E+00</c:formatCode>
                <c:ptCount val="18"/>
                <c:pt idx="0">
                  <c:v>4.9164499111288441E-3</c:v>
                </c:pt>
                <c:pt idx="1">
                  <c:v>1.9073506659193943E-2</c:v>
                </c:pt>
                <c:pt idx="2">
                  <c:v>4.2168515484109874E-2</c:v>
                </c:pt>
                <c:pt idx="3">
                  <c:v>7.1735295765189139E-2</c:v>
                </c:pt>
                <c:pt idx="4">
                  <c:v>0.10520281758845078</c:v>
                </c:pt>
                <c:pt idx="5">
                  <c:v>0.14076568033036407</c:v>
                </c:pt>
                <c:pt idx="6">
                  <c:v>0.17730779240672312</c:v>
                </c:pt>
                <c:pt idx="7">
                  <c:v>0.21418352852114592</c:v>
                </c:pt>
                <c:pt idx="8">
                  <c:v>0.25103715910588692</c:v>
                </c:pt>
                <c:pt idx="9">
                  <c:v>0.28768339079495919</c:v>
                </c:pt>
                <c:pt idx="10">
                  <c:v>0.32403454721257913</c:v>
                </c:pt>
                <c:pt idx="11">
                  <c:v>0.36005771430745359</c:v>
                </c:pt>
                <c:pt idx="12">
                  <c:v>0.39574992110514479</c:v>
                </c:pt>
                <c:pt idx="13">
                  <c:v>0.43112388895503029</c:v>
                </c:pt>
                <c:pt idx="14">
                  <c:v>0.46619991132224503</c:v>
                </c:pt>
                <c:pt idx="15">
                  <c:v>0.50100127972230823</c:v>
                </c:pt>
                <c:pt idx="16">
                  <c:v>0.53555176008657623</c:v>
                </c:pt>
                <c:pt idx="17">
                  <c:v>0.56987425351741194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BE-4F27-95AE-68B09F4045A9}"/>
            </c:ext>
          </c:extLst>
        </c:ser>
        <c:ser>
          <c:idx val="3"/>
          <c:order val="3"/>
          <c:tx>
            <c:strRef>
              <c:f>Summary!$F$32</c:f>
              <c:strCache>
                <c:ptCount val="1"/>
                <c:pt idx="0">
                  <c:v>NO2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Summary!$B$33:$B$50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Summary!$F$33:$F$50</c:f>
              <c:numCache>
                <c:formatCode>0.00E+00</c:formatCode>
                <c:ptCount val="18"/>
                <c:pt idx="0">
                  <c:v>9.3521271906612583E-5</c:v>
                </c:pt>
                <c:pt idx="1">
                  <c:v>1.0549874891024604E-3</c:v>
                </c:pt>
                <c:pt idx="2">
                  <c:v>4.5268392093338735E-3</c:v>
                </c:pt>
                <c:pt idx="3">
                  <c:v>1.2425483367735682E-2</c:v>
                </c:pt>
                <c:pt idx="4">
                  <c:v>2.6472527964324467E-2</c:v>
                </c:pt>
                <c:pt idx="5">
                  <c:v>4.8152237608787334E-2</c:v>
                </c:pt>
                <c:pt idx="6">
                  <c:v>7.8783587692774631E-2</c:v>
                </c:pt>
                <c:pt idx="7">
                  <c:v>0.11958906302455577</c:v>
                </c:pt>
                <c:pt idx="8">
                  <c:v>0.17173881494414112</c:v>
                </c:pt>
                <c:pt idx="9">
                  <c:v>0.23637571498987192</c:v>
                </c:pt>
                <c:pt idx="10">
                  <c:v>0.31462890108194541</c:v>
                </c:pt>
                <c:pt idx="11">
                  <c:v>0.40762094713557695</c:v>
                </c:pt>
                <c:pt idx="12">
                  <c:v>0.51647160602448217</c:v>
                </c:pt>
                <c:pt idx="13">
                  <c:v>0.64229973020718367</c:v>
                </c:pt>
                <c:pt idx="14">
                  <c:v>0.78622422653477886</c:v>
                </c:pt>
                <c:pt idx="15">
                  <c:v>0.94936450099087755</c:v>
                </c:pt>
                <c:pt idx="16">
                  <c:v>1.1328406364496326</c:v>
                </c:pt>
                <c:pt idx="17">
                  <c:v>1.3377734335293641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BE-4F27-95AE-68B09F404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98623"/>
        <c:axId val="718118303"/>
      </c:scatterChart>
      <c:valAx>
        <c:axId val="71809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18303"/>
        <c:crosses val="autoZero"/>
        <c:crossBetween val="midCat"/>
      </c:valAx>
      <c:valAx>
        <c:axId val="7181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98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 trasl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Summary!$C$62</c:f>
              <c:strCache>
                <c:ptCount val="1"/>
                <c:pt idx="0">
                  <c:v>CH4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Summary!$B$63:$B$80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Summary!$C$63:$C$80</c:f>
              <c:numCache>
                <c:formatCode>0.00E+00</c:formatCode>
                <c:ptCount val="18"/>
                <c:pt idx="0">
                  <c:v>143.34559928506391</c:v>
                </c:pt>
                <c:pt idx="1">
                  <c:v>149.46444177826342</c:v>
                </c:pt>
                <c:pt idx="2">
                  <c:v>154.1027382231311</c:v>
                </c:pt>
                <c:pt idx="3">
                  <c:v>157.89250236249143</c:v>
                </c:pt>
                <c:pt idx="4">
                  <c:v>161.09670228673633</c:v>
                </c:pt>
                <c:pt idx="5">
                  <c:v>163.87230651119549</c:v>
                </c:pt>
                <c:pt idx="6">
                  <c:v>166.32056294671958</c:v>
                </c:pt>
                <c:pt idx="7">
                  <c:v>168.51060295606302</c:v>
                </c:pt>
                <c:pt idx="8">
                  <c:v>170.49173512655366</c:v>
                </c:pt>
                <c:pt idx="9">
                  <c:v>172.3003670954235</c:v>
                </c:pt>
                <c:pt idx="10">
                  <c:v>173.9641472237453</c:v>
                </c:pt>
                <c:pt idx="11">
                  <c:v>175.50456701966823</c:v>
                </c:pt>
                <c:pt idx="12">
                  <c:v>176.93866354029115</c:v>
                </c:pt>
                <c:pt idx="13">
                  <c:v>178.2801712441275</c:v>
                </c:pt>
                <c:pt idx="14">
                  <c:v>179.54032403002023</c:v>
                </c:pt>
                <c:pt idx="15">
                  <c:v>180.7284276796515</c:v>
                </c:pt>
                <c:pt idx="16">
                  <c:v>181.85227732139489</c:v>
                </c:pt>
                <c:pt idx="17">
                  <c:v>182.91846768899504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F-48D5-B7EE-215362E85DC0}"/>
            </c:ext>
          </c:extLst>
        </c:ser>
        <c:ser>
          <c:idx val="1"/>
          <c:order val="1"/>
          <c:tx>
            <c:strRef>
              <c:f>Summary!$D$62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Summary!$B$63:$B$80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Summary!$D$63:$D$80</c:f>
              <c:numCache>
                <c:formatCode>0.00E+00</c:formatCode>
                <c:ptCount val="18"/>
                <c:pt idx="0">
                  <c:v>144.79399541361065</c:v>
                </c:pt>
                <c:pt idx="1">
                  <c:v>150.91283790681013</c:v>
                </c:pt>
                <c:pt idx="2">
                  <c:v>155.55113435167777</c:v>
                </c:pt>
                <c:pt idx="3">
                  <c:v>159.34089849103813</c:v>
                </c:pt>
                <c:pt idx="4">
                  <c:v>162.54509841528304</c:v>
                </c:pt>
                <c:pt idx="5">
                  <c:v>165.32070263974214</c:v>
                </c:pt>
                <c:pt idx="6">
                  <c:v>167.76895907526625</c:v>
                </c:pt>
                <c:pt idx="7">
                  <c:v>169.95899908460981</c:v>
                </c:pt>
                <c:pt idx="8">
                  <c:v>171.94013125510034</c:v>
                </c:pt>
                <c:pt idx="9">
                  <c:v>173.74876322397017</c:v>
                </c:pt>
                <c:pt idx="10">
                  <c:v>175.41254335229198</c:v>
                </c:pt>
                <c:pt idx="11">
                  <c:v>176.95296314821505</c:v>
                </c:pt>
                <c:pt idx="12">
                  <c:v>178.38705966883782</c:v>
                </c:pt>
                <c:pt idx="13">
                  <c:v>179.72856737267418</c:v>
                </c:pt>
                <c:pt idx="14">
                  <c:v>180.98872015856691</c:v>
                </c:pt>
                <c:pt idx="15">
                  <c:v>182.17682380819829</c:v>
                </c:pt>
                <c:pt idx="16">
                  <c:v>183.30067344994157</c:v>
                </c:pt>
                <c:pt idx="17">
                  <c:v>184.36686381754171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6F-48D5-B7EE-215362E85DC0}"/>
            </c:ext>
          </c:extLst>
        </c:ser>
        <c:ser>
          <c:idx val="2"/>
          <c:order val="2"/>
          <c:tx>
            <c:strRef>
              <c:f>Summary!$E$62</c:f>
              <c:strCache>
                <c:ptCount val="1"/>
                <c:pt idx="0">
                  <c:v>CO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Summary!$B$63:$B$80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Summary!$E$63:$E$80</c:f>
              <c:numCache>
                <c:formatCode>0.00E+00</c:formatCode>
                <c:ptCount val="18"/>
                <c:pt idx="0">
                  <c:v>150.31161925702861</c:v>
                </c:pt>
                <c:pt idx="1">
                  <c:v>156.43046175022812</c:v>
                </c:pt>
                <c:pt idx="2">
                  <c:v>161.06875819509588</c:v>
                </c:pt>
                <c:pt idx="3">
                  <c:v>164.85852233445624</c:v>
                </c:pt>
                <c:pt idx="4">
                  <c:v>168.06272225870103</c:v>
                </c:pt>
                <c:pt idx="5">
                  <c:v>170.83832648316016</c:v>
                </c:pt>
                <c:pt idx="6">
                  <c:v>173.28658291868439</c:v>
                </c:pt>
                <c:pt idx="7">
                  <c:v>175.47662292802781</c:v>
                </c:pt>
                <c:pt idx="8">
                  <c:v>177.45775509851845</c:v>
                </c:pt>
                <c:pt idx="9">
                  <c:v>179.26638706738828</c:v>
                </c:pt>
                <c:pt idx="10">
                  <c:v>180.93016719571008</c:v>
                </c:pt>
                <c:pt idx="11">
                  <c:v>182.47058699163304</c:v>
                </c:pt>
                <c:pt idx="12">
                  <c:v>183.90468351225593</c:v>
                </c:pt>
                <c:pt idx="13">
                  <c:v>185.24619121609217</c:v>
                </c:pt>
                <c:pt idx="14">
                  <c:v>186.50634400198504</c:v>
                </c:pt>
                <c:pt idx="15">
                  <c:v>187.69444765161629</c:v>
                </c:pt>
                <c:pt idx="16">
                  <c:v>188.81829729335956</c:v>
                </c:pt>
                <c:pt idx="17">
                  <c:v>189.88448766095985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6F-48D5-B7EE-215362E85DC0}"/>
            </c:ext>
          </c:extLst>
        </c:ser>
        <c:ser>
          <c:idx val="3"/>
          <c:order val="3"/>
          <c:tx>
            <c:strRef>
              <c:f>Summary!$F$62</c:f>
              <c:strCache>
                <c:ptCount val="1"/>
                <c:pt idx="0">
                  <c:v>NO2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Summary!$B$63:$B$80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Summary!$F$63:$F$80</c:f>
              <c:numCache>
                <c:formatCode>0.00E+00</c:formatCode>
                <c:ptCount val="18"/>
                <c:pt idx="0">
                  <c:v>156.48793464978749</c:v>
                </c:pt>
                <c:pt idx="1">
                  <c:v>162.60677714298697</c:v>
                </c:pt>
                <c:pt idx="2">
                  <c:v>167.24507358785462</c:v>
                </c:pt>
                <c:pt idx="3">
                  <c:v>171.03483772721509</c:v>
                </c:pt>
                <c:pt idx="4">
                  <c:v>174.23903765145988</c:v>
                </c:pt>
                <c:pt idx="5">
                  <c:v>177.01464187591901</c:v>
                </c:pt>
                <c:pt idx="6">
                  <c:v>179.4628983114431</c:v>
                </c:pt>
                <c:pt idx="7">
                  <c:v>181.65293832078666</c:v>
                </c:pt>
                <c:pt idx="8">
                  <c:v>183.63407049127719</c:v>
                </c:pt>
                <c:pt idx="9">
                  <c:v>185.44270246014702</c:v>
                </c:pt>
                <c:pt idx="10">
                  <c:v>187.10648258846894</c:v>
                </c:pt>
                <c:pt idx="11">
                  <c:v>188.64690238439189</c:v>
                </c:pt>
                <c:pt idx="12">
                  <c:v>190.08099890501467</c:v>
                </c:pt>
                <c:pt idx="13">
                  <c:v>191.42250660885091</c:v>
                </c:pt>
                <c:pt idx="14">
                  <c:v>192.68265939474375</c:v>
                </c:pt>
                <c:pt idx="15">
                  <c:v>193.87076304437514</c:v>
                </c:pt>
                <c:pt idx="16">
                  <c:v>194.99461268611842</c:v>
                </c:pt>
                <c:pt idx="17">
                  <c:v>196.0608030537187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6F-48D5-B7EE-215362E85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110623"/>
        <c:axId val="718120223"/>
      </c:scatterChart>
      <c:valAx>
        <c:axId val="718110623"/>
        <c:scaling>
          <c:orientation val="minMax"/>
          <c:max val="2000"/>
          <c:min val="2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20223"/>
        <c:crosses val="autoZero"/>
        <c:crossBetween val="midCat"/>
      </c:valAx>
      <c:valAx>
        <c:axId val="718120223"/>
        <c:scaling>
          <c:orientation val="minMax"/>
          <c:min val="1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10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</a:t>
            </a:r>
            <a:r>
              <a:rPr lang="en-US" baseline="0"/>
              <a:t> rot vs Temperature</a:t>
            </a:r>
            <a:endParaRPr lang="en-US"/>
          </a:p>
        </c:rich>
      </c:tx>
      <c:layout>
        <c:manualLayout>
          <c:xMode val="edge"/>
          <c:yMode val="edge"/>
          <c:x val="0.3758263342082239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Summary!$U$62</c:f>
              <c:strCache>
                <c:ptCount val="1"/>
                <c:pt idx="0">
                  <c:v>CH4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Summary!$T$63:$T$80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Summary!$U$63:$U$80</c:f>
              <c:numCache>
                <c:formatCode>0.00E+00</c:formatCode>
                <c:ptCount val="18"/>
                <c:pt idx="0">
                  <c:v>53.92338427077113</c:v>
                </c:pt>
                <c:pt idx="1">
                  <c:v>57.594689766690877</c:v>
                </c:pt>
                <c:pt idx="2">
                  <c:v>60.377667633611445</c:v>
                </c:pt>
                <c:pt idx="3">
                  <c:v>62.651526117227711</c:v>
                </c:pt>
                <c:pt idx="4">
                  <c:v>64.574046071774575</c:v>
                </c:pt>
                <c:pt idx="5">
                  <c:v>66.23940860645007</c:v>
                </c:pt>
                <c:pt idx="6">
                  <c:v>67.708362467764545</c:v>
                </c:pt>
                <c:pt idx="7">
                  <c:v>69.022386473370645</c:v>
                </c:pt>
                <c:pt idx="8">
                  <c:v>70.211065775664991</c:v>
                </c:pt>
                <c:pt idx="9">
                  <c:v>71.296244956986925</c:v>
                </c:pt>
                <c:pt idx="10">
                  <c:v>72.29451303398001</c:v>
                </c:pt>
                <c:pt idx="11">
                  <c:v>73.218764911533768</c:v>
                </c:pt>
                <c:pt idx="12">
                  <c:v>74.079222823907486</c:v>
                </c:pt>
                <c:pt idx="13">
                  <c:v>74.884127446209291</c:v>
                </c:pt>
                <c:pt idx="14">
                  <c:v>75.640219117744962</c:v>
                </c:pt>
                <c:pt idx="15">
                  <c:v>76.353081307523752</c:v>
                </c:pt>
                <c:pt idx="16">
                  <c:v>77.027391092569701</c:v>
                </c:pt>
                <c:pt idx="17">
                  <c:v>77.667105313129852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23-4F7C-BD47-5CC8CB60E588}"/>
            </c:ext>
          </c:extLst>
        </c:ser>
        <c:ser>
          <c:idx val="1"/>
          <c:order val="1"/>
          <c:tx>
            <c:strRef>
              <c:f>Summary!$V$62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Summary!$T$63:$T$80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Summary!$V$63:$V$80</c:f>
              <c:numCache>
                <c:formatCode>0.00E+00</c:formatCode>
                <c:ptCount val="18"/>
                <c:pt idx="0">
                  <c:v>44.160215883499525</c:v>
                </c:pt>
                <c:pt idx="1">
                  <c:v>44.160215883499525</c:v>
                </c:pt>
                <c:pt idx="2">
                  <c:v>46.9431937504201</c:v>
                </c:pt>
                <c:pt idx="3">
                  <c:v>49.217052234036366</c:v>
                </c:pt>
                <c:pt idx="4">
                  <c:v>51.139572188583223</c:v>
                </c:pt>
                <c:pt idx="5">
                  <c:v>52.804934723258732</c:v>
                </c:pt>
                <c:pt idx="6">
                  <c:v>54.273888584573207</c:v>
                </c:pt>
                <c:pt idx="7">
                  <c:v>55.587912590179307</c:v>
                </c:pt>
                <c:pt idx="8">
                  <c:v>56.776591892473647</c:v>
                </c:pt>
                <c:pt idx="9">
                  <c:v>57.861771073795573</c:v>
                </c:pt>
                <c:pt idx="10">
                  <c:v>58.860039150788658</c:v>
                </c:pt>
                <c:pt idx="11">
                  <c:v>59.78429102834243</c:v>
                </c:pt>
                <c:pt idx="12">
                  <c:v>60.644748940716148</c:v>
                </c:pt>
                <c:pt idx="13">
                  <c:v>61.449653563017939</c:v>
                </c:pt>
                <c:pt idx="14">
                  <c:v>62.205745234553618</c:v>
                </c:pt>
                <c:pt idx="15">
                  <c:v>62.918607424332407</c:v>
                </c:pt>
                <c:pt idx="16">
                  <c:v>63.592917209378363</c:v>
                </c:pt>
                <c:pt idx="17">
                  <c:v>64.232631429938522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23-4F7C-BD47-5CC8CB60E588}"/>
            </c:ext>
          </c:extLst>
        </c:ser>
        <c:ser>
          <c:idx val="2"/>
          <c:order val="2"/>
          <c:tx>
            <c:strRef>
              <c:f>Summary!$W$62</c:f>
              <c:strCache>
                <c:ptCount val="1"/>
                <c:pt idx="0">
                  <c:v>CO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Summary!$T$63:$T$80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Summary!$W$63:$W$80</c:f>
              <c:numCache>
                <c:formatCode>0.00E+00</c:formatCode>
                <c:ptCount val="18"/>
                <c:pt idx="0">
                  <c:v>47.317810541361339</c:v>
                </c:pt>
                <c:pt idx="1">
                  <c:v>49.765347538641173</c:v>
                </c:pt>
                <c:pt idx="2">
                  <c:v>51.620666116588218</c:v>
                </c:pt>
                <c:pt idx="3">
                  <c:v>53.136571772332402</c:v>
                </c:pt>
                <c:pt idx="4">
                  <c:v>54.418251742030307</c:v>
                </c:pt>
                <c:pt idx="5">
                  <c:v>55.528493431813978</c:v>
                </c:pt>
                <c:pt idx="6">
                  <c:v>56.507796006023618</c:v>
                </c:pt>
                <c:pt idx="7">
                  <c:v>57.383812009761023</c:v>
                </c:pt>
                <c:pt idx="8">
                  <c:v>58.176264877957252</c:v>
                </c:pt>
                <c:pt idx="9">
                  <c:v>58.899717665505207</c:v>
                </c:pt>
                <c:pt idx="10">
                  <c:v>59.565229716833926</c:v>
                </c:pt>
                <c:pt idx="11">
                  <c:v>60.181397635203112</c:v>
                </c:pt>
                <c:pt idx="12">
                  <c:v>60.755036243452246</c:v>
                </c:pt>
                <c:pt idx="13">
                  <c:v>61.291639324986782</c:v>
                </c:pt>
                <c:pt idx="14">
                  <c:v>61.795700439343904</c:v>
                </c:pt>
                <c:pt idx="15">
                  <c:v>62.270941899196423</c:v>
                </c:pt>
                <c:pt idx="16">
                  <c:v>62.720481755893722</c:v>
                </c:pt>
                <c:pt idx="17">
                  <c:v>63.146957902933828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23-4F7C-BD47-5CC8CB60E588}"/>
            </c:ext>
          </c:extLst>
        </c:ser>
        <c:ser>
          <c:idx val="3"/>
          <c:order val="3"/>
          <c:tx>
            <c:strRef>
              <c:f>Summary!$X$62</c:f>
              <c:strCache>
                <c:ptCount val="1"/>
                <c:pt idx="0">
                  <c:v>NO2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Summary!$T$63:$T$80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Summary!$X$63:$X$80</c:f>
              <c:numCache>
                <c:formatCode>0.00E+00</c:formatCode>
                <c:ptCount val="18"/>
                <c:pt idx="0">
                  <c:v>76.641587005207327</c:v>
                </c:pt>
                <c:pt idx="1">
                  <c:v>80.312892501127067</c:v>
                </c:pt>
                <c:pt idx="2">
                  <c:v>83.095870368047628</c:v>
                </c:pt>
                <c:pt idx="3">
                  <c:v>85.369728851663908</c:v>
                </c:pt>
                <c:pt idx="4">
                  <c:v>87.292248806210765</c:v>
                </c:pt>
                <c:pt idx="5">
                  <c:v>88.957611340886274</c:v>
                </c:pt>
                <c:pt idx="6">
                  <c:v>90.426565202200749</c:v>
                </c:pt>
                <c:pt idx="7">
                  <c:v>91.740589207806849</c:v>
                </c:pt>
                <c:pt idx="8">
                  <c:v>92.929268510101181</c:v>
                </c:pt>
                <c:pt idx="9">
                  <c:v>94.014447691423115</c:v>
                </c:pt>
                <c:pt idx="10">
                  <c:v>95.0127157684162</c:v>
                </c:pt>
                <c:pt idx="11">
                  <c:v>95.936967645969972</c:v>
                </c:pt>
                <c:pt idx="12">
                  <c:v>96.797425558343676</c:v>
                </c:pt>
                <c:pt idx="13">
                  <c:v>97.602330180645481</c:v>
                </c:pt>
                <c:pt idx="14">
                  <c:v>98.358421852181166</c:v>
                </c:pt>
                <c:pt idx="15">
                  <c:v>99.071284041959942</c:v>
                </c:pt>
                <c:pt idx="16">
                  <c:v>99.745593827005905</c:v>
                </c:pt>
                <c:pt idx="17">
                  <c:v>100.38530804756604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23-4F7C-BD47-5CC8CB60E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009407"/>
        <c:axId val="800019967"/>
      </c:scatterChart>
      <c:valAx>
        <c:axId val="800009407"/>
        <c:scaling>
          <c:orientation val="minMax"/>
          <c:max val="2000"/>
          <c:min val="2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19967"/>
        <c:crosses val="autoZero"/>
        <c:crossBetween val="midCat"/>
      </c:valAx>
      <c:valAx>
        <c:axId val="800019967"/>
        <c:scaling>
          <c:orientation val="minMax"/>
          <c:min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09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 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Summary!$C$85</c:f>
              <c:strCache>
                <c:ptCount val="1"/>
                <c:pt idx="0">
                  <c:v>CH4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Summary!$B$86:$B$103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Summary!$C$86:$C$103</c:f>
              <c:numCache>
                <c:formatCode>0.00E+00</c:formatCode>
                <c:ptCount val="18"/>
                <c:pt idx="0">
                  <c:v>0.35534558394460913</c:v>
                </c:pt>
                <c:pt idx="1">
                  <c:v>1.5581620349758667</c:v>
                </c:pt>
                <c:pt idx="2">
                  <c:v>3.635680377324348</c:v>
                </c:pt>
                <c:pt idx="3">
                  <c:v>6.3786664904106756</c:v>
                </c:pt>
                <c:pt idx="4">
                  <c:v>9.5611318739621804</c:v>
                </c:pt>
                <c:pt idx="5">
                  <c:v>13.018219658425023</c:v>
                </c:pt>
                <c:pt idx="6">
                  <c:v>16.635942560206495</c:v>
                </c:pt>
                <c:pt idx="7">
                  <c:v>20.33444600053739</c:v>
                </c:pt>
                <c:pt idx="8">
                  <c:v>24.056875739796521</c:v>
                </c:pt>
                <c:pt idx="9">
                  <c:v>27.762642468404987</c:v>
                </c:pt>
                <c:pt idx="10">
                  <c:v>31.423078438431236</c:v>
                </c:pt>
                <c:pt idx="11">
                  <c:v>35.018384714797193</c:v>
                </c:pt>
                <c:pt idx="12">
                  <c:v>38.535365670908654</c:v>
                </c:pt>
                <c:pt idx="13">
                  <c:v>41.96571180438545</c:v>
                </c:pt>
                <c:pt idx="14">
                  <c:v>45.304695088593057</c:v>
                </c:pt>
                <c:pt idx="15">
                  <c:v>48.550182989116379</c:v>
                </c:pt>
                <c:pt idx="16">
                  <c:v>51.701898800014249</c:v>
                </c:pt>
                <c:pt idx="17">
                  <c:v>54.760870815705566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D-4F1A-BF51-6EDAC42FE3B4}"/>
            </c:ext>
          </c:extLst>
        </c:ser>
        <c:ser>
          <c:idx val="1"/>
          <c:order val="1"/>
          <c:tx>
            <c:strRef>
              <c:f>Summary!$D$85</c:f>
              <c:strCache>
                <c:ptCount val="1"/>
                <c:pt idx="0">
                  <c:v>H2O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Summary!$B$86:$B$103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Summary!$D$86:$D$103</c:f>
              <c:numCache>
                <c:formatCode>0.00E+00</c:formatCode>
                <c:ptCount val="18"/>
                <c:pt idx="0">
                  <c:v>3.1612054179673874E-2</c:v>
                </c:pt>
                <c:pt idx="1">
                  <c:v>0.17682434279403675</c:v>
                </c:pt>
                <c:pt idx="2">
                  <c:v>0.47007649132895729</c:v>
                </c:pt>
                <c:pt idx="3">
                  <c:v>0.89478278586798554</c:v>
                </c:pt>
                <c:pt idx="4">
                  <c:v>1.4208965057751157</c:v>
                </c:pt>
                <c:pt idx="5">
                  <c:v>2.0255480019593737</c:v>
                </c:pt>
                <c:pt idx="6">
                  <c:v>2.6933404046271732</c:v>
                </c:pt>
                <c:pt idx="7">
                  <c:v>3.4128196872277639</c:v>
                </c:pt>
                <c:pt idx="8">
                  <c:v>4.1741626398967222</c:v>
                </c:pt>
                <c:pt idx="9">
                  <c:v>4.9683247007014177</c:v>
                </c:pt>
                <c:pt idx="10">
                  <c:v>5.7869399543101094</c:v>
                </c:pt>
                <c:pt idx="11">
                  <c:v>6.6224516211649647</c:v>
                </c:pt>
                <c:pt idx="12">
                  <c:v>7.4682349730911479</c:v>
                </c:pt>
                <c:pt idx="13">
                  <c:v>8.318643645646377</c:v>
                </c:pt>
                <c:pt idx="14">
                  <c:v>9.1689825416199486</c:v>
                </c:pt>
                <c:pt idx="15">
                  <c:v>10.015431480001102</c:v>
                </c:pt>
                <c:pt idx="16">
                  <c:v>10.854943618524171</c:v>
                </c:pt>
                <c:pt idx="17">
                  <c:v>11.685136309777151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BD-4F1A-BF51-6EDAC42FE3B4}"/>
            </c:ext>
          </c:extLst>
        </c:ser>
        <c:ser>
          <c:idx val="2"/>
          <c:order val="2"/>
          <c:tx>
            <c:strRef>
              <c:f>Summary!$E$85</c:f>
              <c:strCache>
                <c:ptCount val="1"/>
                <c:pt idx="0">
                  <c:v>CO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Summary!$B$86:$B$103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Summary!$E$86:$E$103</c:f>
              <c:numCache>
                <c:formatCode>0.00E+00</c:formatCode>
                <c:ptCount val="18"/>
                <c:pt idx="0">
                  <c:v>2.337332789574553E-3</c:v>
                </c:pt>
                <c:pt idx="1">
                  <c:v>2.6969672447441379E-2</c:v>
                </c:pt>
                <c:pt idx="2">
                  <c:v>0.10825057910447369</c:v>
                </c:pt>
                <c:pt idx="3">
                  <c:v>0.26720746317116439</c:v>
                </c:pt>
                <c:pt idx="4">
                  <c:v>0.5024640223668061</c:v>
                </c:pt>
                <c:pt idx="5">
                  <c:v>0.80000392432517498</c:v>
                </c:pt>
                <c:pt idx="6">
                  <c:v>1.1426750285795071</c:v>
                </c:pt>
                <c:pt idx="7">
                  <c:v>1.5149964107486049</c:v>
                </c:pt>
                <c:pt idx="8">
                  <c:v>1.9046675895254326</c:v>
                </c:pt>
                <c:pt idx="9">
                  <c:v>2.3025471761551932</c:v>
                </c:pt>
                <c:pt idx="10">
                  <c:v>2.702113212376311</c:v>
                </c:pt>
                <c:pt idx="11">
                  <c:v>3.0988495811465304</c:v>
                </c:pt>
                <c:pt idx="12">
                  <c:v>3.4897147120156875</c:v>
                </c:pt>
                <c:pt idx="13">
                  <c:v>3.8727265913160474</c:v>
                </c:pt>
                <c:pt idx="14">
                  <c:v>4.2466540718763257</c:v>
                </c:pt>
                <c:pt idx="15">
                  <c:v>4.6107929445248734</c:v>
                </c:pt>
                <c:pt idx="16">
                  <c:v>4.9648056186902956</c:v>
                </c:pt>
                <c:pt idx="17">
                  <c:v>5.3086071195601985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BD-4F1A-BF51-6EDAC42FE3B4}"/>
            </c:ext>
          </c:extLst>
        </c:ser>
        <c:ser>
          <c:idx val="3"/>
          <c:order val="3"/>
          <c:tx>
            <c:strRef>
              <c:f>Summary!$F$85</c:f>
              <c:strCache>
                <c:ptCount val="1"/>
                <c:pt idx="0">
                  <c:v>NO2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Summary!$B$86:$B$103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Summary!$F$86:$F$103</c:f>
              <c:numCache>
                <c:formatCode>0.00E+00</c:formatCode>
                <c:ptCount val="18"/>
                <c:pt idx="0">
                  <c:v>1.1536203726594538</c:v>
                </c:pt>
                <c:pt idx="1">
                  <c:v>2.6655456167016949</c:v>
                </c:pt>
                <c:pt idx="2">
                  <c:v>4.4976763337482444</c:v>
                </c:pt>
                <c:pt idx="3">
                  <c:v>6.5056229681245386</c:v>
                </c:pt>
                <c:pt idx="4">
                  <c:v>8.5706987040758413</c:v>
                </c:pt>
                <c:pt idx="5">
                  <c:v>10.619311475654092</c:v>
                </c:pt>
                <c:pt idx="6">
                  <c:v>12.610219174300372</c:v>
                </c:pt>
                <c:pt idx="7">
                  <c:v>14.522718511604312</c:v>
                </c:pt>
                <c:pt idx="8">
                  <c:v>16.348304662637322</c:v>
                </c:pt>
                <c:pt idx="9">
                  <c:v>18.085403938802578</c:v>
                </c:pt>
                <c:pt idx="10">
                  <c:v>19.736212767565984</c:v>
                </c:pt>
                <c:pt idx="11">
                  <c:v>21.304849276159217</c:v>
                </c:pt>
                <c:pt idx="12">
                  <c:v>22.796290725902765</c:v>
                </c:pt>
                <c:pt idx="13">
                  <c:v>24.215773497522719</c:v>
                </c:pt>
                <c:pt idx="14">
                  <c:v>25.568463350585262</c:v>
                </c:pt>
                <c:pt idx="15">
                  <c:v>26.85928290577387</c:v>
                </c:pt>
                <c:pt idx="16">
                  <c:v>28.092830040530497</c:v>
                </c:pt>
                <c:pt idx="17">
                  <c:v>29.273348258054117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BD-4F1A-BF51-6EDAC42FE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266079"/>
        <c:axId val="1537264639"/>
      </c:scatterChart>
      <c:valAx>
        <c:axId val="1537266079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64639"/>
        <c:crosses val="autoZero"/>
        <c:crossBetween val="midCat"/>
      </c:valAx>
      <c:valAx>
        <c:axId val="15372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266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en-US" baseline="0"/>
              <a:t>v vib vs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Summary!$C$136</c:f>
              <c:strCache>
                <c:ptCount val="1"/>
                <c:pt idx="0">
                  <c:v>CH4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Summary!$B$137:$B$154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Summary!$C$137:$C$154</c:f>
              <c:numCache>
                <c:formatCode>0.00E+00</c:formatCode>
                <c:ptCount val="18"/>
                <c:pt idx="0">
                  <c:v>1.9539926462932609</c:v>
                </c:pt>
                <c:pt idx="1">
                  <c:v>6.101561738755402</c:v>
                </c:pt>
                <c:pt idx="2">
                  <c:v>10.980400707168242</c:v>
                </c:pt>
                <c:pt idx="3">
                  <c:v>15.577037131973006</c:v>
                </c:pt>
                <c:pt idx="4">
                  <c:v>19.530504744643949</c:v>
                </c:pt>
                <c:pt idx="5">
                  <c:v>22.827675121519402</c:v>
                </c:pt>
                <c:pt idx="6">
                  <c:v>25.563406040630916</c:v>
                </c:pt>
                <c:pt idx="7">
                  <c:v>27.845823452921515</c:v>
                </c:pt>
                <c:pt idx="8">
                  <c:v>29.768114589797353</c:v>
                </c:pt>
                <c:pt idx="9">
                  <c:v>31.404057735937279</c:v>
                </c:pt>
                <c:pt idx="10">
                  <c:v>32.810484956123368</c:v>
                </c:pt>
                <c:pt idx="11">
                  <c:v>34.03097618631088</c:v>
                </c:pt>
                <c:pt idx="12">
                  <c:v>35.099132243937092</c:v>
                </c:pt>
                <c:pt idx="13">
                  <c:v>36.041113710268597</c:v>
                </c:pt>
                <c:pt idx="14">
                  <c:v>36.877520084659331</c:v>
                </c:pt>
                <c:pt idx="15">
                  <c:v>37.624760068521049</c:v>
                </c:pt>
                <c:pt idx="16">
                  <c:v>38.296050254091902</c:v>
                </c:pt>
                <c:pt idx="17">
                  <c:v>38.902147651419035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E-4400-89C6-8014BAA0ED00}"/>
            </c:ext>
          </c:extLst>
        </c:ser>
        <c:ser>
          <c:idx val="1"/>
          <c:order val="1"/>
          <c:tx>
            <c:strRef>
              <c:f>Summary!$D$136</c:f>
              <c:strCache>
                <c:ptCount val="1"/>
                <c:pt idx="0">
                  <c:v>H2O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Summary!$B$137:$B$154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Summary!$D$137:$D$154</c:f>
              <c:numCache>
                <c:formatCode>0.00E+00</c:formatCode>
                <c:ptCount val="18"/>
                <c:pt idx="0">
                  <c:v>0.21683064057509557</c:v>
                </c:pt>
                <c:pt idx="1">
                  <c:v>1.0905335185047891</c:v>
                </c:pt>
                <c:pt idx="2">
                  <c:v>2.6936263974443611</c:v>
                </c:pt>
                <c:pt idx="3">
                  <c:v>4.6962645586087337</c:v>
                </c:pt>
                <c:pt idx="4">
                  <c:v>6.8452324847616399</c:v>
                </c:pt>
                <c:pt idx="5">
                  <c:v>9.0540902473957114</c:v>
                </c:pt>
                <c:pt idx="6">
                  <c:v>11.305896643227797</c:v>
                </c:pt>
                <c:pt idx="7">
                  <c:v>13.583210171066334</c:v>
                </c:pt>
                <c:pt idx="8">
                  <c:v>15.854335887126258</c:v>
                </c:pt>
                <c:pt idx="9">
                  <c:v>18.081351991482112</c:v>
                </c:pt>
                <c:pt idx="10">
                  <c:v>20.229483026223001</c:v>
                </c:pt>
                <c:pt idx="11">
                  <c:v>22.272161894631761</c:v>
                </c:pt>
                <c:pt idx="12">
                  <c:v>24.192221131222649</c:v>
                </c:pt>
                <c:pt idx="13">
                  <c:v>25.980909454733954</c:v>
                </c:pt>
                <c:pt idx="14">
                  <c:v>27.636077362102853</c:v>
                </c:pt>
                <c:pt idx="15">
                  <c:v>29.160293242607182</c:v>
                </c:pt>
                <c:pt idx="16">
                  <c:v>30.559225830233956</c:v>
                </c:pt>
                <c:pt idx="17">
                  <c:v>31.840388023393075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E-4400-89C6-8014BAA0ED00}"/>
            </c:ext>
          </c:extLst>
        </c:ser>
        <c:ser>
          <c:idx val="2"/>
          <c:order val="2"/>
          <c:tx>
            <c:strRef>
              <c:f>Summary!$E$136</c:f>
              <c:strCache>
                <c:ptCount val="1"/>
                <c:pt idx="0">
                  <c:v>CO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Summary!$B$137:$B$154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Summary!$E$137:$E$154</c:f>
              <c:numCache>
                <c:formatCode>0.00E+00</c:formatCode>
                <c:ptCount val="18"/>
                <c:pt idx="0">
                  <c:v>2.2710956082236129E-2</c:v>
                </c:pt>
                <c:pt idx="1">
                  <c:v>0.18971681094514353</c:v>
                </c:pt>
                <c:pt idx="2">
                  <c:v>0.59347348920645782</c:v>
                </c:pt>
                <c:pt idx="3">
                  <c:v>1.1926911411643459</c:v>
                </c:pt>
                <c:pt idx="4">
                  <c:v>1.8846181556819135</c:v>
                </c:pt>
                <c:pt idx="5">
                  <c:v>2.583320563977761</c:v>
                </c:pt>
                <c:pt idx="6">
                  <c:v>3.238436114982866</c:v>
                </c:pt>
                <c:pt idx="7">
                  <c:v>3.827690777326759</c:v>
                </c:pt>
                <c:pt idx="8">
                  <c:v>4.3456561570441545</c:v>
                </c:pt>
                <c:pt idx="9">
                  <c:v>4.7954767917344512</c:v>
                </c:pt>
                <c:pt idx="10">
                  <c:v>5.1839479684114798</c:v>
                </c:pt>
                <c:pt idx="11">
                  <c:v>5.5189044719322693</c:v>
                </c:pt>
                <c:pt idx="12">
                  <c:v>5.8079633018903181</c:v>
                </c:pt>
                <c:pt idx="13">
                  <c:v>6.0579951148716384</c:v>
                </c:pt>
                <c:pt idx="14">
                  <c:v>6.2749639941239241</c:v>
                </c:pt>
                <c:pt idx="15">
                  <c:v>6.4639407653017003</c:v>
                </c:pt>
                <c:pt idx="16">
                  <c:v>6.6291891027060599</c:v>
                </c:pt>
                <c:pt idx="17">
                  <c:v>6.7742744751735762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7E-4400-89C6-8014BAA0ED00}"/>
            </c:ext>
          </c:extLst>
        </c:ser>
        <c:ser>
          <c:idx val="3"/>
          <c:order val="3"/>
          <c:tx>
            <c:strRef>
              <c:f>Summary!$F$136</c:f>
              <c:strCache>
                <c:ptCount val="1"/>
                <c:pt idx="0">
                  <c:v>NO2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Summary!$B$137:$B$154</c:f>
              <c:numCache>
                <c:formatCode>General</c:formatCode>
                <c:ptCount val="18"/>
                <c:pt idx="0">
                  <c:v>298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xVal>
          <c:yVal>
            <c:numRef>
              <c:f>Summary!$F$137:$F$154</c:f>
              <c:numCache>
                <c:formatCode>0.00E+00</c:formatCode>
                <c:ptCount val="18"/>
                <c:pt idx="0">
                  <c:v>3.6819438528852535</c:v>
                </c:pt>
                <c:pt idx="1">
                  <c:v>4.6932590591269738</c:v>
                </c:pt>
                <c:pt idx="2">
                  <c:v>5.7255234156649131</c:v>
                </c:pt>
                <c:pt idx="3">
                  <c:v>6.3987575807436006</c:v>
                </c:pt>
                <c:pt idx="4">
                  <c:v>6.8503062658327281</c:v>
                </c:pt>
                <c:pt idx="5">
                  <c:v>7.1637723428532141</c:v>
                </c:pt>
                <c:pt idx="6">
                  <c:v>7.3886092019537681</c:v>
                </c:pt>
                <c:pt idx="7">
                  <c:v>7.55462118192023</c:v>
                </c:pt>
                <c:pt idx="8">
                  <c:v>7.6803292940507477</c:v>
                </c:pt>
                <c:pt idx="9">
                  <c:v>7.7776197993369705</c:v>
                </c:pt>
                <c:pt idx="10">
                  <c:v>7.8543572722753741</c:v>
                </c:pt>
                <c:pt idx="11">
                  <c:v>7.9158921631883068</c:v>
                </c:pt>
                <c:pt idx="12">
                  <c:v>7.9659567546172818</c:v>
                </c:pt>
                <c:pt idx="13">
                  <c:v>8.0072135511449769</c:v>
                </c:pt>
                <c:pt idx="14">
                  <c:v>8.0416003973618349</c:v>
                </c:pt>
                <c:pt idx="15">
                  <c:v>8.0705533251458448</c:v>
                </c:pt>
                <c:pt idx="16">
                  <c:v>8.0951538764725068</c:v>
                </c:pt>
                <c:pt idx="17">
                  <c:v>8.116228612730783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7E-4400-89C6-8014BAA0E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111583"/>
        <c:axId val="718095743"/>
      </c:scatterChart>
      <c:valAx>
        <c:axId val="718111583"/>
        <c:scaling>
          <c:orientation val="minMax"/>
          <c:max val="2000"/>
          <c:min val="29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95743"/>
        <c:crosses val="autoZero"/>
        <c:crossBetween val="midCat"/>
      </c:valAx>
      <c:valAx>
        <c:axId val="71809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11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30080</xdr:colOff>
      <xdr:row>31</xdr:row>
      <xdr:rowOff>4493</xdr:rowOff>
    </xdr:from>
    <xdr:to>
      <xdr:col>2</xdr:col>
      <xdr:colOff>591554</xdr:colOff>
      <xdr:row>34</xdr:row>
      <xdr:rowOff>128266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ACF1FE1A-0A10-61FB-C3F3-A0B7AABC0B24}"/>
            </a:ext>
          </a:extLst>
        </xdr:cNvPr>
        <xdr:cNvSpPr txBox="1"/>
      </xdr:nvSpPr>
      <xdr:spPr>
        <a:xfrm>
          <a:off x="30080" y="5706355"/>
          <a:ext cx="4502853" cy="675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/>
            <a:t>Comparison with Gaussian</a:t>
          </a:r>
        </a:p>
      </xdr:txBody>
    </xdr:sp>
    <xdr:clientData/>
  </xdr:twoCellAnchor>
  <xdr:twoCellAnchor>
    <xdr:from>
      <xdr:col>6</xdr:col>
      <xdr:colOff>814551</xdr:colOff>
      <xdr:row>33</xdr:row>
      <xdr:rowOff>170793</xdr:rowOff>
    </xdr:from>
    <xdr:to>
      <xdr:col>9</xdr:col>
      <xdr:colOff>762000</xdr:colOff>
      <xdr:row>36</xdr:row>
      <xdr:rowOff>26276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57F7AD0E-1A38-1AE6-0817-9683F66E7EDA}"/>
            </a:ext>
          </a:extLst>
        </xdr:cNvPr>
        <xdr:cNvSpPr txBox="1"/>
      </xdr:nvSpPr>
      <xdr:spPr>
        <a:xfrm>
          <a:off x="8710448" y="6240517"/>
          <a:ext cx="3113690" cy="407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/>
            <a:t>T=298</a:t>
          </a:r>
          <a:r>
            <a:rPr lang="en-US" sz="2200" baseline="0"/>
            <a:t> K</a:t>
          </a:r>
        </a:p>
        <a:p>
          <a:endParaRPr lang="en-US" sz="2200"/>
        </a:p>
      </xdr:txBody>
    </xdr:sp>
    <xdr:clientData/>
  </xdr:twoCellAnchor>
  <xdr:twoCellAnchor>
    <xdr:from>
      <xdr:col>0</xdr:col>
      <xdr:colOff>28222</xdr:colOff>
      <xdr:row>84</xdr:row>
      <xdr:rowOff>56445</xdr:rowOff>
    </xdr:from>
    <xdr:to>
      <xdr:col>2</xdr:col>
      <xdr:colOff>705556</xdr:colOff>
      <xdr:row>88</xdr:row>
      <xdr:rowOff>56445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C6F520F-01BB-625F-A71A-C32A48729570}"/>
            </a:ext>
          </a:extLst>
        </xdr:cNvPr>
        <xdr:cNvSpPr txBox="1"/>
      </xdr:nvSpPr>
      <xdr:spPr>
        <a:xfrm>
          <a:off x="28222" y="15465778"/>
          <a:ext cx="4614334" cy="7337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Comparison</a:t>
          </a:r>
          <a:r>
            <a:rPr lang="en-US" sz="3200" baseline="0"/>
            <a:t> with Gaussian</a:t>
          </a:r>
          <a:endParaRPr lang="en-US" sz="3200"/>
        </a:p>
      </xdr:txBody>
    </xdr:sp>
    <xdr:clientData/>
  </xdr:twoCellAnchor>
  <xdr:twoCellAnchor>
    <xdr:from>
      <xdr:col>0</xdr:col>
      <xdr:colOff>157976</xdr:colOff>
      <xdr:row>89</xdr:row>
      <xdr:rowOff>120804</xdr:rowOff>
    </xdr:from>
    <xdr:to>
      <xdr:col>1</xdr:col>
      <xdr:colOff>306658</xdr:colOff>
      <xdr:row>91</xdr:row>
      <xdr:rowOff>111512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0F1455E4-C667-BDAA-634A-074E0AA1B879}"/>
            </a:ext>
          </a:extLst>
        </xdr:cNvPr>
        <xdr:cNvSpPr txBox="1"/>
      </xdr:nvSpPr>
      <xdr:spPr>
        <a:xfrm>
          <a:off x="157976" y="16661780"/>
          <a:ext cx="2202365" cy="3624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/>
            <a:t>T=298 K</a:t>
          </a:r>
        </a:p>
      </xdr:txBody>
    </xdr:sp>
    <xdr:clientData/>
  </xdr:twoCellAnchor>
  <xdr:twoCellAnchor>
    <xdr:from>
      <xdr:col>8</xdr:col>
      <xdr:colOff>146891</xdr:colOff>
      <xdr:row>76</xdr:row>
      <xdr:rowOff>0</xdr:rowOff>
    </xdr:from>
    <xdr:to>
      <xdr:col>10</xdr:col>
      <xdr:colOff>1496458</xdr:colOff>
      <xdr:row>78</xdr:row>
      <xdr:rowOff>165253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948C80BB-04AC-36E6-698C-683B552665A1}"/>
            </a:ext>
          </a:extLst>
        </xdr:cNvPr>
        <xdr:cNvSpPr txBox="1"/>
      </xdr:nvSpPr>
      <xdr:spPr>
        <a:xfrm>
          <a:off x="11521807" y="13954699"/>
          <a:ext cx="3690651" cy="532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first S rotational formula is taken from ACK_chapter4.</a:t>
          </a:r>
        </a:p>
        <a:p>
          <a:r>
            <a:rPr lang="en-US" sz="1100"/>
            <a:t>The</a:t>
          </a:r>
          <a:r>
            <a:rPr lang="en-US" sz="1100" baseline="0"/>
            <a:t> second formula is taken from Gaussian manual, considering that CH4 is not a linear molecule.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30080</xdr:colOff>
      <xdr:row>31</xdr:row>
      <xdr:rowOff>4493</xdr:rowOff>
    </xdr:from>
    <xdr:to>
      <xdr:col>2</xdr:col>
      <xdr:colOff>591554</xdr:colOff>
      <xdr:row>34</xdr:row>
      <xdr:rowOff>128266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14FB2922-1278-4ABB-8F0E-50D7283C6AC4}"/>
            </a:ext>
          </a:extLst>
        </xdr:cNvPr>
        <xdr:cNvSpPr txBox="1"/>
      </xdr:nvSpPr>
      <xdr:spPr>
        <a:xfrm>
          <a:off x="30080" y="5673773"/>
          <a:ext cx="4501014" cy="67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/>
            <a:t>Comparison with Gaussian</a:t>
          </a:r>
        </a:p>
      </xdr:txBody>
    </xdr:sp>
    <xdr:clientData/>
  </xdr:twoCellAnchor>
  <xdr:twoCellAnchor>
    <xdr:from>
      <xdr:col>6</xdr:col>
      <xdr:colOff>814551</xdr:colOff>
      <xdr:row>33</xdr:row>
      <xdr:rowOff>170793</xdr:rowOff>
    </xdr:from>
    <xdr:to>
      <xdr:col>9</xdr:col>
      <xdr:colOff>762000</xdr:colOff>
      <xdr:row>36</xdr:row>
      <xdr:rowOff>26276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9203DE4C-60E9-4ECA-8103-C31F9879C4C6}"/>
            </a:ext>
          </a:extLst>
        </xdr:cNvPr>
        <xdr:cNvSpPr txBox="1"/>
      </xdr:nvSpPr>
      <xdr:spPr>
        <a:xfrm>
          <a:off x="9745191" y="6205833"/>
          <a:ext cx="3429789" cy="404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/>
            <a:t>T=298</a:t>
          </a:r>
          <a:r>
            <a:rPr lang="en-US" sz="2200" baseline="0"/>
            <a:t> K</a:t>
          </a:r>
        </a:p>
        <a:p>
          <a:endParaRPr lang="en-US" sz="2200"/>
        </a:p>
      </xdr:txBody>
    </xdr:sp>
    <xdr:clientData/>
  </xdr:twoCellAnchor>
  <xdr:twoCellAnchor>
    <xdr:from>
      <xdr:col>0</xdr:col>
      <xdr:colOff>28222</xdr:colOff>
      <xdr:row>84</xdr:row>
      <xdr:rowOff>56445</xdr:rowOff>
    </xdr:from>
    <xdr:to>
      <xdr:col>2</xdr:col>
      <xdr:colOff>705556</xdr:colOff>
      <xdr:row>88</xdr:row>
      <xdr:rowOff>56445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F144A7A2-F9B6-4817-8A65-F336AA9CA840}"/>
            </a:ext>
          </a:extLst>
        </xdr:cNvPr>
        <xdr:cNvSpPr txBox="1"/>
      </xdr:nvSpPr>
      <xdr:spPr>
        <a:xfrm>
          <a:off x="28222" y="15418365"/>
          <a:ext cx="4616874" cy="73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Comparison</a:t>
          </a:r>
          <a:r>
            <a:rPr lang="en-US" sz="3200" baseline="0"/>
            <a:t> with Gaussian</a:t>
          </a:r>
          <a:endParaRPr lang="en-US" sz="3200"/>
        </a:p>
      </xdr:txBody>
    </xdr:sp>
    <xdr:clientData/>
  </xdr:twoCellAnchor>
  <xdr:twoCellAnchor>
    <xdr:from>
      <xdr:col>0</xdr:col>
      <xdr:colOff>157976</xdr:colOff>
      <xdr:row>89</xdr:row>
      <xdr:rowOff>120804</xdr:rowOff>
    </xdr:from>
    <xdr:to>
      <xdr:col>1</xdr:col>
      <xdr:colOff>306658</xdr:colOff>
      <xdr:row>91</xdr:row>
      <xdr:rowOff>111512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7E321872-6C4A-4CB4-A81E-99C72213458A}"/>
            </a:ext>
          </a:extLst>
        </xdr:cNvPr>
        <xdr:cNvSpPr txBox="1"/>
      </xdr:nvSpPr>
      <xdr:spPr>
        <a:xfrm>
          <a:off x="157976" y="16397124"/>
          <a:ext cx="2206082" cy="356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/>
            <a:t>T=298 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9182</xdr:colOff>
      <xdr:row>9</xdr:row>
      <xdr:rowOff>178927</xdr:rowOff>
    </xdr:from>
    <xdr:to>
      <xdr:col>2</xdr:col>
      <xdr:colOff>1000700</xdr:colOff>
      <xdr:row>13</xdr:row>
      <xdr:rowOff>119086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7DC99CD7-C439-411A-97E7-652BF6591D33}"/>
            </a:ext>
          </a:extLst>
        </xdr:cNvPr>
        <xdr:cNvSpPr txBox="1"/>
      </xdr:nvSpPr>
      <xdr:spPr>
        <a:xfrm>
          <a:off x="9182" y="1831457"/>
          <a:ext cx="4930048" cy="6746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/>
            <a:t>Molecular</a:t>
          </a:r>
          <a:r>
            <a:rPr lang="en-US" sz="3000" baseline="0"/>
            <a:t> partition function</a:t>
          </a:r>
          <a:endParaRPr lang="en-US" sz="3000"/>
        </a:p>
      </xdr:txBody>
    </xdr:sp>
    <xdr:clientData/>
  </xdr:twoCellAnchor>
  <xdr:twoCellAnchor>
    <xdr:from>
      <xdr:col>6</xdr:col>
      <xdr:colOff>1135876</xdr:colOff>
      <xdr:row>34</xdr:row>
      <xdr:rowOff>78985</xdr:rowOff>
    </xdr:from>
    <xdr:to>
      <xdr:col>11</xdr:col>
      <xdr:colOff>18361</xdr:colOff>
      <xdr:row>36</xdr:row>
      <xdr:rowOff>118083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E1DD0DD5-5E5D-4F85-AC19-3265271FF3C6}"/>
            </a:ext>
          </a:extLst>
        </xdr:cNvPr>
        <xdr:cNvSpPr txBox="1"/>
      </xdr:nvSpPr>
      <xdr:spPr>
        <a:xfrm>
          <a:off x="10068719" y="6321877"/>
          <a:ext cx="4638799" cy="4063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2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omparison with Gaussian,</a:t>
          </a:r>
          <a:r>
            <a:rPr lang="en-US" sz="2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200"/>
            <a:t>T=298</a:t>
          </a:r>
          <a:r>
            <a:rPr lang="en-US" sz="2200" baseline="0"/>
            <a:t> K</a:t>
          </a:r>
        </a:p>
        <a:p>
          <a:endParaRPr lang="en-US" sz="2200"/>
        </a:p>
      </xdr:txBody>
    </xdr:sp>
    <xdr:clientData/>
  </xdr:twoCellAnchor>
  <xdr:twoCellAnchor>
    <xdr:from>
      <xdr:col>0</xdr:col>
      <xdr:colOff>37403</xdr:colOff>
      <xdr:row>83</xdr:row>
      <xdr:rowOff>28903</xdr:rowOff>
    </xdr:from>
    <xdr:to>
      <xdr:col>2</xdr:col>
      <xdr:colOff>1028241</xdr:colOff>
      <xdr:row>85</xdr:row>
      <xdr:rowOff>110169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6B2EF60F-77F0-4EBD-BCBA-3C0BF4FCD175}"/>
            </a:ext>
          </a:extLst>
        </xdr:cNvPr>
        <xdr:cNvSpPr txBox="1"/>
      </xdr:nvSpPr>
      <xdr:spPr>
        <a:xfrm>
          <a:off x="37403" y="15268903"/>
          <a:ext cx="4929368" cy="4484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600"/>
            <a:t>Comparison</a:t>
          </a:r>
          <a:r>
            <a:rPr lang="en-US" sz="2600" baseline="0"/>
            <a:t> with Gaussian, </a:t>
          </a:r>
          <a:r>
            <a:rPr lang="en-US" sz="2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T=298 K</a:t>
          </a:r>
          <a:endParaRPr lang="en-US" sz="2600">
            <a:effectLst/>
          </a:endParaRPr>
        </a:p>
        <a:p>
          <a:endParaRPr lang="en-US" sz="2600"/>
        </a:p>
      </xdr:txBody>
    </xdr:sp>
    <xdr:clientData/>
  </xdr:twoCellAnchor>
  <xdr:twoCellAnchor>
    <xdr:from>
      <xdr:col>4</xdr:col>
      <xdr:colOff>1551542</xdr:colOff>
      <xdr:row>59</xdr:row>
      <xdr:rowOff>137711</xdr:rowOff>
    </xdr:from>
    <xdr:to>
      <xdr:col>7</xdr:col>
      <xdr:colOff>514120</xdr:colOff>
      <xdr:row>62</xdr:row>
      <xdr:rowOff>110169</xdr:rowOff>
    </xdr:to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75C7D030-CFEB-0CA3-E742-679F52BF97C2}"/>
            </a:ext>
          </a:extLst>
        </xdr:cNvPr>
        <xdr:cNvSpPr txBox="1"/>
      </xdr:nvSpPr>
      <xdr:spPr>
        <a:xfrm>
          <a:off x="7858699" y="10970964"/>
          <a:ext cx="2735855" cy="523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 is a linear molecule,</a:t>
          </a:r>
          <a:r>
            <a:rPr lang="en-US" sz="1100" baseline="0"/>
            <a:t> the formula for S rotational is different</a:t>
          </a:r>
        </a:p>
        <a:p>
          <a:endParaRPr lang="en-US" sz="1100"/>
        </a:p>
      </xdr:txBody>
    </xdr:sp>
    <xdr:clientData/>
  </xdr:twoCellAnchor>
  <xdr:twoCellAnchor>
    <xdr:from>
      <xdr:col>5</xdr:col>
      <xdr:colOff>247879</xdr:colOff>
      <xdr:row>3</xdr:row>
      <xdr:rowOff>0</xdr:rowOff>
    </xdr:from>
    <xdr:to>
      <xdr:col>9</xdr:col>
      <xdr:colOff>0</xdr:colOff>
      <xdr:row>6</xdr:row>
      <xdr:rowOff>119349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E4E5FEAE-EED3-3D2D-60CD-5DF5829F97B4}"/>
            </a:ext>
          </a:extLst>
        </xdr:cNvPr>
        <xdr:cNvSpPr txBox="1"/>
      </xdr:nvSpPr>
      <xdr:spPr>
        <a:xfrm>
          <a:off x="8170843" y="550843"/>
          <a:ext cx="4241494" cy="6701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700"/>
            <a:t>CO</a:t>
          </a:r>
          <a:r>
            <a:rPr lang="en-US" sz="1700" baseline="0"/>
            <a:t> is a linear molecule. Formulas for rotational contributions are different.</a:t>
          </a:r>
          <a:endParaRPr lang="en-US" sz="1700"/>
        </a:p>
      </xdr:txBody>
    </xdr:sp>
    <xdr:clientData/>
  </xdr:twoCellAnchor>
  <xdr:twoCellAnchor>
    <xdr:from>
      <xdr:col>0</xdr:col>
      <xdr:colOff>100988</xdr:colOff>
      <xdr:row>57</xdr:row>
      <xdr:rowOff>27542</xdr:rowOff>
    </xdr:from>
    <xdr:to>
      <xdr:col>1</xdr:col>
      <xdr:colOff>9181</xdr:colOff>
      <xdr:row>59</xdr:row>
      <xdr:rowOff>174434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E0B13D55-BC15-D19E-6B11-393374A52471}"/>
            </a:ext>
          </a:extLst>
        </xdr:cNvPr>
        <xdr:cNvSpPr txBox="1"/>
      </xdr:nvSpPr>
      <xdr:spPr>
        <a:xfrm>
          <a:off x="100988" y="10493566"/>
          <a:ext cx="1964675" cy="5141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/>
            <a:t>Entropy</a:t>
          </a:r>
        </a:p>
        <a:p>
          <a:endParaRPr lang="en-US" sz="3000"/>
        </a:p>
      </xdr:txBody>
    </xdr:sp>
    <xdr:clientData/>
  </xdr:twoCellAnchor>
  <xdr:twoCellAnchor>
    <xdr:from>
      <xdr:col>0</xdr:col>
      <xdr:colOff>110169</xdr:colOff>
      <xdr:row>95</xdr:row>
      <xdr:rowOff>156073</xdr:rowOff>
    </xdr:from>
    <xdr:to>
      <xdr:col>1</xdr:col>
      <xdr:colOff>385590</xdr:colOff>
      <xdr:row>99</xdr:row>
      <xdr:rowOff>18362</xdr:rowOff>
    </xdr:to>
    <xdr:sp macro="" textlink="">
      <xdr:nvSpPr>
        <xdr:cNvPr id="9" name="CasellaDiTesto 8">
          <a:extLst>
            <a:ext uri="{FF2B5EF4-FFF2-40B4-BE49-F238E27FC236}">
              <a16:creationId xmlns:a16="http://schemas.microsoft.com/office/drawing/2014/main" id="{6074CC91-2225-F683-C9AB-2F2C0D1E32D2}"/>
            </a:ext>
          </a:extLst>
        </xdr:cNvPr>
        <xdr:cNvSpPr txBox="1"/>
      </xdr:nvSpPr>
      <xdr:spPr>
        <a:xfrm>
          <a:off x="110169" y="17599446"/>
          <a:ext cx="2331903" cy="596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/>
            <a:t>Heat capacity</a:t>
          </a:r>
        </a:p>
      </xdr:txBody>
    </xdr:sp>
    <xdr:clientData/>
  </xdr:twoCellAnchor>
  <xdr:twoCellAnchor>
    <xdr:from>
      <xdr:col>0</xdr:col>
      <xdr:colOff>82627</xdr:colOff>
      <xdr:row>125</xdr:row>
      <xdr:rowOff>27542</xdr:rowOff>
    </xdr:from>
    <xdr:to>
      <xdr:col>2</xdr:col>
      <xdr:colOff>1055783</xdr:colOff>
      <xdr:row>127</xdr:row>
      <xdr:rowOff>18362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EB5A90F7-F7B9-D02A-DD6F-67ADF4A3AC0A}"/>
            </a:ext>
          </a:extLst>
        </xdr:cNvPr>
        <xdr:cNvSpPr txBox="1"/>
      </xdr:nvSpPr>
      <xdr:spPr>
        <a:xfrm>
          <a:off x="82627" y="22979349"/>
          <a:ext cx="4911686" cy="7160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600"/>
            <a:t>Comparison with gaussian, T=298 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30080</xdr:colOff>
      <xdr:row>31</xdr:row>
      <xdr:rowOff>4493</xdr:rowOff>
    </xdr:from>
    <xdr:to>
      <xdr:col>2</xdr:col>
      <xdr:colOff>591554</xdr:colOff>
      <xdr:row>34</xdr:row>
      <xdr:rowOff>128266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CFD89DE-AE1C-44AF-9515-CD4B3E72C97F}"/>
            </a:ext>
          </a:extLst>
        </xdr:cNvPr>
        <xdr:cNvSpPr txBox="1"/>
      </xdr:nvSpPr>
      <xdr:spPr>
        <a:xfrm>
          <a:off x="30080" y="5673773"/>
          <a:ext cx="4501014" cy="672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/>
            <a:t>Comparison with Gaussian</a:t>
          </a:r>
        </a:p>
      </xdr:txBody>
    </xdr:sp>
    <xdr:clientData/>
  </xdr:twoCellAnchor>
  <xdr:twoCellAnchor>
    <xdr:from>
      <xdr:col>6</xdr:col>
      <xdr:colOff>814551</xdr:colOff>
      <xdr:row>33</xdr:row>
      <xdr:rowOff>170793</xdr:rowOff>
    </xdr:from>
    <xdr:to>
      <xdr:col>9</xdr:col>
      <xdr:colOff>762000</xdr:colOff>
      <xdr:row>36</xdr:row>
      <xdr:rowOff>26276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676146F6-34A3-4E5A-8DF7-0AF763F5478C}"/>
            </a:ext>
          </a:extLst>
        </xdr:cNvPr>
        <xdr:cNvSpPr txBox="1"/>
      </xdr:nvSpPr>
      <xdr:spPr>
        <a:xfrm>
          <a:off x="9745191" y="6205833"/>
          <a:ext cx="3429789" cy="4041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/>
            <a:t>T=298</a:t>
          </a:r>
          <a:r>
            <a:rPr lang="en-US" sz="2200" baseline="0"/>
            <a:t> K</a:t>
          </a:r>
        </a:p>
        <a:p>
          <a:endParaRPr lang="en-US" sz="2200"/>
        </a:p>
      </xdr:txBody>
    </xdr:sp>
    <xdr:clientData/>
  </xdr:twoCellAnchor>
  <xdr:twoCellAnchor>
    <xdr:from>
      <xdr:col>0</xdr:col>
      <xdr:colOff>28222</xdr:colOff>
      <xdr:row>84</xdr:row>
      <xdr:rowOff>56445</xdr:rowOff>
    </xdr:from>
    <xdr:to>
      <xdr:col>2</xdr:col>
      <xdr:colOff>705556</xdr:colOff>
      <xdr:row>88</xdr:row>
      <xdr:rowOff>56445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14099FE1-8CA8-4511-8B1A-B8EEC5178792}"/>
            </a:ext>
          </a:extLst>
        </xdr:cNvPr>
        <xdr:cNvSpPr txBox="1"/>
      </xdr:nvSpPr>
      <xdr:spPr>
        <a:xfrm>
          <a:off x="28222" y="15418365"/>
          <a:ext cx="4616874" cy="731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200"/>
            <a:t>Comparison</a:t>
          </a:r>
          <a:r>
            <a:rPr lang="en-US" sz="3200" baseline="0"/>
            <a:t> with Gaussian</a:t>
          </a:r>
          <a:endParaRPr lang="en-US" sz="3200"/>
        </a:p>
      </xdr:txBody>
    </xdr:sp>
    <xdr:clientData/>
  </xdr:twoCellAnchor>
  <xdr:twoCellAnchor>
    <xdr:from>
      <xdr:col>0</xdr:col>
      <xdr:colOff>157976</xdr:colOff>
      <xdr:row>89</xdr:row>
      <xdr:rowOff>120804</xdr:rowOff>
    </xdr:from>
    <xdr:to>
      <xdr:col>1</xdr:col>
      <xdr:colOff>306658</xdr:colOff>
      <xdr:row>91</xdr:row>
      <xdr:rowOff>111512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CC19CE6B-C51A-44EF-BA1D-A6F65D0D76D3}"/>
            </a:ext>
          </a:extLst>
        </xdr:cNvPr>
        <xdr:cNvSpPr txBox="1"/>
      </xdr:nvSpPr>
      <xdr:spPr>
        <a:xfrm>
          <a:off x="157976" y="16397124"/>
          <a:ext cx="2206082" cy="3564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200"/>
            <a:t>T=298 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0</xdr:row>
      <xdr:rowOff>114300</xdr:rowOff>
    </xdr:from>
    <xdr:to>
      <xdr:col>7</xdr:col>
      <xdr:colOff>571500</xdr:colOff>
      <xdr:row>3</xdr:row>
      <xdr:rowOff>99060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F2177E0F-35C6-6461-DBDE-A182130EED86}"/>
            </a:ext>
          </a:extLst>
        </xdr:cNvPr>
        <xdr:cNvSpPr txBox="1"/>
      </xdr:nvSpPr>
      <xdr:spPr>
        <a:xfrm>
          <a:off x="434340" y="114300"/>
          <a:ext cx="440436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/>
            <a:t>Molecular</a:t>
          </a:r>
          <a:r>
            <a:rPr lang="en-US" sz="3000" baseline="0"/>
            <a:t> partition function</a:t>
          </a:r>
          <a:endParaRPr lang="en-US" sz="3000"/>
        </a:p>
      </xdr:txBody>
    </xdr:sp>
    <xdr:clientData/>
  </xdr:twoCellAnchor>
  <xdr:twoCellAnchor>
    <xdr:from>
      <xdr:col>1</xdr:col>
      <xdr:colOff>22860</xdr:colOff>
      <xdr:row>4</xdr:row>
      <xdr:rowOff>68580</xdr:rowOff>
    </xdr:from>
    <xdr:to>
      <xdr:col>2</xdr:col>
      <xdr:colOff>228600</xdr:colOff>
      <xdr:row>6</xdr:row>
      <xdr:rowOff>152400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43AB7F10-B9DF-3087-967B-2AF7BC5151FF}"/>
            </a:ext>
          </a:extLst>
        </xdr:cNvPr>
        <xdr:cNvSpPr txBox="1"/>
      </xdr:nvSpPr>
      <xdr:spPr>
        <a:xfrm>
          <a:off x="632460" y="800100"/>
          <a:ext cx="929640" cy="449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Q</a:t>
          </a:r>
          <a:r>
            <a:rPr lang="en-US" sz="2000" baseline="0"/>
            <a:t> trasl</a:t>
          </a:r>
          <a:endParaRPr lang="en-US" sz="2000"/>
        </a:p>
      </xdr:txBody>
    </xdr:sp>
    <xdr:clientData/>
  </xdr:twoCellAnchor>
  <xdr:twoCellAnchor>
    <xdr:from>
      <xdr:col>6</xdr:col>
      <xdr:colOff>391886</xdr:colOff>
      <xdr:row>4</xdr:row>
      <xdr:rowOff>174170</xdr:rowOff>
    </xdr:from>
    <xdr:to>
      <xdr:col>18</xdr:col>
      <xdr:colOff>32656</xdr:colOff>
      <xdr:row>26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6E7EC13-A0F5-0D1A-BB3B-672AE089B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32657</xdr:colOff>
      <xdr:row>3</xdr:row>
      <xdr:rowOff>32658</xdr:rowOff>
    </xdr:from>
    <xdr:to>
      <xdr:col>21</xdr:col>
      <xdr:colOff>43543</xdr:colOff>
      <xdr:row>5</xdr:row>
      <xdr:rowOff>163285</xdr:rowOff>
    </xdr:to>
    <xdr:sp macro="" textlink="">
      <xdr:nvSpPr>
        <xdr:cNvPr id="5" name="CasellaDiTesto 4">
          <a:extLst>
            <a:ext uri="{FF2B5EF4-FFF2-40B4-BE49-F238E27FC236}">
              <a16:creationId xmlns:a16="http://schemas.microsoft.com/office/drawing/2014/main" id="{5593E6CF-3BC5-8348-20C4-EED590116E03}"/>
            </a:ext>
          </a:extLst>
        </xdr:cNvPr>
        <xdr:cNvSpPr txBox="1"/>
      </xdr:nvSpPr>
      <xdr:spPr>
        <a:xfrm>
          <a:off x="12333514" y="587829"/>
          <a:ext cx="1230086" cy="5007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Qrot</a:t>
          </a:r>
        </a:p>
        <a:p>
          <a:endParaRPr lang="en-US" sz="2000"/>
        </a:p>
      </xdr:txBody>
    </xdr:sp>
    <xdr:clientData/>
  </xdr:twoCellAnchor>
  <xdr:twoCellAnchor>
    <xdr:from>
      <xdr:col>24</xdr:col>
      <xdr:colOff>424542</xdr:colOff>
      <xdr:row>4</xdr:row>
      <xdr:rowOff>174172</xdr:rowOff>
    </xdr:from>
    <xdr:to>
      <xdr:col>36</xdr:col>
      <xdr:colOff>87085</xdr:colOff>
      <xdr:row>27</xdr:row>
      <xdr:rowOff>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E13473BF-4F83-4519-2F3D-4A0816686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10886</xdr:colOff>
      <xdr:row>28</xdr:row>
      <xdr:rowOff>87086</xdr:rowOff>
    </xdr:from>
    <xdr:to>
      <xdr:col>2</xdr:col>
      <xdr:colOff>97971</xdr:colOff>
      <xdr:row>30</xdr:row>
      <xdr:rowOff>54429</xdr:rowOff>
    </xdr:to>
    <xdr:sp macro="" textlink="">
      <xdr:nvSpPr>
        <xdr:cNvPr id="8" name="CasellaDiTesto 7">
          <a:extLst>
            <a:ext uri="{FF2B5EF4-FFF2-40B4-BE49-F238E27FC236}">
              <a16:creationId xmlns:a16="http://schemas.microsoft.com/office/drawing/2014/main" id="{BD872F31-726E-5C31-AF9A-E95F55F5C968}"/>
            </a:ext>
          </a:extLst>
        </xdr:cNvPr>
        <xdr:cNvSpPr txBox="1"/>
      </xdr:nvSpPr>
      <xdr:spPr>
        <a:xfrm>
          <a:off x="620486" y="5268686"/>
          <a:ext cx="816428" cy="337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Qvib</a:t>
          </a:r>
        </a:p>
      </xdr:txBody>
    </xdr:sp>
    <xdr:clientData/>
  </xdr:twoCellAnchor>
  <xdr:twoCellAnchor>
    <xdr:from>
      <xdr:col>6</xdr:col>
      <xdr:colOff>359229</xdr:colOff>
      <xdr:row>30</xdr:row>
      <xdr:rowOff>0</xdr:rowOff>
    </xdr:from>
    <xdr:to>
      <xdr:col>17</xdr:col>
      <xdr:colOff>598714</xdr:colOff>
      <xdr:row>49</xdr:row>
      <xdr:rowOff>152399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F5944F8E-597F-85A1-0770-C8445A799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587829</xdr:colOff>
      <xdr:row>52</xdr:row>
      <xdr:rowOff>152401</xdr:rowOff>
    </xdr:from>
    <xdr:to>
      <xdr:col>3</xdr:col>
      <xdr:colOff>163285</xdr:colOff>
      <xdr:row>56</xdr:row>
      <xdr:rowOff>43544</xdr:rowOff>
    </xdr:to>
    <xdr:sp macro="" textlink="">
      <xdr:nvSpPr>
        <xdr:cNvPr id="10" name="CasellaDiTesto 9">
          <a:extLst>
            <a:ext uri="{FF2B5EF4-FFF2-40B4-BE49-F238E27FC236}">
              <a16:creationId xmlns:a16="http://schemas.microsoft.com/office/drawing/2014/main" id="{82B86764-B73A-7AC8-A842-6DC4D05AEACB}"/>
            </a:ext>
          </a:extLst>
        </xdr:cNvPr>
        <xdr:cNvSpPr txBox="1"/>
      </xdr:nvSpPr>
      <xdr:spPr>
        <a:xfrm>
          <a:off x="587829" y="9775372"/>
          <a:ext cx="1643742" cy="6313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/>
            <a:t>Entropy</a:t>
          </a:r>
        </a:p>
        <a:p>
          <a:endParaRPr lang="en-US" sz="3000"/>
        </a:p>
      </xdr:txBody>
    </xdr:sp>
    <xdr:clientData/>
  </xdr:twoCellAnchor>
  <xdr:twoCellAnchor>
    <xdr:from>
      <xdr:col>1</xdr:col>
      <xdr:colOff>21771</xdr:colOff>
      <xdr:row>57</xdr:row>
      <xdr:rowOff>43544</xdr:rowOff>
    </xdr:from>
    <xdr:to>
      <xdr:col>2</xdr:col>
      <xdr:colOff>228600</xdr:colOff>
      <xdr:row>59</xdr:row>
      <xdr:rowOff>119744</xdr:rowOff>
    </xdr:to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10EEAE89-4D2E-F0AD-41FD-679775E3274C}"/>
            </a:ext>
          </a:extLst>
        </xdr:cNvPr>
        <xdr:cNvSpPr txBox="1"/>
      </xdr:nvSpPr>
      <xdr:spPr>
        <a:xfrm>
          <a:off x="631371" y="10591801"/>
          <a:ext cx="936172" cy="446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S trasl</a:t>
          </a:r>
        </a:p>
      </xdr:txBody>
    </xdr:sp>
    <xdr:clientData/>
  </xdr:twoCellAnchor>
  <xdr:twoCellAnchor>
    <xdr:from>
      <xdr:col>6</xdr:col>
      <xdr:colOff>424543</xdr:colOff>
      <xdr:row>59</xdr:row>
      <xdr:rowOff>174171</xdr:rowOff>
    </xdr:from>
    <xdr:to>
      <xdr:col>17</xdr:col>
      <xdr:colOff>544286</xdr:colOff>
      <xdr:row>79</xdr:row>
      <xdr:rowOff>174171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D3F12CF0-E13A-2A17-C007-4729862911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10885</xdr:colOff>
      <xdr:row>56</xdr:row>
      <xdr:rowOff>152399</xdr:rowOff>
    </xdr:from>
    <xdr:to>
      <xdr:col>20</xdr:col>
      <xdr:colOff>185057</xdr:colOff>
      <xdr:row>59</xdr:row>
      <xdr:rowOff>87086</xdr:rowOff>
    </xdr:to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E90A51CB-967F-6726-8AF7-E0D83B63E171}"/>
            </a:ext>
          </a:extLst>
        </xdr:cNvPr>
        <xdr:cNvSpPr txBox="1"/>
      </xdr:nvSpPr>
      <xdr:spPr>
        <a:xfrm>
          <a:off x="12311742" y="10515599"/>
          <a:ext cx="783772" cy="4898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S</a:t>
          </a:r>
          <a:r>
            <a:rPr lang="en-US" sz="2000" baseline="0"/>
            <a:t> rot</a:t>
          </a:r>
          <a:endParaRPr lang="en-US" sz="2000"/>
        </a:p>
      </xdr:txBody>
    </xdr:sp>
    <xdr:clientData/>
  </xdr:twoCellAnchor>
  <xdr:twoCellAnchor>
    <xdr:from>
      <xdr:col>24</xdr:col>
      <xdr:colOff>435427</xdr:colOff>
      <xdr:row>60</xdr:row>
      <xdr:rowOff>0</xdr:rowOff>
    </xdr:from>
    <xdr:to>
      <xdr:col>33</xdr:col>
      <xdr:colOff>609599</xdr:colOff>
      <xdr:row>80</xdr:row>
      <xdr:rowOff>10886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1341FDF7-C4F5-68F8-EA37-299A5CC1E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81</xdr:row>
      <xdr:rowOff>65314</xdr:rowOff>
    </xdr:from>
    <xdr:to>
      <xdr:col>2</xdr:col>
      <xdr:colOff>370114</xdr:colOff>
      <xdr:row>83</xdr:row>
      <xdr:rowOff>97971</xdr:rowOff>
    </xdr:to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95D7E6A9-4A04-EA23-B929-4DB23B9A160F}"/>
            </a:ext>
          </a:extLst>
        </xdr:cNvPr>
        <xdr:cNvSpPr txBox="1"/>
      </xdr:nvSpPr>
      <xdr:spPr>
        <a:xfrm>
          <a:off x="609600" y="15054943"/>
          <a:ext cx="1099457" cy="402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S</a:t>
          </a:r>
          <a:r>
            <a:rPr lang="en-US" sz="2000" baseline="0"/>
            <a:t> vib</a:t>
          </a:r>
        </a:p>
        <a:p>
          <a:endParaRPr lang="en-US" sz="2000"/>
        </a:p>
      </xdr:txBody>
    </xdr:sp>
    <xdr:clientData/>
  </xdr:twoCellAnchor>
  <xdr:twoCellAnchor>
    <xdr:from>
      <xdr:col>6</xdr:col>
      <xdr:colOff>391886</xdr:colOff>
      <xdr:row>83</xdr:row>
      <xdr:rowOff>10886</xdr:rowOff>
    </xdr:from>
    <xdr:to>
      <xdr:col>17</xdr:col>
      <xdr:colOff>566057</xdr:colOff>
      <xdr:row>102</xdr:row>
      <xdr:rowOff>130628</xdr:rowOff>
    </xdr:to>
    <xdr:graphicFrame macro="">
      <xdr:nvGraphicFramePr>
        <xdr:cNvPr id="16" name="Grafico 15">
          <a:extLst>
            <a:ext uri="{FF2B5EF4-FFF2-40B4-BE49-F238E27FC236}">
              <a16:creationId xmlns:a16="http://schemas.microsoft.com/office/drawing/2014/main" id="{226616AC-8223-45C7-9684-D2BB39D6A0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104</xdr:row>
      <xdr:rowOff>163286</xdr:rowOff>
    </xdr:from>
    <xdr:to>
      <xdr:col>4</xdr:col>
      <xdr:colOff>206828</xdr:colOff>
      <xdr:row>108</xdr:row>
      <xdr:rowOff>87086</xdr:rowOff>
    </xdr:to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CF842FEB-A24D-834B-E4EF-5C5B839741A7}"/>
            </a:ext>
          </a:extLst>
        </xdr:cNvPr>
        <xdr:cNvSpPr txBox="1"/>
      </xdr:nvSpPr>
      <xdr:spPr>
        <a:xfrm>
          <a:off x="609600" y="19409229"/>
          <a:ext cx="2394857" cy="6640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000"/>
            <a:t>Heat capacity</a:t>
          </a:r>
        </a:p>
        <a:p>
          <a:endParaRPr lang="en-US" sz="3000"/>
        </a:p>
      </xdr:txBody>
    </xdr:sp>
    <xdr:clientData/>
  </xdr:twoCellAnchor>
  <xdr:twoCellAnchor>
    <xdr:from>
      <xdr:col>0</xdr:col>
      <xdr:colOff>598715</xdr:colOff>
      <xdr:row>108</xdr:row>
      <xdr:rowOff>163287</xdr:rowOff>
    </xdr:from>
    <xdr:to>
      <xdr:col>2</xdr:col>
      <xdr:colOff>696686</xdr:colOff>
      <xdr:row>110</xdr:row>
      <xdr:rowOff>141514</xdr:rowOff>
    </xdr:to>
    <xdr:sp macro="" textlink="">
      <xdr:nvSpPr>
        <xdr:cNvPr id="18" name="CasellaDiTesto 17">
          <a:extLst>
            <a:ext uri="{FF2B5EF4-FFF2-40B4-BE49-F238E27FC236}">
              <a16:creationId xmlns:a16="http://schemas.microsoft.com/office/drawing/2014/main" id="{E085E4EB-3E1C-04B5-10D5-F5C95C85D05B}"/>
            </a:ext>
          </a:extLst>
        </xdr:cNvPr>
        <xdr:cNvSpPr txBox="1"/>
      </xdr:nvSpPr>
      <xdr:spPr>
        <a:xfrm>
          <a:off x="598715" y="20149458"/>
          <a:ext cx="1436914" cy="3483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Cv</a:t>
          </a:r>
          <a:r>
            <a:rPr lang="en-US" sz="2000" baseline="0"/>
            <a:t> trasl</a:t>
          </a:r>
          <a:endParaRPr lang="en-US" sz="2000"/>
        </a:p>
      </xdr:txBody>
    </xdr:sp>
    <xdr:clientData/>
  </xdr:twoCellAnchor>
  <xdr:twoCellAnchor>
    <xdr:from>
      <xdr:col>0</xdr:col>
      <xdr:colOff>598715</xdr:colOff>
      <xdr:row>132</xdr:row>
      <xdr:rowOff>10887</xdr:rowOff>
    </xdr:from>
    <xdr:to>
      <xdr:col>3</xdr:col>
      <xdr:colOff>304800</xdr:colOff>
      <xdr:row>134</xdr:row>
      <xdr:rowOff>43543</xdr:rowOff>
    </xdr:to>
    <xdr:sp macro="" textlink="">
      <xdr:nvSpPr>
        <xdr:cNvPr id="19" name="CasellaDiTesto 18">
          <a:extLst>
            <a:ext uri="{FF2B5EF4-FFF2-40B4-BE49-F238E27FC236}">
              <a16:creationId xmlns:a16="http://schemas.microsoft.com/office/drawing/2014/main" id="{04D29A6D-716F-3F43-B064-53CF41F8189C}"/>
            </a:ext>
          </a:extLst>
        </xdr:cNvPr>
        <xdr:cNvSpPr txBox="1"/>
      </xdr:nvSpPr>
      <xdr:spPr>
        <a:xfrm>
          <a:off x="598715" y="24438430"/>
          <a:ext cx="1774371" cy="4027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Cv</a:t>
          </a:r>
          <a:r>
            <a:rPr lang="en-US" sz="2000" baseline="0"/>
            <a:t> vib</a:t>
          </a:r>
        </a:p>
        <a:p>
          <a:endParaRPr lang="en-US" sz="2000"/>
        </a:p>
      </xdr:txBody>
    </xdr:sp>
    <xdr:clientData/>
  </xdr:twoCellAnchor>
  <xdr:twoCellAnchor>
    <xdr:from>
      <xdr:col>7</xdr:col>
      <xdr:colOff>0</xdr:colOff>
      <xdr:row>109</xdr:row>
      <xdr:rowOff>10885</xdr:rowOff>
    </xdr:from>
    <xdr:to>
      <xdr:col>8</xdr:col>
      <xdr:colOff>664029</xdr:colOff>
      <xdr:row>111</xdr:row>
      <xdr:rowOff>10886</xdr:rowOff>
    </xdr:to>
    <xdr:sp macro="" textlink="">
      <xdr:nvSpPr>
        <xdr:cNvPr id="20" name="CasellaDiTesto 19">
          <a:extLst>
            <a:ext uri="{FF2B5EF4-FFF2-40B4-BE49-F238E27FC236}">
              <a16:creationId xmlns:a16="http://schemas.microsoft.com/office/drawing/2014/main" id="{95ED26A0-22AA-7775-0A00-E40759336FCB}"/>
            </a:ext>
          </a:extLst>
        </xdr:cNvPr>
        <xdr:cNvSpPr txBox="1"/>
      </xdr:nvSpPr>
      <xdr:spPr>
        <a:xfrm>
          <a:off x="4985657" y="20182114"/>
          <a:ext cx="1273629" cy="370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Cv rot</a:t>
          </a:r>
        </a:p>
        <a:p>
          <a:endParaRPr lang="en-US" sz="2000"/>
        </a:p>
      </xdr:txBody>
    </xdr:sp>
    <xdr:clientData/>
  </xdr:twoCellAnchor>
  <xdr:twoCellAnchor>
    <xdr:from>
      <xdr:col>6</xdr:col>
      <xdr:colOff>402771</xdr:colOff>
      <xdr:row>133</xdr:row>
      <xdr:rowOff>174170</xdr:rowOff>
    </xdr:from>
    <xdr:to>
      <xdr:col>15</xdr:col>
      <xdr:colOff>380999</xdr:colOff>
      <xdr:row>153</xdr:row>
      <xdr:rowOff>185056</xdr:rowOff>
    </xdr:to>
    <xdr:graphicFrame macro="">
      <xdr:nvGraphicFramePr>
        <xdr:cNvPr id="21" name="Grafico 20">
          <a:extLst>
            <a:ext uri="{FF2B5EF4-FFF2-40B4-BE49-F238E27FC236}">
              <a16:creationId xmlns:a16="http://schemas.microsoft.com/office/drawing/2014/main" id="{ADEEAC3B-6AF8-42BD-3B5C-D94075631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7D427C-F0B5-4E1D-B50F-0A06272BD560}" name="Tabella33" displayName="Tabella33" ref="A1:H2" totalsRowShown="0">
  <autoFilter ref="A1:H2" xr:uid="{02869E67-574E-4326-A3F8-F299078BC917}"/>
  <tableColumns count="8">
    <tableColumn id="1" xr3:uid="{359A78C7-DF6C-4B92-A70B-25FCCBC8F300}" name="Pi Greco"/>
    <tableColumn id="2" xr3:uid="{39DB9692-012C-43E5-9503-37DA3156CB18}" name="Massa" dataDxfId="309">
      <calculatedColumnFormula>16.04*1.6605655E-27</calculatedColumnFormula>
    </tableColumn>
    <tableColumn id="3" xr3:uid="{83D4BD8E-9440-45C3-A1E7-65DB7026F916}" name="Boltzmann k"/>
    <tableColumn id="4" xr3:uid="{D752718E-F448-406D-9F4D-0D513EBCAC36}" name="Planck h"/>
    <tableColumn id="5" xr3:uid="{89B1C40C-32E2-4CC5-B432-4DF00E73BAF7}" name="Rydberg R"/>
    <tableColumn id="6" xr3:uid="{BD052472-F422-4564-AD71-C2BA257DA3D3}" name="Avogadro N"/>
    <tableColumn id="7" xr3:uid="{86C9CE9C-2F55-4F16-A430-51C2E9246957}" name="Speed of Light [cm/s]"/>
    <tableColumn id="8" xr3:uid="{A6183CBF-8761-4381-8E7C-E98150F0D252}" name="Speed of Light [m/s]">
      <calculatedColumnFormula>Tabella33[[#This Row],[Speed of Light '[cm/s']]]*POWER(10,-2)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A4C7F7C-239D-4107-907D-A841C7E22C07}" name="Tabella518" displayName="Tabella518" ref="A37:F55" totalsRowShown="0">
  <autoFilter ref="A37:F55" xr:uid="{81335CEC-6353-4671-833B-07B0D1500060}"/>
  <tableColumns count="6">
    <tableColumn id="1" xr3:uid="{5C8D1301-0A56-47DA-A188-AAEEA4CA859D}" name="Temperatura"/>
    <tableColumn id="12" xr3:uid="{5AA952BB-D3E3-46B3-9306-17F0A6A4D357}" name="Volume" dataDxfId="308">
      <calculatedColumnFormula array="1">(Tabella33[Boltzmann k]*Tabella518[[#This Row],[Temperatura]])/101325</calculatedColumnFormula>
    </tableColumn>
    <tableColumn id="2" xr3:uid="{40D76F8C-7A19-44F3-8AC2-3C7DB55CE916}" name="Qtrasl" dataDxfId="307">
      <calculatedColumnFormula array="1">POWER((2*Tabella33[Pi Greco]*Tabella33[Massa]*Tabella33[Boltzmann k]*Tabella518[[#This Row],[Temperatura]])/(POWER(Tabella33[Planck h],2)),1.5)*Tabella518[[#This Row],[Volume]]</calculatedColumnFormula>
    </tableColumn>
    <tableColumn id="3" xr3:uid="{BA76B72C-D000-49DD-883F-B5DA793E041F}" name="Qvib" dataDxfId="306">
      <calculatedColumnFormula>PRODUCT(E14:M14)</calculatedColumnFormula>
    </tableColumn>
    <tableColumn id="4" xr3:uid="{CCBA3B6C-E2A3-4D35-87F6-DB25480D0FC6}" name="Qrot" dataDxfId="305">
      <calculatedColumnFormula array="1">(8*POWER(Tabella33[Pi Greco],2)*POWER(2*Tabella33[Pi Greco]*Tabella33[Boltzmann k]*Tabella518[[#This Row],[Temperatura]],1.5)*Tabella1[Total Moment of Inertia])/(Tabella619[Simmetry Number]*POWER(Tabella33[Planck h],3))</calculatedColumnFormula>
    </tableColumn>
    <tableColumn id="5" xr3:uid="{06C6C576-EF65-4BCC-BAE9-8F737A2A21AD}" name="Qel" dataDxfId="40">
      <calculatedColumnFormula>1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FE21F3-F020-48AB-9120-AC2FA8ABA9F8}" name="Tabella619" displayName="Tabella619" ref="A10:A11" totalsRowShown="0">
  <autoFilter ref="A10:A11" xr:uid="{EBAD8B2B-7816-44DE-867A-C80A23B2F7AF}"/>
  <tableColumns count="1">
    <tableColumn id="1" xr3:uid="{E807EDA7-2027-47FF-8A22-09D666B2F037}" name="Simmetry Numbe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DF5DA20-6979-4F36-AB4C-F624D9A16C3A}" name="Tabella820" displayName="Tabella820" ref="D13:N31" totalsRowShown="0">
  <autoFilter ref="D13:N31" xr:uid="{D37DB2BB-42C8-44C8-829B-D34114293CBD}"/>
  <tableColumns count="11">
    <tableColumn id="1" xr3:uid="{BEB350EC-7A5F-403F-8F36-CD26D2D802B3}" name="Temperatura"/>
    <tableColumn id="2" xr3:uid="{8F4A198F-B4B6-4640-ACDC-FD99337C193D}" name="Qvib1" dataDxfId="304">
      <calculatedColumnFormula array="1">(EXP(-(Tabella33[Planck h]*Tabella49[Frequency1])/(2*Tabella33[Boltzmann k]*Tabella820[[#This Row],[Temperatura]])))/(1-EXP(-(Tabella33[Planck h]*Tabella49[Frequency1])/(Tabella33[Boltzmann k]*Tabella820[[#This Row],[Temperatura]])))</calculatedColumnFormula>
    </tableColumn>
    <tableColumn id="3" xr3:uid="{4E66DF92-B03E-4E22-ABE1-5D2FE5537011}" name="Qvib2" dataDxfId="303">
      <calculatedColumnFormula array="1">(EXP(-(Tabella33[Planck h]*Tabella49[Frequency2])/(2*Tabella33[Boltzmann k]*Tabella820[[#This Row],[Temperatura]])))/(1-EXP(-(Tabella33[Planck h]*Tabella49[Frequency2])/(Tabella33[Boltzmann k]*Tabella820[[#This Row],[Temperatura]])))</calculatedColumnFormula>
    </tableColumn>
    <tableColumn id="4" xr3:uid="{56661D52-F184-45ED-9822-DC219F11C18C}" name="Qvib3" dataDxfId="302">
      <calculatedColumnFormula array="1">(EXP(-(Tabella33[Planck h]*Tabella49[Frequency3])/(2*Tabella33[Boltzmann k]*Tabella820[[#This Row],[Temperatura]])))/(1-EXP(-(Tabella33[Planck h]*Tabella49[Frequency3])/(Tabella33[Boltzmann k]*Tabella820[[#This Row],[Temperatura]])))</calculatedColumnFormula>
    </tableColumn>
    <tableColumn id="5" xr3:uid="{756A184F-682E-4797-A615-E6392851DF93}" name="Qvib4" dataDxfId="301">
      <calculatedColumnFormula array="1">(EXP(-(Tabella33[Planck h]*Tabella49[Frequency4])/(2*Tabella33[Boltzmann k]*Tabella820[[#This Row],[Temperatura]])))/(1-EXP(-(Tabella33[Planck h]*Tabella49[Frequency4])/(Tabella33[Boltzmann k]*Tabella820[[#This Row],[Temperatura]])))</calculatedColumnFormula>
    </tableColumn>
    <tableColumn id="6" xr3:uid="{633158FE-1F06-4181-94C9-76A38C989F31}" name="Qvib5" dataDxfId="300">
      <calculatedColumnFormula array="1">(EXP(-(Tabella33[Planck h]*Tabella49[Frequency5])/(2*Tabella33[Boltzmann k]*Tabella820[[#This Row],[Temperatura]])))/(1-EXP(-(Tabella33[Planck h]*Tabella49[Frequency5])/(Tabella33[Boltzmann k]*Tabella820[[#This Row],[Temperatura]])))</calculatedColumnFormula>
    </tableColumn>
    <tableColumn id="7" xr3:uid="{1C12E993-18A7-4579-9D3D-871960F10172}" name="Qvib6" dataDxfId="299">
      <calculatedColumnFormula array="1">(EXP(-(Tabella33[Planck h]*Tabella49[Frequency6])/(2*Tabella33[Boltzmann k]*Tabella820[[#This Row],[Temperatura]])))/(1-EXP(-(Tabella33[Planck h]*Tabella49[Frequency6])/(Tabella33[Boltzmann k]*Tabella820[[#This Row],[Temperatura]])))</calculatedColumnFormula>
    </tableColumn>
    <tableColumn id="8" xr3:uid="{68145536-295A-4745-8C80-F3EE1EB250FD}" name="Qvib7" dataDxfId="298">
      <calculatedColumnFormula array="1">(EXP(-(Tabella33[Planck h]*Tabella49[Frequency7])/(2*Tabella33[Boltzmann k]*Tabella820[[#This Row],[Temperatura]])))/(1-EXP(-(Tabella33[Planck h]*Tabella49[Frequency7])/(Tabella33[Boltzmann k]*Tabella820[[#This Row],[Temperatura]])))</calculatedColumnFormula>
    </tableColumn>
    <tableColumn id="9" xr3:uid="{62ED8F47-8CE3-4964-AB45-459BA04A36C3}" name="Qvib8" dataDxfId="297">
      <calculatedColumnFormula array="1">(EXP(-(Tabella33[Planck h]*Tabella49[Frequency8])/(2*Tabella33[Boltzmann k]*Tabella820[[#This Row],[Temperatura]])))/(1-EXP(-(Tabella33[Planck h]*Tabella49[Frequency8])/(Tabella33[Boltzmann k]*Tabella820[[#This Row],[Temperatura]])))</calculatedColumnFormula>
    </tableColumn>
    <tableColumn id="10" xr3:uid="{0B0979EA-C3BF-4AD5-9421-0BC7E75CC9C2}" name="Qvib9" dataDxfId="296">
      <calculatedColumnFormula array="1">(EXP(-(Tabella33[Planck h]*Tabella49[Frequency9])/(2*Tabella33[Boltzmann k]*Tabella820[[#This Row],[Temperatura]])))/(1-EXP(-(Tabella33[Planck h]*Tabella49[Frequency9])/(Tabella33[Boltzmann k]*Tabella820[[#This Row],[Temperatura]])))</calculatedColumnFormula>
    </tableColumn>
    <tableColumn id="13" xr3:uid="{8AF26BDA-8CF8-4CA4-A29B-26370BAE1F19}" name="Qtot" dataDxfId="295">
      <calculatedColumnFormula>PRODUCT(Tabella820[[#This Row],[Qvib1]:[Qvib9]])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6751C5C-1ACE-46E4-832D-C0EE53E53EFF}" name="Tabella122" displayName="Tabella122" ref="A64:D82" totalsRowShown="0" headerRowDxfId="294" dataDxfId="293" tableBorderDxfId="292">
  <autoFilter ref="A64:D82" xr:uid="{6C35C47E-9B0C-4516-B80D-9D65F8ED9043}"/>
  <tableColumns count="4">
    <tableColumn id="1" xr3:uid="{A7ADB47A-F460-4F7B-8452-381308E1104C}" name="Temperatura" dataDxfId="291"/>
    <tableColumn id="2" xr3:uid="{360B8D5F-76B6-4DF4-B100-DDA30E181D40}" name="Translational Factor" dataDxfId="290">
      <calculatedColumnFormula array="1">POWER((2*Tabella33[Pi Greco]*Tabella33[Massa]*Tabella33[Boltzmann k]*Tabella122[[#This Row],[Temperatura]])/(POWER(Tabella33[Planck h],2)),1.5)</calculatedColumnFormula>
    </tableColumn>
    <tableColumn id="3" xr3:uid="{57AEF552-1812-4AC0-94DE-5C805C5418FD}" name="Volume" dataDxfId="289">
      <calculatedColumnFormula array="1">(Tabella122[[#This Row],[Temperatura]]*Tabella33[Rydberg R])/101325</calculatedColumnFormula>
    </tableColumn>
    <tableColumn id="4" xr3:uid="{5584DA14-502B-43FB-97D3-954A85CBA9FE}" name="S Translational" dataDxfId="288">
      <calculatedColumnFormula array="1">Tabella33[Rydberg R]*LN((Tabella122[[#This Row],[Volume]]/Tabella33[Avogadro N])*EXP(2.5)*Tabella122[[#This Row],[Translational Factor]])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23949FA-EABA-4F6F-ABEE-04B738939459}" name="Tabella1023" displayName="Tabella1023" ref="K64:L73" totalsRowShown="0" dataDxfId="287" tableBorderDxfId="286">
  <autoFilter ref="K64:L73" xr:uid="{8EE75784-2FE5-4D07-A21C-99C9C9FBF68B}"/>
  <tableColumns count="2">
    <tableColumn id="1" xr3:uid="{AD0D05C5-7302-4E7F-BB19-E2A7B0525ECB}" name="Frequencies[s^-1]" dataDxfId="285">
      <calculatedColumnFormula>B14</calculatedColumnFormula>
    </tableColumn>
    <tableColumn id="2" xr3:uid="{66FD1611-6CB4-47D4-ADA8-277778BD5A73}" name="Theta vib" dataDxfId="284">
      <calculatedColumnFormula array="1">(Tabella33[Planck h]*Tabella1023[[#This Row],[Frequencies'[s^-1']]])/Tabella33[Boltzmann k]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BD2F057-FC0E-4F51-ABB9-9E0B21ABCBCE}" name="Tabella1124" displayName="Tabella1124" ref="N66:X84" totalsRowShown="0" headerRowDxfId="283" dataDxfId="282" tableBorderDxfId="281">
  <autoFilter ref="N66:X84" xr:uid="{FB331EE4-0E00-483A-969A-3E85182E1038}"/>
  <tableColumns count="11">
    <tableColumn id="1" xr3:uid="{C2410EDE-FF34-4B3B-AA19-5A243DDDC195}" name="Temperatura" dataDxfId="280"/>
    <tableColumn id="2" xr3:uid="{397490D0-51F3-4A9F-9C1C-AC364156BBF5}" name="S vib 1" dataDxfId="279">
      <calculatedColumnFormula array="1" xml:space="preserve">   ((Tabella1225[Theta vib 1]/Tabella1124[[#This Row],[Temperatura]]) /(EXP(Tabella1225[Theta vib 1]/Tabella1124[[#This Row],[Temperatura]])-1) )- LN(1-EXP(-Tabella1225[Theta vib 1]/Tabella1124[[#This Row],[Temperatura]]))</calculatedColumnFormula>
    </tableColumn>
    <tableColumn id="3" xr3:uid="{4CA7478B-16B4-4CB9-90FC-520064E124D6}" name="S vib 2" dataDxfId="278">
      <calculatedColumnFormula array="1">( (Tabella1225[Theta vib2]/Tabella1124[[#This Row],[Temperatura]]) /(EXP(Tabella1225[Theta vib2]/Tabella1124[[#This Row],[Temperatura]])-1)) - LN(1-EXP(-Tabella1225[Theta vib2]/Tabella1124[[#This Row],[Temperatura]]))</calculatedColumnFormula>
    </tableColumn>
    <tableColumn id="4" xr3:uid="{A8907588-0C19-4F36-B9C2-68A0567844AA}" name="S vib 3" dataDxfId="277">
      <calculatedColumnFormula array="1">(  (Tabella1225[Theta vib3]/Tabella1124[[#This Row],[Temperatura]]) /(EXP(Tabella1225[Theta vib3]/Tabella1124[[#This Row],[Temperatura]])-1))- LN(1-EXP(-Tabella1225[Theta vib3]/Tabella1124[[#This Row],[Temperatura]]))</calculatedColumnFormula>
    </tableColumn>
    <tableColumn id="5" xr3:uid="{A31F0469-14A3-4823-82AB-CDAC1CEFF075}" name="S vib 4" dataDxfId="276">
      <calculatedColumnFormula array="1" xml:space="preserve"> (  (Tabella1225[Theta vib4]/Tabella1124[[#This Row],[Temperatura]]) /(EXP(Tabella1225[Theta vib4]/Tabella1124[[#This Row],[Temperatura]])-1) )- LN(1-EXP(-Tabella1225[Theta vib4]/Tabella1124[[#This Row],[Temperatura]]))</calculatedColumnFormula>
    </tableColumn>
    <tableColumn id="6" xr3:uid="{B58508AE-BFFA-42C9-BFB3-9005EC88F2D1}" name="S vib 5" dataDxfId="275">
      <calculatedColumnFormula array="1">(    (Tabella1225[Theta vib5]/Tabella1124[[#This Row],[Temperatura]]) /(EXP(Tabella1225[Theta vib5]/Tabella1124[[#This Row],[Temperatura]])-1)) - LN(1-EXP(-Tabella1225[Theta vib5]/Tabella1124[[#This Row],[Temperatura]]))</calculatedColumnFormula>
    </tableColumn>
    <tableColumn id="7" xr3:uid="{97DC93FC-4EC2-4399-80BB-5C7A14CEFF63}" name="S vib 6" dataDxfId="274">
      <calculatedColumnFormula array="1">(    (Tabella1225[Theta vib6]/Tabella1124[[#This Row],[Temperatura]]) /(EXP(Tabella1225[Theta vib6]/Tabella1124[[#This Row],[Temperatura]])-1)) - LN(1-EXP(-Tabella1225[Theta vib6]/Tabella1124[[#This Row],[Temperatura]]))</calculatedColumnFormula>
    </tableColumn>
    <tableColumn id="8" xr3:uid="{223F0EB9-C28E-4860-8E3D-149F4CC04A59}" name="S vib 7" dataDxfId="273">
      <calculatedColumnFormula array="1">(    (Tabella1225[Theta vib7]/Tabella1124[[#This Row],[Temperatura]]) /(EXP(Tabella1225[Theta vib7]/Tabella1124[[#This Row],[Temperatura]])-1)) - LN(1-EXP(-Tabella1225[Theta vib7]/Tabella1124[[#This Row],[Temperatura]]))</calculatedColumnFormula>
    </tableColumn>
    <tableColumn id="9" xr3:uid="{768D85BB-BE4E-4390-9A5B-7A05C5D880E2}" name="S vib 8" dataDxfId="272">
      <calculatedColumnFormula array="1">(    (Tabella1225[Theta vib8]/Tabella1124[[#This Row],[Temperatura]]) /(EXP(Tabella1225[Theta vib8]/Tabella1124[[#This Row],[Temperatura]])-1)) - LN(1-EXP(-Tabella1225[Theta vib8]/Tabella1124[[#This Row],[Temperatura]]))</calculatedColumnFormula>
    </tableColumn>
    <tableColumn id="10" xr3:uid="{0625B48E-23B6-4DF7-8E1A-DC2DEECCE04B}" name="S vib 9" dataDxfId="271">
      <calculatedColumnFormula array="1">((Tabella1225[Theta vib9]/Tabella1124[[#This Row],[Temperatura]]) /(EXP(Tabella1225[Theta vib9]/Tabella1124[[#This Row],[Temperatura]])-1) )- LN(1-EXP(-Tabella1225[Theta vib9]/Tabella1124[[#This Row],[Temperatura]]))</calculatedColumnFormula>
    </tableColumn>
    <tableColumn id="11" xr3:uid="{FEF82420-6697-44B5-ABA1-48386BEC4F51}" name="S vib tot" dataDxfId="270">
      <calculatedColumnFormula array="1">Tabella33[Rydberg R]*SUM(Tabella1124[[#This Row],[S vib 1]:[S vib 9]])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E43B3B7-F1EA-445C-BA42-793D0E3E5025}" name="Tabella1225" displayName="Tabella1225" ref="O64:W65" totalsRowShown="0">
  <autoFilter ref="O64:W65" xr:uid="{A82CBD88-6239-4EFA-8EF2-2B939CA10E1C}"/>
  <tableColumns count="9">
    <tableColumn id="1" xr3:uid="{773341CB-8204-49CB-AD88-86009FFB5B67}" name="Theta vib 1" dataDxfId="269">
      <calculatedColumnFormula>Tabella1023[[#This Row],[Theta vib]]</calculatedColumnFormula>
    </tableColumn>
    <tableColumn id="2" xr3:uid="{CB544A60-1D3B-449E-BD78-5E05C4152733}" name="Theta vib2" dataDxfId="268">
      <calculatedColumnFormula>L66</calculatedColumnFormula>
    </tableColumn>
    <tableColumn id="3" xr3:uid="{02D99C31-9CBD-41D9-88AB-E25408909CD4}" name="Theta vib3">
      <calculatedColumnFormula>L67</calculatedColumnFormula>
    </tableColumn>
    <tableColumn id="4" xr3:uid="{12BE2763-2C13-4B57-A614-7258B732CA35}" name="Theta vib4">
      <calculatedColumnFormula>L68</calculatedColumnFormula>
    </tableColumn>
    <tableColumn id="5" xr3:uid="{5419E600-76AC-42ED-95BF-01113B5E20C0}" name="Theta vib5">
      <calculatedColumnFormula>L69</calculatedColumnFormula>
    </tableColumn>
    <tableColumn id="6" xr3:uid="{90F586AC-9720-4EF3-ACD1-FC3A6E8FCAB2}" name="Theta vib6">
      <calculatedColumnFormula>L70</calculatedColumnFormula>
    </tableColumn>
    <tableColumn id="7" xr3:uid="{230879C2-0CD8-4AFF-89AB-72F42EB1A7AB}" name="Theta vib7">
      <calculatedColumnFormula>L71</calculatedColumnFormula>
    </tableColumn>
    <tableColumn id="8" xr3:uid="{0050E654-56DF-46A9-90E6-32F29D95D3FE}" name="Theta vib8">
      <calculatedColumnFormula>L72</calculatedColumnFormula>
    </tableColumn>
    <tableColumn id="9" xr3:uid="{DFA6E4B0-6FAD-4578-AA1F-6ECE9D2F550E}" name="Theta vib9">
      <calculatedColumnFormula>L73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7FE6F1C-F47A-4BE3-9B2A-772F606A32A4}" name="Tabella1326" displayName="Tabella1326" ref="F64:H82" totalsRowShown="0" headerRowDxfId="267" dataDxfId="266" tableBorderDxfId="265">
  <autoFilter ref="F64:H82" xr:uid="{A17DD12F-9A79-4CF9-8CE2-7C42CC50F3FE}"/>
  <tableColumns count="3">
    <tableColumn id="1" xr3:uid="{A37FB518-163B-42CC-9F46-20524723D038}" name="Temperatura" dataDxfId="264"/>
    <tableColumn id="2" xr3:uid="{F1144023-A52E-458C-A91A-EFF1F7E9E35E}" name="S rotational" dataDxfId="263">
      <calculatedColumnFormula array="1">Tabella33[Rydberg R]*LN((EXP(1)*Tabella1326[[#This Row],[Temperatura]])/(Tabella3[Theta rot]*Tabella619[Simmetry Number]))</calculatedColumnFormula>
    </tableColumn>
    <tableColumn id="3" xr3:uid="{00C06653-A7B7-408D-AFDA-434EC93D397A}" name="S rotational Gaussian" dataDxfId="62">
      <calculatedColumnFormula array="1">Tabella33[Rydberg R]*(1.5 + LN(SQRT((PI()*POWER(Tabella1326[[#This Row],[Temperatura]],3))/(Tabella619[Simmetry Number]*Tabella619[Simmetry Number]*PRODUCT(Tabella4[])))))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5EA5DF3-8715-42A4-A312-5764455B528C}" name="Tabella1528" displayName="Tabella1528" ref="A102:C120" totalsRowShown="0" headerRowDxfId="262" dataDxfId="261" tableBorderDxfId="260">
  <autoFilter ref="A102:C120" xr:uid="{9F3C7E0C-6472-472D-B323-A5A9CEF9C677}"/>
  <tableColumns count="3">
    <tableColumn id="1" xr3:uid="{59EEA8CA-CE8C-46E5-AE6F-146EBAA46093}" name="Temperatura" dataDxfId="259"/>
    <tableColumn id="2" xr3:uid="{4E1EC6DE-6EC1-45AA-A663-E5300B848187}" name="CvRot" dataDxfId="258">
      <calculatedColumnFormula array="1">(3/2)*Tabella33[Rydberg R]</calculatedColumnFormula>
    </tableColumn>
    <tableColumn id="3" xr3:uid="{632B7C31-B392-4E62-97FE-D4E6A31E6340}" name="Cv translational" dataDxfId="257">
      <calculatedColumnFormula array="1">(3/2)*Tabella33[Rydberg R]</calculatedColumn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53CB26B-6A28-4C24-BCA6-C534382FF609}" name="Tabella1629" displayName="Tabella1629" ref="F104:P122" totalsRowShown="0" headerRowDxfId="256" dataDxfId="255" tableBorderDxfId="254">
  <autoFilter ref="F104:P122" xr:uid="{DAFD7C16-9C1B-4A4A-B059-8463D2A36B1F}"/>
  <tableColumns count="11">
    <tableColumn id="1" xr3:uid="{3DAC7A27-6CF5-4D42-9C8A-D3AD39314989}" name="Temperatura" dataDxfId="253"/>
    <tableColumn id="2" xr3:uid="{11E08319-F21B-41A8-B8D5-69555286194C}" name="Cv vib1" dataDxfId="252">
      <calculatedColumnFormula array="1">(    POWER(Tabella31[Theta vib1],2)*EXP(Tabella31[Theta vib1]/Tabella1629[[#This Row],[Temperatura]])    )   /       (   POWER(Tabella1629[[#This Row],[Temperatura]],2)*POWER(EXP(Tabella31[Theta vib1]/Tabella1629[[#This Row],[Temperatura]])-1,2)  )</calculatedColumnFormula>
    </tableColumn>
    <tableColumn id="3" xr3:uid="{874CAABD-3793-486C-8EE5-AC53F2DAFCDE}" name="Cv vib2" dataDxfId="251">
      <calculatedColumnFormula array="1">(    POWER(Tabella31[Theta vib2],2)*EXP(Tabella31[Theta vib2]/Tabella1629[[#This Row],[Temperatura]])    )   /       (   POWER(Tabella1629[[#This Row],[Temperatura]],2)*POWER(EXP(Tabella31[Theta vib2]/Tabella1629[[#This Row],[Temperatura]])-1,2)  )</calculatedColumnFormula>
    </tableColumn>
    <tableColumn id="4" xr3:uid="{3219DE3A-D767-467C-97E7-32E11551197E}" name="Cv vib3" dataDxfId="250">
      <calculatedColumnFormula array="1">(    POWER(Tabella31[Theta vib2],2)*EXP(Tabella31[Theta vib3]/Tabella1629[[#This Row],[Temperatura]])    )   /       (   POWER(Tabella1629[[#This Row],[Temperatura]],2)*POWER(EXP(Tabella31[Theta vib3]/Tabella1629[[#This Row],[Temperatura]])-1,2)  )</calculatedColumnFormula>
    </tableColumn>
    <tableColumn id="5" xr3:uid="{BA4F567B-9655-4CEE-9019-3E4A01794AC1}" name="Cv vib4" dataDxfId="249">
      <calculatedColumnFormula array="1">(    POWER(Tabella31[Theta vib2],2)*EXP(Tabella31[Theta vib4]/Tabella1629[[#This Row],[Temperatura]])    )   /       (   POWER(Tabella1629[[#This Row],[Temperatura]],2)*POWER(EXP(Tabella31[Theta vib4]/Tabella1629[[#This Row],[Temperatura]])-1,2)  )</calculatedColumnFormula>
    </tableColumn>
    <tableColumn id="6" xr3:uid="{EE8CC6F7-E7A2-4DCF-BA10-E164F86F78A8}" name="Cv vib5" dataDxfId="248">
      <calculatedColumnFormula array="1">(    POWER(Tabella31[Theta vib2],2)*EXP(Tabella31[Theta vib5]/Tabella1629[[#This Row],[Temperatura]])    )   /       (   POWER(Tabella1629[[#This Row],[Temperatura]],2)*POWER(EXP(Tabella31[Theta vib5]/Tabella1629[[#This Row],[Temperatura]])-1,2)  )</calculatedColumnFormula>
    </tableColumn>
    <tableColumn id="7" xr3:uid="{A83CD3B4-F714-4FAE-9727-FFAF84EFC22E}" name="Cv vib6" dataDxfId="247">
      <calculatedColumnFormula array="1">(    POWER(Tabella31[Theta vib6],2)*EXP(Tabella31[Theta vib2]/Tabella1629[[#This Row],[Temperatura]])    )   /       (   POWER(Tabella1629[[#This Row],[Temperatura]],2)*POWER(EXP(Tabella31[Theta vib6]/Tabella1629[[#This Row],[Temperatura]])-1,2)  )</calculatedColumnFormula>
    </tableColumn>
    <tableColumn id="8" xr3:uid="{EDED846C-643E-4F99-BB0D-3C997B75129A}" name="Cv vib7" dataDxfId="246">
      <calculatedColumnFormula array="1">(    POWER(Tabella31[Theta vib2],2)*EXP(Tabella31[Theta vib7]/Tabella1629[[#This Row],[Temperatura]])    )   /       (   POWER(Tabella1629[[#This Row],[Temperatura]],2)*POWER(EXP(Tabella31[Theta vib7]/Tabella1629[[#This Row],[Temperatura]])-1,2)  )</calculatedColumnFormula>
    </tableColumn>
    <tableColumn id="9" xr3:uid="{BBE793BF-5F09-428A-AB71-4F1646866A55}" name="Cv vib8" dataDxfId="245">
      <calculatedColumnFormula array="1">(    POWER(Tabella31[Theta vib2],2)*EXP(Tabella31[Theta vib8]/Tabella1629[[#This Row],[Temperatura]])    )   /       (   POWER(Tabella1629[[#This Row],[Temperatura]],2)*POWER(EXP(Tabella31[Theta vib8]/Tabella1629[[#This Row],[Temperatura]])-1,2)  )</calculatedColumnFormula>
    </tableColumn>
    <tableColumn id="10" xr3:uid="{2952312D-9BC3-46DF-8ABE-CB9A8C043DDD}" name="Cv vib9" dataDxfId="244">
      <calculatedColumnFormula array="1">(    POWER(Tabella31[Theta vib2],2)*EXP(Tabella31[Theta vib9]/Tabella1629[[#This Row],[Temperatura]])    )   /       (   POWER(Tabella1629[[#This Row],[Temperatura]],2)*POWER(EXP(Tabella31[Theta vib9]/Tabella1629[[#This Row],[Temperatura]])-1,2)  )</calculatedColumnFormula>
    </tableColumn>
    <tableColumn id="11" xr3:uid="{21249CFB-A716-4D4F-ABF2-75CEB24A3BA7}" name="Cv vib tot" dataDxfId="243">
      <calculatedColumnFormula array="1">SUM(Tabella1629[[#This Row],[Cv vib1]:[Cv vib9]])*Tabella33[Rydberg R]</calculatedColumn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F01860CF-8839-4E82-B3A6-2D294853C5A7}" name="Tabella31" displayName="Tabella31" ref="G102:O103" totalsRowShown="0">
  <autoFilter ref="G102:O103" xr:uid="{F01860CF-8839-4E82-B3A6-2D294853C5A7}"/>
  <tableColumns count="9">
    <tableColumn id="1" xr3:uid="{5FEACC0A-9710-4486-B01D-AABFDE863ED6}" name="Theta vib1" dataDxfId="242">
      <calculatedColumnFormula>L65</calculatedColumnFormula>
    </tableColumn>
    <tableColumn id="2" xr3:uid="{FED89C7F-FFFD-4820-90B6-DC82498F3E53}" name="Theta vib2" dataDxfId="241">
      <calculatedColumnFormula>L66</calculatedColumnFormula>
    </tableColumn>
    <tableColumn id="3" xr3:uid="{7090E895-5319-43D1-AEBE-C6FC6318E48C}" name="Theta vib3" dataDxfId="240">
      <calculatedColumnFormula>L67</calculatedColumnFormula>
    </tableColumn>
    <tableColumn id="4" xr3:uid="{F13234B9-3C19-40B5-9516-F9F7AFEB8C12}" name="Theta vib4" dataDxfId="239">
      <calculatedColumnFormula>L68</calculatedColumnFormula>
    </tableColumn>
    <tableColumn id="5" xr3:uid="{E13100CE-1A97-4C31-9CE7-7F08D9FAD8E5}" name="Theta vib5" dataDxfId="238">
      <calculatedColumnFormula>L69</calculatedColumnFormula>
    </tableColumn>
    <tableColumn id="6" xr3:uid="{A7EE9D73-76E4-45C5-9B29-576FF398738E}" name="Theta vib6" dataDxfId="237">
      <calculatedColumnFormula>L70</calculatedColumnFormula>
    </tableColumn>
    <tableColumn id="7" xr3:uid="{7C33532E-4A10-4311-92DE-5C3372E3442C}" name="Theta vib7" dataDxfId="236">
      <calculatedColumnFormula>L71</calculatedColumnFormula>
    </tableColumn>
    <tableColumn id="8" xr3:uid="{96A073DC-7755-48EF-9D07-084B80B5F0C3}" name="Theta vib8" dataDxfId="235">
      <calculatedColumnFormula>L72</calculatedColumnFormula>
    </tableColumn>
    <tableColumn id="9" xr3:uid="{BCC970BC-1C33-465A-9C38-D2942C140386}" name="Theta vib9" dataDxfId="234">
      <calculatedColumnFormula>L73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996FA648-1F19-4D59-83D9-D4B2B2E632E9}" name="Tabella47" displayName="Tabella47" ref="A13:B22" totalsRowShown="0">
  <autoFilter ref="A13:B22" xr:uid="{996FA648-1F19-4D59-83D9-D4B2B2E632E9}"/>
  <tableColumns count="2">
    <tableColumn id="1" xr3:uid="{2BEC7974-03D8-4CE4-96BC-ACDF0DBAA0E0}" name="Wavenumbers [cm^-1]" dataDxfId="67"/>
    <tableColumn id="2" xr3:uid="{53DB8462-B945-455D-AF7E-9EC1761C9BEB}" name="Frequencies [s^-1]" dataDxfId="233">
      <calculatedColumnFormula array="1">Tabella47[[#This Row],[Wavenumbers '[cm^-1']]]*Tabella33[Speed of Light '[cm/s']]</calculatedColumnFormula>
    </tableColumn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E2735D04-D63D-4F0F-9401-08A62264EBAF}" name="Tabella49" displayName="Tabella49" ref="E11:M12" totalsRowShown="0">
  <autoFilter ref="E11:M12" xr:uid="{E2735D04-D63D-4F0F-9401-08A62264EBAF}"/>
  <tableColumns count="9">
    <tableColumn id="1" xr3:uid="{76F5C76C-A76B-47EF-B5F7-B343F88099BB}" name="Frequency1">
      <calculatedColumnFormula>B14</calculatedColumnFormula>
    </tableColumn>
    <tableColumn id="2" xr3:uid="{598D0B3E-0436-48E0-950E-F184403AC280}" name="Frequency2">
      <calculatedColumnFormula>B15</calculatedColumnFormula>
    </tableColumn>
    <tableColumn id="3" xr3:uid="{2344A8BC-7345-4802-8E58-47344F67B740}" name="Frequency3">
      <calculatedColumnFormula>B16</calculatedColumnFormula>
    </tableColumn>
    <tableColumn id="4" xr3:uid="{E85C4EAF-BE9E-4BD8-B804-34E812687E02}" name="Frequency4">
      <calculatedColumnFormula>B17</calculatedColumnFormula>
    </tableColumn>
    <tableColumn id="5" xr3:uid="{BB31B97F-ACC4-4EE3-996B-7A6CE64B4B22}" name="Frequency5">
      <calculatedColumnFormula>B18</calculatedColumnFormula>
    </tableColumn>
    <tableColumn id="6" xr3:uid="{2F9F2255-C477-474A-8834-961F3DE50057}" name="Frequency6">
      <calculatedColumnFormula>B19</calculatedColumnFormula>
    </tableColumn>
    <tableColumn id="7" xr3:uid="{B505AE98-564E-4869-B28D-C423FA42A07C}" name="Frequency7">
      <calculatedColumnFormula>B20</calculatedColumnFormula>
    </tableColumn>
    <tableColumn id="8" xr3:uid="{E5F46BA4-C43B-4A19-B4A9-AFEE00AA414A}" name="Frequency8">
      <calculatedColumnFormula>B21</calculatedColumnFormula>
    </tableColumn>
    <tableColumn id="9" xr3:uid="{AE00BD4D-E40F-47F4-8534-7DC4EAA501F7}" name="Frequency9">
      <calculatedColumnFormula>B22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D80CB8D-EC6B-4526-9897-F7F1F271AD77}" name="Tabella50" displayName="Tabella50" ref="A4:C7" totalsRowShown="0">
  <autoFilter ref="A4:C7" xr:uid="{ED80CB8D-EC6B-4526-9897-F7F1F271AD77}"/>
  <tableColumns count="3">
    <tableColumn id="2" xr3:uid="{F48C41B2-2614-4BAC-9320-37C7956C85BE}" name="Rotational Constants [Ghz]" dataDxfId="232">
      <calculatedColumnFormula>#REF!*(0.000000000000000001)</calculatedColumnFormula>
    </tableColumn>
    <tableColumn id="1" xr3:uid="{6B5AEF40-EB3A-4CA5-96DA-5BDB6FA287B5}" name="Rotational Constant [m^-1]" dataDxfId="231">
      <calculatedColumnFormula array="1">((Tabella50[[#This Row],[Rotational Constants '[Ghz']]]*1000000000)/Tabella33[Speed of Light '[cm/s']])*100</calculatedColumnFormula>
    </tableColumn>
    <tableColumn id="3" xr3:uid="{04C3946A-1CA3-41AE-8C42-AD76BEB0C96F}" name="Moments of Inertia" dataDxfId="230">
      <calculatedColumnFormula array="1">Tabella33[Planck h]/(8*POWER(Tabella33[Pi Greco],2)*Tabella50[[#This Row],[Rotational Constant '[m^-1']]]*Tabella33[Speed of Light '[m/s']])</calculatedColumnFormula>
    </tableColumn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896B14-2565-4F53-9934-EB62D07E7FDD}" name="Tabella7" displayName="Tabella7" ref="H39:H43" totalsRowShown="0">
  <autoFilter ref="H39:H43" xr:uid="{DC896B14-2565-4F53-9934-EB62D07E7FDD}"/>
  <tableColumns count="1">
    <tableColumn id="1" xr3:uid="{564629DD-3D83-42DA-A019-4AB9921CA317}" name="Quantity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3CE8655-6713-4EB5-9CE7-2B16E2052A9D}" name="Tabella20" displayName="Tabella20" ref="I39:K43" totalsRowShown="0">
  <autoFilter ref="I39:K43" xr:uid="{A3CE8655-6713-4EB5-9CE7-2B16E2052A9D}"/>
  <tableColumns count="3">
    <tableColumn id="1" xr3:uid="{A9B73978-1839-4E9A-B1C8-F852B07DBCA3}" name="My value"/>
    <tableColumn id="2" xr3:uid="{6A6EB3BD-DB41-4837-95A5-1B8E8BD2901A}" name="Gaussian"/>
    <tableColumn id="3" xr3:uid="{78380CD5-C1E4-4860-A29F-43E74AB4FF53}" name="Error" dataDxfId="229">
      <calculatedColumnFormula>ABS(Tabella20[[#This Row],[My value]]-Tabella20[[#This Row],[Gaussian]])/Tabella20[[#This Row],[Gaussian]]</calculatedColumnFormula>
    </tableColumn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44446F7-52EC-4ED6-8324-30F54D6F0E77}" name="Tabella752" displayName="Tabella752" ref="A94:A99" totalsRowShown="0">
  <autoFilter ref="A94:A99" xr:uid="{F44446F7-52EC-4ED6-8324-30F54D6F0E77}"/>
  <tableColumns count="1">
    <tableColumn id="1" xr3:uid="{9B84187E-F863-49D4-A4D7-FA8218689996}" name="Quantity"/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EC658338-0D93-48EE-8A7F-E81918A14874}" name="Tabella2054" displayName="Tabella2054" ref="B94:D99" totalsRowShown="0">
  <autoFilter ref="B94:D99" xr:uid="{EC658338-0D93-48EE-8A7F-E81918A14874}"/>
  <tableColumns count="3">
    <tableColumn id="1" xr3:uid="{D8B01401-3F1E-4E0E-B408-A3948BA8EE90}" name="My value"/>
    <tableColumn id="2" xr3:uid="{1A1418FD-96FB-4A0F-B3FD-2D18C0934A97}" name="Gaussian"/>
    <tableColumn id="3" xr3:uid="{CB738EDD-E582-48E9-9297-5EC54AE63940}" name="Error" dataDxfId="228">
      <calculatedColumnFormula>ABS(Tabella2054[[#This Row],[My value]]-Tabella2054[[#This Row],[Gaussian]])/Tabella2054[[#This Row],[Gaussian]]</calculatedColumnFormula>
    </tableColumn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736FD76-1335-4481-A6EF-262495CFCDB9}" name="Tabella75255" displayName="Tabella75255" ref="A131:A134" totalsRowShown="0">
  <autoFilter ref="A131:A134" xr:uid="{3736FD76-1335-4481-A6EF-262495CFCDB9}"/>
  <tableColumns count="1">
    <tableColumn id="1" xr3:uid="{E50BD019-3E3E-45EC-9AB2-A6D973267169}" name="Quantity"/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64FE77C4-A904-4677-B931-753AFEA0DEDA}" name="Tabella205456" displayName="Tabella205456" ref="B131:D134" totalsRowShown="0">
  <autoFilter ref="B131:D134" xr:uid="{64FE77C4-A904-4677-B931-753AFEA0DEDA}"/>
  <tableColumns count="3">
    <tableColumn id="1" xr3:uid="{C9CF7827-3D15-48C5-BBA9-D7317314DE97}" name="My value"/>
    <tableColumn id="2" xr3:uid="{E28A2354-8B50-400F-A98F-9F166C94A826}" name="Gaussian"/>
    <tableColumn id="3" xr3:uid="{02322C73-A910-4B8F-AB0D-2236A5A422FC}" name="Error" dataDxfId="227">
      <calculatedColumnFormula>ABS(Tabella205456[[#This Row],[My value]]-Tabella205456[[#This Row],[Gaussian]])/Tabella205456[[#This Row],[Gaussian]]</calculatedColumnFormula>
    </tableColumn>
  </tableColumns>
  <tableStyleInfo name="TableStyleLight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90FC7-FE5D-452F-ADBD-18102BAA2FD2}" name="Tabella1" displayName="Tabella1" ref="D4:D5" totalsRowShown="0">
  <autoFilter ref="D4:D5" xr:uid="{3C990FC7-FE5D-452F-ADBD-18102BAA2FD2}"/>
  <tableColumns count="1">
    <tableColumn id="1" xr3:uid="{7B70E98B-D1CE-4963-8CA1-FBEF037304E8}" name="Total Moment of Inertia">
      <calculatedColumnFormula>SQRT(PRODUCT(Tabella50[Moments of Inertia]))</calculatedColumnFormula>
    </tableColumn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FCCA57-C0DF-4544-90B5-3B6D943A2ED0}" name="Tabella3" displayName="Tabella3" ref="E4:E5" totalsRowShown="0">
  <autoFilter ref="E4:E5" xr:uid="{19FCCA57-C0DF-4544-90B5-3B6D943A2ED0}"/>
  <tableColumns count="1">
    <tableColumn id="1" xr3:uid="{C1A0C840-0C40-4AFD-A18A-B18EDFD7C75C}" name="Theta rot">
      <calculatedColumnFormula array="1">POWER(Tabella33[Planck h],2)/(8*POWER(Tabella33[Pi Greco],2)*Tabella1[[#This Row],[Total Moment of Inertia]]*Tabella33[Boltzmann k])</calculatedColumnFormula>
    </tableColumn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EDA14E-442E-4AC4-B429-68DE88E346BD}" name="Tabella4" displayName="Tabella4" ref="F60:H61" totalsRowShown="0" dataDxfId="63">
  <autoFilter ref="F60:H61" xr:uid="{C5EDA14E-442E-4AC4-B429-68DE88E346BD}"/>
  <tableColumns count="3">
    <tableColumn id="1" xr3:uid="{BB64E54F-8F02-4342-9310-5A367E4310DD}" name="Rotational Temp 1" dataDxfId="66">
      <calculatedColumnFormula>7.55819</calculatedColumnFormula>
    </tableColumn>
    <tableColumn id="2" xr3:uid="{85DFC065-05AA-42C2-9F88-61B7EDC7CF1A}" name="Rotational Temp 2" dataDxfId="65">
      <calculatedColumnFormula>7.55783</calculatedColumnFormula>
    </tableColumn>
    <tableColumn id="3" xr3:uid="{8CF635DA-3CC2-47F0-BDEC-0C5C7E725901}" name="Rotational Temp 3" dataDxfId="64">
      <calculatedColumnFormula>7.55783</calculatedColumnFormula>
    </tableColumn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F76F4FAB-9DB3-4F45-93A3-380FD372018E}" name="Tabella3397" displayName="Tabella3397" ref="A1:H2" totalsRowShown="0">
  <autoFilter ref="A1:H2" xr:uid="{02869E67-574E-4326-A3F8-F299078BC917}"/>
  <tableColumns count="8">
    <tableColumn id="1" xr3:uid="{CED6AEC5-5A85-4FCC-956C-160C76178975}" name="Pi Greco"/>
    <tableColumn id="2" xr3:uid="{7965BB9B-DC2F-4304-B16A-E145A37E83B6}" name="Massa" dataDxfId="226">
      <calculatedColumnFormula>18.01528*1.6605655E-27</calculatedColumnFormula>
    </tableColumn>
    <tableColumn id="3" xr3:uid="{CCC5811C-5BA0-4D29-A29B-07D83B8667BF}" name="Boltzmann k"/>
    <tableColumn id="4" xr3:uid="{49568F22-0D71-48F9-B5D7-B75B7C13721B}" name="Planck h"/>
    <tableColumn id="5" xr3:uid="{B3845659-01BB-4526-A138-27E283D91EAF}" name="Rydberg R"/>
    <tableColumn id="6" xr3:uid="{F1F07B2F-AA20-42FB-846F-E6872F405C19}" name="Avogadro N"/>
    <tableColumn id="7" xr3:uid="{A8DDC96E-75FC-4404-AADD-CA591FC32348}" name="Speed of Light [cm/s]"/>
    <tableColumn id="8" xr3:uid="{09995F0D-1421-45FB-B957-BEF33953B369}" name="Speed of Light [m/s]">
      <calculatedColumnFormula>Tabella3397[[#This Row],[Speed of Light '[cm/s']]]*POWER(10,-2)</calculatedColumnFormula>
    </tableColumn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C406C70A-72A9-4EBD-92D3-A7DA9DD41956}" name="Tabella51898" displayName="Tabella51898" ref="A37:F55" totalsRowShown="0">
  <autoFilter ref="A37:F55" xr:uid="{81335CEC-6353-4671-833B-07B0D1500060}"/>
  <tableColumns count="6">
    <tableColumn id="1" xr3:uid="{85105681-CA43-4835-80BA-E5A0D2977F22}" name="Temperatura"/>
    <tableColumn id="12" xr3:uid="{83BE8FF8-4CDA-4961-9502-9C2EE983643D}" name="Volume" dataDxfId="225">
      <calculatedColumnFormula array="1">(Tabella3397[Boltzmann k]*Tabella51898[[#This Row],[Temperatura]])/101325</calculatedColumnFormula>
    </tableColumn>
    <tableColumn id="2" xr3:uid="{D1E3B0D1-B449-40EE-BA14-D0D7BCC2D1BF}" name="Qtrasl" dataDxfId="224">
      <calculatedColumnFormula array="1">POWER((2*Tabella3397[Pi Greco]*Tabella3397[Massa]*Tabella3397[Boltzmann k]*Tabella51898[[#This Row],[Temperatura]])/(POWER(Tabella3397[Planck h],2)),1.5)*Tabella51898[[#This Row],[Volume]]</calculatedColumnFormula>
    </tableColumn>
    <tableColumn id="3" xr3:uid="{47523E49-660E-4D41-9DCD-8212E335A4C1}" name="Qvib" dataDxfId="223">
      <calculatedColumnFormula>H14</calculatedColumnFormula>
    </tableColumn>
    <tableColumn id="4" xr3:uid="{C14DDA67-38DC-4C5F-8792-B44452A30D33}" name="Qrot" dataDxfId="222">
      <calculatedColumnFormula array="1">(8*POWER(Tabella3397[Pi Greco],2)*POWER(2*Tabella3397[Pi Greco]*Tabella3397[Boltzmann k]*Tabella51898[[#This Row],[Temperatura]],1.5)*Tabella1118[Total Moment of Inertia])/(Tabella61999[Simmetry Number]*POWER(Tabella3397[Planck h],3))</calculatedColumnFormula>
    </tableColumn>
    <tableColumn id="5" xr3:uid="{F1014EE5-F90E-4CA7-A783-482467358049}" name="Qel" dataDxfId="39">
      <calculatedColumnFormula>1</calculatedColumnFormula>
    </tableColumn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BDD221D7-750C-4A7A-B6FA-013A6CA15313}" name="Tabella61999" displayName="Tabella61999" ref="A10:A11" totalsRowShown="0">
  <autoFilter ref="A10:A11" xr:uid="{EBAD8B2B-7816-44DE-867A-C80A23B2F7AF}"/>
  <tableColumns count="1">
    <tableColumn id="1" xr3:uid="{2228E1EB-951A-4130-86BE-7378AD68FB05}" name="Simmetry Number"/>
  </tableColumns>
  <tableStyleInfo name="TableStyleLight1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28399550-A8F0-4CCB-81DD-C3741AB0D439}" name="Tabella820100" displayName="Tabella820100" ref="D13:H31" totalsRowShown="0">
  <autoFilter ref="D13:H31" xr:uid="{D37DB2BB-42C8-44C8-829B-D34114293CBD}"/>
  <tableColumns count="5">
    <tableColumn id="1" xr3:uid="{12443B4C-FBAA-4422-8619-1B2884810F87}" name="Temperatura"/>
    <tableColumn id="2" xr3:uid="{DC5F24E9-060E-4927-A397-E6CF39AA82BB}" name="Qvib1" dataDxfId="221">
      <calculatedColumnFormula array="1">(EXP(-(Tabella3397[Planck h]*Tabella49110[Frequency1])/(2*Tabella3397[Boltzmann k]*Tabella820100[[#This Row],[Temperatura]])))/(1-EXP(-(Tabella3397[Planck h]*Tabella49110[Frequency1])/(Tabella3397[Boltzmann k]*Tabella820100[[#This Row],[Temperatura]])))</calculatedColumnFormula>
    </tableColumn>
    <tableColumn id="3" xr3:uid="{B8B97A51-DA01-4FD8-9ED0-DE5C149B9E1B}" name="Qvib2" dataDxfId="220">
      <calculatedColumnFormula array="1">(EXP(-(Tabella3397[Planck h]*Tabella49110[Frequency2])/(2*Tabella3397[Boltzmann k]*Tabella820100[[#This Row],[Temperatura]])))/(1-EXP(-(Tabella3397[Planck h]*Tabella49110[Frequency2])/(Tabella3397[Boltzmann k]*Tabella820100[[#This Row],[Temperatura]])))</calculatedColumnFormula>
    </tableColumn>
    <tableColumn id="4" xr3:uid="{5499D0B0-3FAE-4E38-B59C-C8247F7E12C0}" name="Qvib3" dataDxfId="219">
      <calculatedColumnFormula array="1">(EXP(-(Tabella3397[Planck h]*Tabella49110[Frequency3])/(2*Tabella3397[Boltzmann k]*Tabella820100[[#This Row],[Temperatura]])))/(1-EXP(-(Tabella3397[Planck h]*Tabella49110[Frequency3])/(Tabella3397[Boltzmann k]*Tabella820100[[#This Row],[Temperatura]])))</calculatedColumnFormula>
    </tableColumn>
    <tableColumn id="5" xr3:uid="{0D377C5D-34EE-4A6D-BFDE-841E8A751E3A}" name="Qtot" dataDxfId="218">
      <calculatedColumnFormula>PRODUCT(Tabella820100[[#This Row],[Qvib1]:[Qvib3]])</calculatedColumnFormula>
    </tableColumn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D2E87E75-D7CD-4AF9-99DF-D3A35090348E}" name="Tabella122101" displayName="Tabella122101" ref="A64:D82" totalsRowShown="0" headerRowDxfId="217" dataDxfId="216" tableBorderDxfId="215">
  <autoFilter ref="A64:D82" xr:uid="{6C35C47E-9B0C-4516-B80D-9D65F8ED9043}"/>
  <tableColumns count="4">
    <tableColumn id="1" xr3:uid="{47E9D511-DB09-4EFB-B3B4-7A7743DF54CD}" name="Temperatura" dataDxfId="214"/>
    <tableColumn id="2" xr3:uid="{9ADDD003-5C52-4B55-848B-616EFB7FDDAA}" name="Translational Factor" dataDxfId="213">
      <calculatedColumnFormula array="1">POWER((2*Tabella3397[Pi Greco]*Tabella3397[Massa]*Tabella3397[Boltzmann k]*Tabella122101[[#This Row],[Temperatura]])/(POWER(Tabella3397[Planck h],2)),1.5)</calculatedColumnFormula>
    </tableColumn>
    <tableColumn id="3" xr3:uid="{5A764BEB-CCDF-4CE3-9C2A-975E965158C1}" name="Volume" dataDxfId="212">
      <calculatedColumnFormula array="1">(Tabella122101[[#This Row],[Temperatura]]*Tabella3397[Rydberg R])/101325</calculatedColumnFormula>
    </tableColumn>
    <tableColumn id="4" xr3:uid="{FF02CE7A-E9E6-4453-9E2D-4381A2D69AE7}" name="S Translational" dataDxfId="211">
      <calculatedColumnFormula array="1">Tabella3397[Rydberg R]*LN((Tabella122101[[#This Row],[Volume]]/Tabella3397[Avogadro N])*EXP(2.5)*Tabella122101[[#This Row],[Translational Factor]])</calculatedColumnFormula>
    </tableColumn>
  </tableColumns>
  <tableStyleInfo name="TableStyleLight8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BF612EF-0AC5-4500-B9F8-3F1BE7D8E135}" name="Tabella1023102" displayName="Tabella1023102" ref="J64:K67" totalsRowShown="0" dataDxfId="210" tableBorderDxfId="209">
  <autoFilter ref="J64:K67" xr:uid="{8EE75784-2FE5-4D07-A21C-99C9C9FBF68B}"/>
  <tableColumns count="2">
    <tableColumn id="1" xr3:uid="{5F3890FF-7D11-4A52-BAFE-F255C3377348}" name="Frequencies[s^-1]" dataDxfId="208">
      <calculatedColumnFormula>B14</calculatedColumnFormula>
    </tableColumn>
    <tableColumn id="2" xr3:uid="{9A3BED0C-AEDF-46CE-9FB5-2FEE2E7AEAFB}" name="Theta vib" dataDxfId="207">
      <calculatedColumnFormula array="1">(Tabella3397[Planck h]*Tabella1023102[[#This Row],[Frequencies'[s^-1']]])/Tabella3397[Boltzmann k]</calculatedColumnFormula>
    </tableColumn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EF091199-1FBF-493F-914E-7FF6099089D8}" name="Tabella1124103" displayName="Tabella1124103" ref="M66:Q84" totalsRowShown="0" headerRowDxfId="206" dataDxfId="205" tableBorderDxfId="204">
  <autoFilter ref="M66:Q84" xr:uid="{FB331EE4-0E00-483A-969A-3E85182E1038}"/>
  <tableColumns count="5">
    <tableColumn id="1" xr3:uid="{2474ABBC-0E27-4568-8293-40EFCFCC9A61}" name="Temperatura" dataDxfId="203"/>
    <tableColumn id="2" xr3:uid="{F0BB1857-8D75-46DE-A099-DE8DDCA9D123}" name="S vib 1" dataDxfId="202">
      <calculatedColumnFormula array="1" xml:space="preserve">   ((Tabella1225104[Theta vib 1]/Tabella1124103[[#This Row],[Temperatura]]) /(EXP(Tabella1225104[Theta vib 1]/Tabella1124103[[#This Row],[Temperatura]])-1) )- LN(1-EXP(-Tabella1225104[Theta vib 1]/Tabella1124103[[#This Row],[Temperatura]]))</calculatedColumnFormula>
    </tableColumn>
    <tableColumn id="3" xr3:uid="{1614B2AB-F0C4-4601-8C25-1D76863B6CB5}" name="S vib 2" dataDxfId="201">
      <calculatedColumnFormula array="1">( (Tabella1225104[Theta vib2]/Tabella1124103[[#This Row],[Temperatura]]) /(EXP(Tabella1225104[Theta vib2]/Tabella1124103[[#This Row],[Temperatura]])-1)) - LN(1-EXP(-Tabella1225104[Theta vib2]/Tabella1124103[[#This Row],[Temperatura]]))</calculatedColumnFormula>
    </tableColumn>
    <tableColumn id="4" xr3:uid="{A70ED73D-9BD1-4211-9133-ECE7F5151C37}" name="S vib 3" dataDxfId="200">
      <calculatedColumnFormula array="1">(  (Tabella1225104[Theta vib3]/Tabella1124103[[#This Row],[Temperatura]]) /(EXP(Tabella1225104[Theta vib3]/Tabella1124103[[#This Row],[Temperatura]])-1))- LN(1-EXP(-Tabella1225104[Theta vib3]/Tabella1124103[[#This Row],[Temperatura]]))</calculatedColumnFormula>
    </tableColumn>
    <tableColumn id="11" xr3:uid="{C3B23567-A18E-4BC9-82C1-BF5C4B5BB448}" name="S vib tot" dataDxfId="199">
      <calculatedColumnFormula array="1">Tabella3397[Rydberg R]*SUM(Tabella1124103[[#This Row],[S vib 1]:[S vib 3]])</calculatedColumnFormula>
    </tableColumn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3F9E4B8A-8DAA-4ABA-948C-9368C54D3274}" name="Tabella1225104" displayName="Tabella1225104" ref="N64:P65" totalsRowShown="0">
  <autoFilter ref="N64:P65" xr:uid="{A82CBD88-6239-4EFA-8EF2-2B939CA10E1C}"/>
  <tableColumns count="3">
    <tableColumn id="1" xr3:uid="{136670C1-4464-45BE-840C-95A708A46FAE}" name="Theta vib 1" dataDxfId="198">
      <calculatedColumnFormula>Tabella1023102[[#This Row],[Theta vib]]</calculatedColumnFormula>
    </tableColumn>
    <tableColumn id="2" xr3:uid="{1FAF2670-2FFD-44A4-87DF-9522AB66502C}" name="Theta vib2" dataDxfId="197">
      <calculatedColumnFormula>K66</calculatedColumnFormula>
    </tableColumn>
    <tableColumn id="3" xr3:uid="{4747CCCF-D786-4D13-9902-7F8050875DF4}" name="Theta vib3">
      <calculatedColumnFormula>K67</calculatedColumnFormula>
    </tableColumn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56DA8759-4E6D-44B1-9BD5-97A9292BF556}" name="Tabella1528106" displayName="Tabella1528106" ref="A102:C120" totalsRowShown="0" headerRowDxfId="196" dataDxfId="195" tableBorderDxfId="194">
  <autoFilter ref="A102:C120" xr:uid="{9F3C7E0C-6472-472D-B323-A5A9CEF9C677}"/>
  <tableColumns count="3">
    <tableColumn id="1" xr3:uid="{AD9B453F-31AE-4AA6-AFEA-A849ED42258D}" name="Temperatura" dataDxfId="193"/>
    <tableColumn id="2" xr3:uid="{1F828FA4-7068-4EC2-8E69-FE9192BBF1DA}" name="CvRot" dataDxfId="192">
      <calculatedColumnFormula array="1">(3/2)*Tabella3397[Rydberg R]</calculatedColumnFormula>
    </tableColumn>
    <tableColumn id="3" xr3:uid="{9C52B5E1-063A-4AFF-84CC-52A2B6627E2B}" name="Cv translational" dataDxfId="191">
      <calculatedColumnFormula array="1">(3/2)*Tabella3397[Rydberg R]</calculatedColumnFormula>
    </tableColumn>
  </tableColumns>
  <tableStyleInfo name="TableStyleLight8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7C34EF70-9978-46F0-97CF-43388A1DE5DB}" name="Tabella1629107" displayName="Tabella1629107" ref="F104:J122" totalsRowShown="0" headerRowDxfId="190" dataDxfId="189" tableBorderDxfId="188">
  <autoFilter ref="F104:J122" xr:uid="{DAFD7C16-9C1B-4A4A-B059-8463D2A36B1F}"/>
  <tableColumns count="5">
    <tableColumn id="1" xr3:uid="{8EC1A62D-72F7-410E-A93E-0B4928B9FDEC}" name="Temperatura" dataDxfId="187"/>
    <tableColumn id="2" xr3:uid="{09BDCDCD-5B31-4271-9756-1014BED84451}" name="Cv vib1" dataDxfId="186">
      <calculatedColumnFormula array="1">(    POWER(Tabella31108[Theta vib1],2)*EXP(Tabella31108[Theta vib1]/Tabella1629107[[#This Row],[Temperatura]])    )   /       (   POWER(Tabella1629107[[#This Row],[Temperatura]],2)*POWER(EXP(Tabella31108[Theta vib1]/Tabella1629107[[#This Row],[Temperatura]])-1,2)  )</calculatedColumnFormula>
    </tableColumn>
    <tableColumn id="3" xr3:uid="{7D3D835F-0D06-4F38-9B75-67B4278EC3CB}" name="Cv vib2" dataDxfId="185">
      <calculatedColumnFormula array="1">(    POWER(Tabella31108[Theta vib2],2)*EXP(Tabella31108[Theta vib2]/Tabella1629107[[#This Row],[Temperatura]])    )   /       (   POWER(Tabella1629107[[#This Row],[Temperatura]],2)*POWER(EXP(Tabella31108[Theta vib2]/Tabella1629107[[#This Row],[Temperatura]])-1,2)  )</calculatedColumnFormula>
    </tableColumn>
    <tableColumn id="4" xr3:uid="{7A0AB63A-CBF5-44B4-87DF-E775D8430BC7}" name="Cv vib3" dataDxfId="184">
      <calculatedColumnFormula array="1">(    POWER(Tabella31108[Theta vib2],2)*EXP(Tabella31108[Theta vib3]/Tabella1629107[[#This Row],[Temperatura]])    )   /       (   POWER(Tabella1629107[[#This Row],[Temperatura]],2)*POWER(EXP(Tabella31108[Theta vib3]/Tabella1629107[[#This Row],[Temperatura]])-1,2)  )</calculatedColumnFormula>
    </tableColumn>
    <tableColumn id="11" xr3:uid="{01F49213-06DD-4B9F-BB46-579EC18BA7E6}" name="Cv vib tot" dataDxfId="183">
      <calculatedColumnFormula array="1">SUM(G104:I105)*Tabella3397[Rydberg R]</calculatedColumnFormula>
    </tableColumn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12C5F833-B2CE-4F2D-A280-B9222D42669A}" name="Tabella31108" displayName="Tabella31108" ref="G102:I103" totalsRowShown="0">
  <autoFilter ref="G102:I103" xr:uid="{F01860CF-8839-4E82-B3A6-2D294853C5A7}"/>
  <tableColumns count="3">
    <tableColumn id="1" xr3:uid="{A12B9F0E-6158-4635-A8A6-CCB08F49F1E5}" name="Theta vib1" dataDxfId="182">
      <calculatedColumnFormula>K65</calculatedColumnFormula>
    </tableColumn>
    <tableColumn id="2" xr3:uid="{D2A08E78-D147-45CB-BC77-9689429FA55C}" name="Theta vib2" dataDxfId="181">
      <calculatedColumnFormula>K66</calculatedColumnFormula>
    </tableColumn>
    <tableColumn id="3" xr3:uid="{8A481398-DB28-4950-95F6-0F52B88E6016}" name="Theta vib3" dataDxfId="180">
      <calculatedColumnFormula>K67</calculatedColumnFormula>
    </tableColumn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684CB66-7C68-44AE-A306-87F5FF4A4EF1}" name="Tabella47109" displayName="Tabella47109" ref="A13:B16" totalsRowShown="0">
  <autoFilter ref="A13:B16" xr:uid="{996FA648-1F19-4D59-83D9-D4B2B2E632E9}"/>
  <tableColumns count="2">
    <tableColumn id="1" xr3:uid="{673BFE11-BD56-4C66-BCA7-DB87A307A7C7}" name="Wavenumbers [cm^-1]"/>
    <tableColumn id="2" xr3:uid="{72382A9C-B0A5-43E2-BBBB-5F1158743993}" name="Frequencies [s^-1]" dataDxfId="179">
      <calculatedColumnFormula array="1">Tabella47109[[#This Row],[Wavenumbers '[cm^-1']]]*Tabella3397[Speed of Light '[cm/s']]</calculatedColumnFormula>
    </tableColumn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30337E6B-1BE9-4E15-B172-1EABEE7AFF90}" name="Tabella49110" displayName="Tabella49110" ref="E11:G12" totalsRowShown="0">
  <autoFilter ref="E11:G12" xr:uid="{E2735D04-D63D-4F0F-9401-08A62264EBAF}"/>
  <tableColumns count="3">
    <tableColumn id="1" xr3:uid="{D40D98B7-01AE-4EBB-B4CE-9E1A3882A440}" name="Frequency1">
      <calculatedColumnFormula>B14</calculatedColumnFormula>
    </tableColumn>
    <tableColumn id="2" xr3:uid="{ABEFBDC3-C998-4EAA-97EE-D6DCA5FC3280}" name="Frequency2">
      <calculatedColumnFormula>B15</calculatedColumnFormula>
    </tableColumn>
    <tableColumn id="3" xr3:uid="{BB8431DF-1746-4118-B260-734341CD0309}" name="Frequency3">
      <calculatedColumnFormula>B16</calculatedColumnFormula>
    </tableColumn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C2384F28-4B0E-4745-B9C5-06DD87580F02}" name="Tabella50111" displayName="Tabella50111" ref="A4:C7" totalsRowShown="0">
  <autoFilter ref="A4:C7" xr:uid="{ED80CB8D-EC6B-4526-9897-F7F1F271AD77}"/>
  <tableColumns count="3">
    <tableColumn id="2" xr3:uid="{235DA84C-22A0-4681-80A0-4E2C78DFAB5E}" name="Rotational Constants [Ghz]" dataDxfId="178">
      <calculatedColumnFormula>#REF!*(0.000000000000000001)</calculatedColumnFormula>
    </tableColumn>
    <tableColumn id="1" xr3:uid="{6242148A-80B3-4E65-B39C-9AD30C2D1640}" name="Rotational Constant [m^-1]" dataDxfId="177">
      <calculatedColumnFormula array="1">((Tabella50111[[#This Row],[Rotational Constants '[Ghz']]]*1000000000)/Tabella3397[Speed of Light '[cm/s']])*100</calculatedColumnFormula>
    </tableColumn>
    <tableColumn id="3" xr3:uid="{B8FB2CCD-B326-4AD2-BAD9-9B9ACAEAE40A}" name="Moments of Inertia" dataDxfId="176">
      <calculatedColumnFormula array="1">Tabella3397[Planck h]/(8*POWER(Tabella3397[Pi Greco],2)*Tabella50111[[#This Row],[Rotational Constant '[m^-1']]]*Tabella3397[Speed of Light '[m/s']])</calculatedColumnFormula>
    </tableColumn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89D777AE-16B7-455F-A465-64C1105CA954}" name="Tabella7112" displayName="Tabella7112" ref="H39:H43" totalsRowShown="0">
  <autoFilter ref="H39:H43" xr:uid="{DC896B14-2565-4F53-9934-EB62D07E7FDD}"/>
  <tableColumns count="1">
    <tableColumn id="1" xr3:uid="{EF387AB6-0D8A-4118-9548-6942891DADB9}" name="Quantity"/>
  </tableColumns>
  <tableStyleInfo name="TableStyleLight8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6674DC1D-BA0F-47C3-96C2-50A1BCFB685E}" name="Tabella20113" displayName="Tabella20113" ref="I39:K43" totalsRowShown="0">
  <autoFilter ref="I39:K43" xr:uid="{A3CE8655-6713-4EB5-9CE7-2B16E2052A9D}"/>
  <tableColumns count="3">
    <tableColumn id="1" xr3:uid="{90EF0403-0B87-4AF0-8EEE-9311BBCAB414}" name="My value"/>
    <tableColumn id="2" xr3:uid="{2ABA92C0-7CB7-4648-A2B3-7858F9DC3403}" name="Gaussian"/>
    <tableColumn id="3" xr3:uid="{67900B2C-3D07-4E4E-A181-FA4C91CB3E69}" name="Error" dataDxfId="175">
      <calculatedColumnFormula>ABS(Tabella20113[[#This Row],[My value]]-Tabella20113[[#This Row],[Gaussian]])/Tabella20113[[#This Row],[Gaussian]]</calculatedColumnFormula>
    </tableColumn>
  </tableColumns>
  <tableStyleInfo name="TableStyleLight8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1F641076-BFE8-4701-98ED-BE6FC51119B7}" name="Tabella752114" displayName="Tabella752114" ref="A94:A99" totalsRowShown="0">
  <autoFilter ref="A94:A99" xr:uid="{F44446F7-52EC-4ED6-8324-30F54D6F0E77}"/>
  <tableColumns count="1">
    <tableColumn id="1" xr3:uid="{E4145BF0-75FD-4505-80D4-B5AA8778B740}" name="Quantity"/>
  </tableColumns>
  <tableStyleInfo name="TableStyleLight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D6CA0CD3-A562-4DF0-B8DF-9601CD13A860}" name="Tabella2054115" displayName="Tabella2054115" ref="B94:D99" totalsRowShown="0">
  <autoFilter ref="B94:D99" xr:uid="{EC658338-0D93-48EE-8A7F-E81918A14874}"/>
  <tableColumns count="3">
    <tableColumn id="1" xr3:uid="{BD968480-6C0F-4328-88B7-5516F199FED9}" name="My value"/>
    <tableColumn id="2" xr3:uid="{620CC1E7-6DCE-48EC-826C-C233650AFA4A}" name="Gaussian"/>
    <tableColumn id="3" xr3:uid="{EF9D3FD5-ED8A-4EB4-B5DE-481D339474AF}" name="Error" dataDxfId="174">
      <calculatedColumnFormula>ABS(Tabella2054115[[#This Row],[My value]]-Tabella2054115[[#This Row],[Gaussian]])/Tabella2054115[[#This Row],[Gaussian]]</calculatedColumnFormula>
    </tableColumn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09802EEE-5A67-41B1-80F6-679FDCD53D78}" name="Tabella75255116" displayName="Tabella75255116" ref="A131:A134" totalsRowShown="0">
  <autoFilter ref="A131:A134" xr:uid="{3736FD76-1335-4481-A6EF-262495CFCDB9}"/>
  <tableColumns count="1">
    <tableColumn id="1" xr3:uid="{913D9074-E388-495D-B1D8-D3C4732EAB08}" name="Quantity"/>
  </tableColumns>
  <tableStyleInfo name="TableStyleLight8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5DD5492D-6F48-4BAB-9106-C161DAFE06D7}" name="Tabella205456117" displayName="Tabella205456117" ref="B131:D134" totalsRowShown="0">
  <autoFilter ref="B131:D134" xr:uid="{64FE77C4-A904-4677-B931-753AFEA0DEDA}"/>
  <tableColumns count="3">
    <tableColumn id="1" xr3:uid="{0BEB980F-B820-4050-A956-686EE73900B1}" name="My value"/>
    <tableColumn id="2" xr3:uid="{4E43C432-2993-4A56-9DE4-D8D6DA6F83D3}" name="Gaussian"/>
    <tableColumn id="3" xr3:uid="{1C4DDBF5-0E09-46A6-8793-4F9E5DFBDDA4}" name="Error" dataDxfId="173">
      <calculatedColumnFormula>ABS(Tabella205456117[[#This Row],[My value]]-Tabella205456117[[#This Row],[Gaussian]])/Tabella205456117[[#This Row],[Gaussian]]</calculatedColumnFormula>
    </tableColumn>
  </tableColumns>
  <tableStyleInfo name="TableStyleLight8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3AB25B38-E363-4649-9516-F09A6808982C}" name="Tabella1118" displayName="Tabella1118" ref="D4:D5" totalsRowShown="0">
  <autoFilter ref="D4:D5" xr:uid="{3C990FC7-FE5D-452F-ADBD-18102BAA2FD2}"/>
  <tableColumns count="1">
    <tableColumn id="1" xr3:uid="{638AB4B6-4777-4881-AC31-52501F8555F9}" name="Total Moment of Inertia">
      <calculatedColumnFormula>SQRT(PRODUCT(Tabella50111[Moments of Inertia]))</calculatedColumnFormula>
    </tableColumn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79C7F122-4C47-4597-AEFA-FDDE04593042}" name="Tabella3119" displayName="Tabella3119" ref="E4:E5" totalsRowShown="0">
  <autoFilter ref="E4:E5" xr:uid="{19FCCA57-C0DF-4544-90B5-3B6D943A2ED0}"/>
  <tableColumns count="1">
    <tableColumn id="1" xr3:uid="{ABE5CADD-2E2E-43DF-8FED-0486D581F0ED}" name="Theta rot">
      <calculatedColumnFormula array="1">POWER(Tabella3397[Planck h],2)/(8*POWER(Tabella3397[Pi Greco],2)*Tabella1118[[#This Row],[Total Moment of Inertia]]*Tabella3397[Boltzmann k])</calculatedColumnFormula>
    </tableColumn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97C127-45BF-401A-BE49-54AE270E243B}" name="Tabella13266" displayName="Tabella13266" ref="F65:H83" totalsRowShown="0" headerRowDxfId="61" dataDxfId="60" tableBorderDxfId="59">
  <autoFilter ref="F65:H83" xr:uid="{3E97C127-45BF-401A-BE49-54AE270E243B}"/>
  <tableColumns count="3">
    <tableColumn id="1" xr3:uid="{7CC884D8-4AB7-4B29-93FB-BD248D505FA6}" name="Temperatura" dataDxfId="58"/>
    <tableColumn id="2" xr3:uid="{E25C8ACA-B5FA-400C-94E7-D3E0C3BFC591}" name="S rotational" dataDxfId="57">
      <calculatedColumnFormula array="1">Tabella33[Rydberg R]*LN((EXP(1)*Tabella13266[[#This Row],[Temperatura]])/(Tabella3[Theta rot]*Tabella619[Simmetry Number]))</calculatedColumnFormula>
    </tableColumn>
    <tableColumn id="3" xr3:uid="{1B49505A-5D14-4D61-98CF-ADB0A93A264B}" name="S rotational Gaussian" dataDxfId="56">
      <calculatedColumnFormula array="1">Tabella33[Rydberg R]*(1.5 + LN(SQRT((PI()*POWER(Tabella13266[[#This Row],[Temperatura]],3))/(Tabella619[Simmetry Number]*Tabella619[Simmetry Number]*PRODUCT(Tabella48[])))))</calculatedColumnFormula>
    </tableColumn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28AA78-86AA-4DF8-B18B-59FC069839EA}" name="Tabella48" displayName="Tabella48" ref="F61:H62" totalsRowShown="0" dataDxfId="55">
  <autoFilter ref="F61:H62" xr:uid="{4128AA78-86AA-4DF8-B18B-59FC069839EA}"/>
  <tableColumns count="3">
    <tableColumn id="1" xr3:uid="{112DDD12-6EE4-4066-B7C9-FDD1C2393951}" name="Rotational Temp 1" dataDxfId="54">
      <calculatedColumnFormula>39.93428</calculatedColumnFormula>
    </tableColumn>
    <tableColumn id="2" xr3:uid="{40CD46B1-B6B7-4BA9-B0AA-BB01F4D6E769}" name="Rotational Temp 2" dataDxfId="53">
      <calculatedColumnFormula>20.32347</calculatedColumnFormula>
    </tableColumn>
    <tableColumn id="3" xr3:uid="{CA23FCAF-0C6A-4CC1-8B89-B6B02C7CEDA0}" name="Rotational Temp 3" dataDxfId="52">
      <calculatedColumnFormula>13.46886</calculatedColumnFormula>
    </tableColumn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CE0AF25E-C845-4461-9251-A254F9A6B232}" name="Tabella3397120" displayName="Tabella3397120" ref="A1:H2" totalsRowShown="0">
  <autoFilter ref="A1:H2" xr:uid="{02869E67-574E-4326-A3F8-F299078BC917}"/>
  <tableColumns count="8">
    <tableColumn id="1" xr3:uid="{B9E818AA-DC2E-4FF8-9394-585F5BCB20C1}" name="Pi Greco"/>
    <tableColumn id="2" xr3:uid="{0EA47635-0F90-4481-9484-3FFA0D15B05B}" name="Massa" dataDxfId="172">
      <calculatedColumnFormula>28.04*1.6605655E-27</calculatedColumnFormula>
    </tableColumn>
    <tableColumn id="3" xr3:uid="{14CB09E8-BAF8-4A9C-8471-0DE08C6FC527}" name="Boltzmann k"/>
    <tableColumn id="4" xr3:uid="{A42D6EE4-6EC1-46CA-9004-B8A970BC8E6E}" name="Planck h"/>
    <tableColumn id="5" xr3:uid="{E4655153-9FF3-4BDA-93FF-4AD4C0593AAD}" name="Rydberg R"/>
    <tableColumn id="6" xr3:uid="{6C111047-AEBD-450A-B9E5-7AC07D8078A8}" name="Avogadro N"/>
    <tableColumn id="7" xr3:uid="{A25CA33E-EFFA-45A4-BD90-56647EAE03BA}" name="Speed of Light [cm/s]"/>
    <tableColumn id="8" xr3:uid="{312AC3E7-0DDE-4536-8884-BA1CE0267A92}" name="Speed of Light [m/s]">
      <calculatedColumnFormula>Tabella3397120[[#This Row],[Speed of Light '[cm/s']]]*POWER(10,-2)</calculatedColumnFormula>
    </tableColumn>
  </tableColumns>
  <tableStyleInfo name="TableStyleLight8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F72A54F7-C859-4D88-830D-9FB2F678BABD}" name="Tabella51898121" displayName="Tabella51898121" ref="A37:F55" totalsRowShown="0">
  <autoFilter ref="A37:F55" xr:uid="{81335CEC-6353-4671-833B-07B0D1500060}"/>
  <tableColumns count="6">
    <tableColumn id="1" xr3:uid="{658F2AA6-33B2-451A-BCAB-6277A6E911AA}" name="Temperatura"/>
    <tableColumn id="12" xr3:uid="{54F06E7A-2CF2-4433-B2C9-E01E261E2D60}" name="Volume" dataDxfId="171">
      <calculatedColumnFormula array="1">(Tabella3397120[Boltzmann k]*Tabella51898121[[#This Row],[Temperatura]])/101325</calculatedColumnFormula>
    </tableColumn>
    <tableColumn id="2" xr3:uid="{5F8BF820-FE67-4468-A8C4-9BA6A3478CA8}" name="Qtrasl" dataDxfId="170">
      <calculatedColumnFormula array="1">POWER((2*Tabella3397120[Pi Greco]*Tabella3397120[Massa]*Tabella3397120[Boltzmann k]*Tabella51898121[[#This Row],[Temperatura]])/(POWER(Tabella3397120[Planck h],2)),1.5)*Tabella51898121[[#This Row],[Volume]]</calculatedColumnFormula>
    </tableColumn>
    <tableColumn id="3" xr3:uid="{F060288F-A42E-44DF-80C5-C8B59074D7AA}" name="Qvib" dataDxfId="169">
      <calculatedColumnFormula>F18</calculatedColumnFormula>
    </tableColumn>
    <tableColumn id="4" xr3:uid="{A0C8D6A6-4D9F-4DB1-9EDA-7DEEFE4F6A84}" name="Qrot" dataDxfId="168">
      <calculatedColumnFormula array="1">(8*POWER(PI(),2)*Tabella3397120[Boltzmann k]*Tabella51898121[[#This Row],[Temperatura]]*Tabella1118141[Total Moment of Inertia])/(Tabella61999122[Simmetry Number]*POWER(Tabella3397120[Planck h],2))</calculatedColumnFormula>
    </tableColumn>
    <tableColumn id="5" xr3:uid="{64AE847A-838C-4497-9E8B-21A96D46B8E5}" name="Qel" dataDxfId="38">
      <calculatedColumnFormula>1</calculatedColumnFormula>
    </tableColumn>
  </tableColumns>
  <tableStyleInfo name="TableStyleLight13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454B8A43-621C-49FE-924E-1FA1B4ED5F5C}" name="Tabella61999122" displayName="Tabella61999122" ref="A9:A10" totalsRowShown="0">
  <autoFilter ref="A9:A10" xr:uid="{EBAD8B2B-7816-44DE-867A-C80A23B2F7AF}"/>
  <tableColumns count="1">
    <tableColumn id="1" xr3:uid="{066DE300-6E91-437A-B81B-4B53CC36F1DB}" name="Simmetry Number"/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A9DD03AE-1983-4EF3-8028-EB99A6238D4C}" name="Tabella122101124" displayName="Tabella122101124" ref="A64:D82" totalsRowShown="0" headerRowDxfId="165" dataDxfId="164" tableBorderDxfId="163">
  <autoFilter ref="A64:D82" xr:uid="{6C35C47E-9B0C-4516-B80D-9D65F8ED9043}"/>
  <tableColumns count="4">
    <tableColumn id="1" xr3:uid="{5EFDC51F-3FFC-48E0-B325-AFC213351F37}" name="Temperatura" dataDxfId="162"/>
    <tableColumn id="2" xr3:uid="{766AC001-5A17-4E42-A057-BDC3AC6DC5C5}" name="Translational Factor" dataDxfId="161">
      <calculatedColumnFormula array="1">POWER((2*Tabella3397120[Pi Greco]*Tabella3397120[Massa]*Tabella3397120[Boltzmann k]*Tabella122101124[[#This Row],[Temperatura]])/(POWER(Tabella3397120[Planck h],2)),1.5)</calculatedColumnFormula>
    </tableColumn>
    <tableColumn id="3" xr3:uid="{927A3759-A31B-4B4D-B323-CB1667873D2C}" name="Volume" dataDxfId="160">
      <calculatedColumnFormula array="1">(Tabella122101124[[#This Row],[Temperatura]]*Tabella3397120[Rydberg R])/101325</calculatedColumnFormula>
    </tableColumn>
    <tableColumn id="4" xr3:uid="{868556D5-AC95-437C-B68C-C07391FACFE6}" name="S Translational" dataDxfId="159">
      <calculatedColumnFormula array="1">Tabella3397120[Rydberg R]*LN((Tabella122101124[[#This Row],[Volume]]/Tabella3397120[Avogadro N])*EXP(2.5)*Tabella122101124[[#This Row],[Translational Factor]])</calculatedColumnFormula>
    </tableColumn>
  </tableColumns>
  <tableStyleInfo name="TableStyleLight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DB94F1E6-1357-4A9E-9F62-6B670A149D15}" name="Tabella1023102125" displayName="Tabella1023102125" ref="J64:K65" totalsRowShown="0" dataDxfId="158" tableBorderDxfId="157">
  <autoFilter ref="J64:K65" xr:uid="{8EE75784-2FE5-4D07-A21C-99C9C9FBF68B}"/>
  <tableColumns count="2">
    <tableColumn id="1" xr3:uid="{B8569D29-6D38-4163-95EA-B4AEC93CD4DA}" name="Frequencies[s^-1]" dataDxfId="156">
      <calculatedColumnFormula>B20</calculatedColumnFormula>
    </tableColumn>
    <tableColumn id="2" xr3:uid="{A7E24208-6550-45D3-B5DD-CA20C7FF2C3A}" name="Theta vib" dataDxfId="155">
      <calculatedColumnFormula array="1">(Tabella3397120[Planck h]*Tabella1023102125[[#This Row],[Frequencies'[s^-1']]])/Tabella3397120[Boltzmann k]</calculatedColumnFormula>
    </tableColumn>
  </tableColumns>
  <tableStyleInfo name="TableStyleLight8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10698F40-BDE3-490D-A2D1-A96960FA3A6E}" name="Tabella1124103126" displayName="Tabella1124103126" ref="M66:O84" totalsRowShown="0" headerRowDxfId="154" dataDxfId="153" tableBorderDxfId="152">
  <autoFilter ref="M66:O84" xr:uid="{FB331EE4-0E00-483A-969A-3E85182E1038}"/>
  <tableColumns count="3">
    <tableColumn id="1" xr3:uid="{C7D5325A-FAEE-40FD-9406-15F5515387FF}" name="Temperatura" dataDxfId="151"/>
    <tableColumn id="2" xr3:uid="{33369852-4ED2-4DC0-8A9D-0550F213E6C5}" name="S vib 1" dataDxfId="150">
      <calculatedColumnFormula array="1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calculatedColumnFormula>
    </tableColumn>
    <tableColumn id="11" xr3:uid="{C9858F89-DDDD-4EE8-B075-E959A08249E2}" name="S vib tot" dataDxfId="149">
      <calculatedColumnFormula array="1">Tabella3397120[Rydberg R]*Tabella1124103126[[#This Row],[S vib 1]]</calculatedColumnFormula>
    </tableColumn>
  </tableColumns>
  <tableStyleInfo name="TableStyleLight8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7F0F84C1-3EA5-4ACB-8328-CCF0CC53D9F8}" name="Tabella1225104127" displayName="Tabella1225104127" ref="N64:N65" totalsRowShown="0">
  <autoFilter ref="N64:N65" xr:uid="{A82CBD88-6239-4EFA-8EF2-2B939CA10E1C}"/>
  <tableColumns count="1">
    <tableColumn id="1" xr3:uid="{5182CBC8-B04C-4B3C-8F86-08005E4D1501}" name="Theta vib 1" dataDxfId="148">
      <calculatedColumnFormula>Tabella1023102125[[#This Row],[Theta vib]]</calculatedColumnFormula>
    </tableColumn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48412B55-BB74-4FEC-B0CD-ED1B328A4AE3}" name="Tabella1528106129" displayName="Tabella1528106129" ref="A103:C121" totalsRowShown="0" headerRowDxfId="147" dataDxfId="146" tableBorderDxfId="145">
  <autoFilter ref="A103:C121" xr:uid="{9F3C7E0C-6472-472D-B323-A5A9CEF9C677}"/>
  <tableColumns count="3">
    <tableColumn id="1" xr3:uid="{66A4A884-78B6-4771-8EC8-699C05C0631C}" name="Temperatura" dataDxfId="144"/>
    <tableColumn id="2" xr3:uid="{229BC039-BB4B-4091-AD40-A4DF07E7C8AD}" name="CvRot" dataDxfId="143">
      <calculatedColumnFormula array="1">Tabella3397120[Rydberg R]</calculatedColumnFormula>
    </tableColumn>
    <tableColumn id="3" xr3:uid="{DF2FD90E-7997-422D-88F2-8276DF678FCD}" name="Cv translational" dataDxfId="142">
      <calculatedColumnFormula array="1">(3/2)*Tabella3397120[Rydberg R]</calculatedColumnFormula>
    </tableColumn>
  </tableColumns>
  <tableStyleInfo name="TableStyleLight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4B02ADF9-6FD9-4C51-87B0-BB05AA0F6B58}" name="Tabella1629107130" displayName="Tabella1629107130" ref="F105:H123" totalsRowShown="0" headerRowDxfId="141" dataDxfId="140" tableBorderDxfId="139">
  <autoFilter ref="F105:H123" xr:uid="{DAFD7C16-9C1B-4A4A-B059-8463D2A36B1F}"/>
  <tableColumns count="3">
    <tableColumn id="1" xr3:uid="{B1926028-C142-44F7-B923-DD8F4C5D5C6A}" name="Temperatura" dataDxfId="138"/>
    <tableColumn id="2" xr3:uid="{06DE60E2-C9E1-4480-9184-84245C68FAC9}" name="Cv vib1" dataDxfId="137">
      <calculatedColumnFormula array="1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calculatedColumnFormula>
    </tableColumn>
    <tableColumn id="11" xr3:uid="{510AAF65-BA74-41AB-8459-D77807D5E6C5}" name="Cv vib tot" dataDxfId="136">
      <calculatedColumnFormula array="1">Tabella1629107130[[#This Row],[Cv vib1]]*Tabella3397120[Rydberg R]</calculatedColumnFormula>
    </tableColumn>
  </tableColumns>
  <tableStyleInfo name="TableStyleLight8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458FD0C9-C7C3-40AF-9F74-73703F96BF6C}" name="Tabella31108131" displayName="Tabella31108131" ref="G103:G104" totalsRowShown="0">
  <autoFilter ref="G103:G104" xr:uid="{F01860CF-8839-4E82-B3A6-2D294853C5A7}"/>
  <tableColumns count="1">
    <tableColumn id="1" xr3:uid="{21E1874C-F0A4-49C6-A81D-345D54FAA7C0}" name="Theta vib1" dataDxfId="135">
      <calculatedColumnFormula>K65</calculatedColumnFormula>
    </tableColumn>
  </tableColumns>
  <tableStyleInfo name="TableStyleLight8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8341CF6D-9BDE-48CF-B55C-34A6B2D83320}" name="Tabella47109132" displayName="Tabella47109132" ref="A19:B20" totalsRowShown="0">
  <autoFilter ref="A19:B20" xr:uid="{996FA648-1F19-4D59-83D9-D4B2B2E632E9}"/>
  <tableColumns count="2">
    <tableColumn id="1" xr3:uid="{8E165B76-72E7-4A88-ABA2-7798A98DE42D}" name="Wavenumbers [cm^-1]">
      <calculatedColumnFormula>2201.7654</calculatedColumnFormula>
    </tableColumn>
    <tableColumn id="2" xr3:uid="{3C473346-CD40-4A40-8346-C44430D3105E}" name="Frequencies [s^-1]" dataDxfId="134">
      <calculatedColumnFormula array="1">Tabella47109132[[#This Row],[Wavenumbers '[cm^-1']]]*Tabella3397120[Speed of Light '[cm/s']]</calculatedColumnFormula>
    </tableColumn>
  </tableColumns>
  <tableStyleInfo name="TableStyleLight13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B5207B4D-0EC8-4FE5-8FB0-B7497E52BE40}" name="Tabella49110133" displayName="Tabella49110133" ref="E15:E16" totalsRowShown="0">
  <autoFilter ref="E15:E16" xr:uid="{E2735D04-D63D-4F0F-9401-08A62264EBAF}"/>
  <tableColumns count="1">
    <tableColumn id="1" xr3:uid="{AB5775D2-16F6-4C4A-8BF2-DFB918CCAB57}" name="Frequency1">
      <calculatedColumnFormula>B20</calculatedColumnFormula>
    </tableColumn>
  </tableColumns>
  <tableStyleInfo name="TableStyleLight13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7A87C216-53A5-49B2-8021-D49E414789E0}" name="Tabella50111134" displayName="Tabella50111134" ref="A4:C7" totalsRowShown="0">
  <autoFilter ref="A4:C7" xr:uid="{ED80CB8D-EC6B-4526-9897-F7F1F271AD77}"/>
  <tableColumns count="3">
    <tableColumn id="2" xr3:uid="{E29E8605-8789-4E51-8184-98BC83923351}" name="Rotational Constants [Ghz]" dataDxfId="36">
      <calculatedColumnFormula>#REF!*(0.000000000000000001)</calculatedColumnFormula>
    </tableColumn>
    <tableColumn id="1" xr3:uid="{7A63E67A-01A1-48D2-BEAF-EAEAABF41FEF}" name="Rotational Constant [m^-1]" dataDxfId="133">
      <calculatedColumnFormula array="1">((Tabella50111134[[#This Row],[Rotational Constants '[Ghz']]]*1000000000)/Tabella3397120[Speed of Light '[cm/s']])*100</calculatedColumnFormula>
    </tableColumn>
    <tableColumn id="3" xr3:uid="{89CFA6E8-DACD-4A37-9DD5-632A19572776}" name="Moments of Inertia" dataDxfId="132">
      <calculatedColumnFormula array="1">Tabella3397120[Planck h]/(8*POWER(Tabella3397120[Pi Greco],2)*Tabella50111134[[#This Row],[Rotational Constant '[m^-1']]]*Tabella3397120[Speed of Light '[m/s']])</calculatedColumnFormula>
    </tableColumn>
  </tableColumns>
  <tableStyleInfo name="TableStyleLight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88FC5376-2711-4624-8A7D-F17890E60EB2}" name="Tabella7112135" displayName="Tabella7112135" ref="H39:H43" totalsRowShown="0">
  <autoFilter ref="H39:H43" xr:uid="{DC896B14-2565-4F53-9934-EB62D07E7FDD}"/>
  <tableColumns count="1">
    <tableColumn id="1" xr3:uid="{14BD8449-9076-4B93-9E04-A1888928C0FD}" name="Quantity"/>
  </tableColumns>
  <tableStyleInfo name="TableStyleLight13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4CEF806B-5228-4D93-902C-CD2C00577D8D}" name="Tabella20113136" displayName="Tabella20113136" ref="I39:K43" totalsRowShown="0">
  <autoFilter ref="I39:K43" xr:uid="{A3CE8655-6713-4EB5-9CE7-2B16E2052A9D}"/>
  <tableColumns count="3">
    <tableColumn id="1" xr3:uid="{A1EA5CB0-9A4E-4481-B654-4BA13E46839E}" name="My value"/>
    <tableColumn id="2" xr3:uid="{B1C5C713-0042-402F-BCE3-E6AC22A74086}" name="Gaussian"/>
    <tableColumn id="3" xr3:uid="{9A7934F3-6F24-4C2A-9100-1C78A33FABBE}" name="Error" dataDxfId="131">
      <calculatedColumnFormula>ABS(Tabella20113136[[#This Row],[My value]]-Tabella20113136[[#This Row],[Gaussian]])/Tabella20113136[[#This Row],[Gaussian]]</calculatedColumnFormula>
    </tableColumn>
  </tableColumns>
  <tableStyleInfo name="TableStyleLight13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2FF896C6-80A5-4F07-9196-64AE8623B436}" name="Tabella752114137" displayName="Tabella752114137" ref="A88:A93" totalsRowShown="0">
  <autoFilter ref="A88:A93" xr:uid="{F44446F7-52EC-4ED6-8324-30F54D6F0E77}"/>
  <tableColumns count="1">
    <tableColumn id="1" xr3:uid="{7EF3C06A-73B9-468D-A44C-046E78D974CA}" name="Quantity"/>
  </tableColumns>
  <tableStyleInfo name="TableStyleLight8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4E4F86E6-DDEE-40CE-A064-883F5DA638F9}" name="Tabella2054115138" displayName="Tabella2054115138" ref="B88:D93" totalsRowShown="0">
  <autoFilter ref="B88:D93" xr:uid="{EC658338-0D93-48EE-8A7F-E81918A14874}"/>
  <tableColumns count="3">
    <tableColumn id="1" xr3:uid="{79C9ACD0-D1F4-46FC-A52C-6CB578AB2CC7}" name="My value"/>
    <tableColumn id="2" xr3:uid="{C0EE2D2A-35B4-4FD7-BCAF-24B8F8099573}" name="Gaussian"/>
    <tableColumn id="3" xr3:uid="{7D20CF0E-4919-4683-BB2B-BA75C6898447}" name="Error" dataDxfId="130">
      <calculatedColumnFormula>ABS(Tabella2054115138[[#This Row],[My value]]-Tabella2054115138[[#This Row],[Gaussian]])/Tabella2054115138[[#This Row],[Gaussian]]</calculatedColumnFormula>
    </tableColumn>
  </tableColumns>
  <tableStyleInfo name="TableStyleLight8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290CFADB-5A9C-499A-8F93-F1163B4D2F56}" name="Tabella75255116139" displayName="Tabella75255116139" ref="A129:A132" totalsRowShown="0">
  <autoFilter ref="A129:A132" xr:uid="{3736FD76-1335-4481-A6EF-262495CFCDB9}"/>
  <tableColumns count="1">
    <tableColumn id="1" xr3:uid="{70D95B90-8D8D-435E-A092-830EBA571DB9}" name="Quantity"/>
  </tableColumns>
  <tableStyleInfo name="TableStyleLight8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E8FCDFF8-290C-4E8A-BA25-CC953D8AA397}" name="Tabella205456117140" displayName="Tabella205456117140" ref="B129:D132" totalsRowShown="0">
  <autoFilter ref="B129:D132" xr:uid="{64FE77C4-A904-4677-B931-753AFEA0DEDA}"/>
  <tableColumns count="3">
    <tableColumn id="1" xr3:uid="{6E111AC8-822B-4659-A4CB-10F3213D2522}" name="My value"/>
    <tableColumn id="2" xr3:uid="{AE64509D-7289-4164-AEAB-A53C88261F33}" name="Gaussian"/>
    <tableColumn id="3" xr3:uid="{AB60035A-A921-4852-BCAC-FC0A1C23AA2A}" name="Error" dataDxfId="129">
      <calculatedColumnFormula>ABS(Tabella205456117140[[#This Row],[My value]]-Tabella205456117140[[#This Row],[Gaussian]])/Tabella205456117140[[#This Row],[Gaussian]]</calculatedColumnFormula>
    </tableColumn>
  </tableColumns>
  <tableStyleInfo name="TableStyleLight8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87BBE376-6FA6-4259-BD21-227FCE41CB2A}" name="Tabella1118141" displayName="Tabella1118141" ref="D4:D5" totalsRowShown="0">
  <autoFilter ref="D4:D5" xr:uid="{3C990FC7-FE5D-452F-ADBD-18102BAA2FD2}"/>
  <tableColumns count="1">
    <tableColumn id="1" xr3:uid="{305DB2D9-8F7F-43AC-B10A-E4F3D1ADBB87}" name="Total Moment of Inertia">
      <calculatedColumnFormula>SQRT(PRODUCT(C6:C7))</calculatedColumnFormula>
    </tableColumn>
  </tableColumns>
  <tableStyleInfo name="TableStyleLight8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0892CB9B-743A-4D73-89D5-0DFCBB1FB98F}" name="Tabella3119142" displayName="Tabella3119142" ref="E4:E5" totalsRowShown="0">
  <autoFilter ref="E4:E5" xr:uid="{19FCCA57-C0DF-4544-90B5-3B6D943A2ED0}"/>
  <tableColumns count="1">
    <tableColumn id="1" xr3:uid="{5A6B7275-B171-4CB1-8419-3913A82A375F}" name="Theta rot">
      <calculatedColumnFormula array="1">POWER(Tabella3397120[Planck h],2)/(8*POWER(Tabella3397120[Pi Greco],2)*Tabella1118141[[#This Row],[Total Moment of Inertia]]*Tabella3397120[Boltzmann k])</calculatedColumnFormula>
    </tableColumn>
  </tableColumns>
  <tableStyleInfo name="TableStyleLight8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D713C5-E799-453C-AC73-BF0B97CE34C5}" name="Tabella132669" displayName="Tabella132669" ref="F65:H83" totalsRowShown="0" headerRowDxfId="51" dataDxfId="50" tableBorderDxfId="49">
  <autoFilter ref="F65:H83" xr:uid="{1CD713C5-E799-453C-AC73-BF0B97CE34C5}"/>
  <tableColumns count="3">
    <tableColumn id="1" xr3:uid="{FF383BAC-601B-4FAD-94A6-165DC9CE9369}" name="Temperatura" dataDxfId="48"/>
    <tableColumn id="2" xr3:uid="{6966E31B-A6CE-41C6-86F9-FC276EC962AF}" name="S rotational" dataDxfId="47">
      <calculatedColumnFormula array="1">Tabella33[Rydberg R]*LN((EXP(1)*Tabella132669[[#This Row],[Temperatura]])/(Tabella3[Theta rot]*Tabella619[Simmetry Number]))</calculatedColumnFormula>
    </tableColumn>
    <tableColumn id="3" xr3:uid="{D69330F1-54A0-43EE-8491-3B929CCDB67F}" name="S rotational Gaussian" dataDxfId="46">
      <calculatedColumnFormula array="1">Tabella3397120[Rydberg R]*(1 + LN(Tabella132669[[#This Row],[Temperatura]]/(Tabella3119142[Theta rot]*Tabella61999122[Simmetry Number])))</calculatedColumnFormula>
    </tableColumn>
  </tableColumns>
  <tableStyleInfo name="TableStyleLight8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A4964790-0B5E-4787-ABBA-4027276B48D3}" name="Tabella820100123" displayName="Tabella820100123" ref="D17:F35" totalsRowShown="0">
  <autoFilter ref="D17:F35" xr:uid="{D37DB2BB-42C8-44C8-829B-D34114293CBD}"/>
  <tableColumns count="3">
    <tableColumn id="1" xr3:uid="{49F6BE22-8D0C-449E-8ADE-EAF73EFBA566}" name="Temperatura"/>
    <tableColumn id="2" xr3:uid="{213461A0-D8E2-4350-9AE9-553B6E8429A0}" name="Qvib1" dataDxfId="167">
      <calculatedColumnFormula array="1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calculatedColumnFormula>
    </tableColumn>
    <tableColumn id="5" xr3:uid="{67127487-9D5E-46D3-94C5-5413498642ED}" name="Qtot" dataDxfId="166">
      <calculatedColumnFormula>Tabella820100123[[#This Row],[Qvib1]]</calculatedColumnFormula>
    </tableColumn>
  </tableColumns>
  <tableStyleInfo name="TableStyleLight13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97EA74C1-94F4-4207-A68E-3AB514E2EC0A}" name="Tabella3397120143" displayName="Tabella3397120143" ref="A1:H2" totalsRowShown="0">
  <autoFilter ref="A1:H2" xr:uid="{02869E67-574E-4326-A3F8-F299078BC917}"/>
  <tableColumns count="8">
    <tableColumn id="1" xr3:uid="{E75768EA-23D5-4644-90FF-EC7B4812D4F8}" name="Pi Greco"/>
    <tableColumn id="2" xr3:uid="{39AE1A54-92E2-4426-8598-4956E4D7376A}" name="Massa" dataDxfId="128">
      <calculatedColumnFormula>46.01*1.6605655E-27</calculatedColumnFormula>
    </tableColumn>
    <tableColumn id="3" xr3:uid="{53D8C2FB-BE39-452D-96E6-7360634DDA8E}" name="Boltzmann k"/>
    <tableColumn id="4" xr3:uid="{15EBFE4B-A03A-481D-A7AA-019CD5F09670}" name="Planck h"/>
    <tableColumn id="5" xr3:uid="{677AC0E0-D71F-4061-BAA7-642086D24846}" name="Rydberg R"/>
    <tableColumn id="6" xr3:uid="{5B1D119F-D9DB-43A2-8D3A-2046CFABC190}" name="Avogadro N"/>
    <tableColumn id="7" xr3:uid="{33B40FF6-8CCB-42C6-AE09-222BC8F366D9}" name="Speed of Light [cm/s]"/>
    <tableColumn id="8" xr3:uid="{F2CC766C-4C80-4011-8436-FDD15C361FD6}" name="Speed of Light [m/s]">
      <calculatedColumnFormula>Tabella3397120143[[#This Row],[Speed of Light '[cm/s']]]*POWER(10,-2)</calculatedColumnFormula>
    </tableColumn>
  </tableColumns>
  <tableStyleInfo name="TableStyleLight9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7310553C-175B-40A5-8A31-02CD7986F574}" name="Tabella51898121144" displayName="Tabella51898121144" ref="A37:F55" totalsRowShown="0">
  <autoFilter ref="A37:F55" xr:uid="{81335CEC-6353-4671-833B-07B0D1500060}"/>
  <tableColumns count="6">
    <tableColumn id="1" xr3:uid="{797E1D1D-41FA-4CF3-8DC0-30051CB4DBED}" name="Temperatura"/>
    <tableColumn id="12" xr3:uid="{8FAF9DB1-1133-4067-AFC0-B58F729EB5B8}" name="Volume" dataDxfId="127">
      <calculatedColumnFormula array="1">(Tabella3397120143[Boltzmann k]*Tabella51898121144[[#This Row],[Temperatura]])/101325</calculatedColumnFormula>
    </tableColumn>
    <tableColumn id="2" xr3:uid="{550CF67A-C4FA-4D1B-82AA-F86783BE962A}" name="Qtrasl" dataDxfId="126">
      <calculatedColumnFormula array="1">POWER((2*Tabella3397120143[Pi Greco]*Tabella3397120143[Massa]*Tabella3397120143[Boltzmann k]*Tabella51898121144[[#This Row],[Temperatura]])/(POWER(Tabella3397120143[Planck h],2)),1.5)*Tabella51898121144[[#This Row],[Volume]]</calculatedColumnFormula>
    </tableColumn>
    <tableColumn id="3" xr3:uid="{276F8C60-3529-47A6-AE9E-1D158799A892}" name="Qvib" dataDxfId="125">
      <calculatedColumnFormula>H14</calculatedColumnFormula>
    </tableColumn>
    <tableColumn id="4" xr3:uid="{676C3B55-16E9-4483-AEDA-4983ADF25801}" name="Qrot" dataDxfId="124">
      <calculatedColumnFormula array="1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calculatedColumnFormula>
    </tableColumn>
    <tableColumn id="5" xr3:uid="{19BCA0BC-3006-4582-8629-053192257B99}" name="Qel" dataDxfId="37">
      <calculatedColumnFormula>2</calculatedColumnFormula>
    </tableColumn>
  </tableColumns>
  <tableStyleInfo name="TableStyleLight8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81B8DA57-A55D-474F-9914-CA2D28CE9F51}" name="Tabella61999122145" displayName="Tabella61999122145" ref="A10:A11" totalsRowShown="0">
  <autoFilter ref="A10:A11" xr:uid="{EBAD8B2B-7816-44DE-867A-C80A23B2F7AF}"/>
  <tableColumns count="1">
    <tableColumn id="1" xr3:uid="{583C5781-A9A7-419A-8DA0-AB32133590F7}" name="Simmetry Number"/>
  </tableColumns>
  <tableStyleInfo name="TableStyleLight13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8C10B462-49C9-4764-9F6B-EED74F5B4126}" name="Tabella820100123146" displayName="Tabella820100123146" ref="D13:H31" totalsRowShown="0">
  <autoFilter ref="D13:H31" xr:uid="{D37DB2BB-42C8-44C8-829B-D34114293CBD}"/>
  <tableColumns count="5">
    <tableColumn id="1" xr3:uid="{AE8809D2-5DAC-42E1-8CD7-096281BF1ACF}" name="Temperatura"/>
    <tableColumn id="2" xr3:uid="{7F10785C-D367-4676-9E84-83A53A05A76A}" name="Qvib1" dataDxfId="123">
      <calculatedColumnFormula array="1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calculatedColumnFormula>
    </tableColumn>
    <tableColumn id="3" xr3:uid="{AF9624EA-D9D0-41FC-80A9-9B57C4A12C1A}" name="Qvib2" dataDxfId="77">
      <calculatedColumnFormula array="1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calculatedColumnFormula>
    </tableColumn>
    <tableColumn id="4" xr3:uid="{369A52B6-6309-4058-BD38-1944132CAF70}" name="Qvib3" dataDxfId="76">
      <calculatedColumnFormula array="1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calculatedColumnFormula>
    </tableColumn>
    <tableColumn id="5" xr3:uid="{9C206533-EB3A-44C0-8D70-52D6DD508C69}" name="Qtot" dataDxfId="122">
      <calculatedColumnFormula>PRODUCT(Tabella820100123146[[#This Row],[Qvib1]:[Qvib3]])</calculatedColumnFormula>
    </tableColumn>
  </tableColumns>
  <tableStyleInfo name="TableStyleLight13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CC7AEED2-CCCD-4E8F-8664-253253D53F76}" name="Tabella122101124147" displayName="Tabella122101124147" ref="A64:D82" totalsRowShown="0" headerRowDxfId="121" dataDxfId="120" tableBorderDxfId="119">
  <autoFilter ref="A64:D82" xr:uid="{6C35C47E-9B0C-4516-B80D-9D65F8ED9043}"/>
  <tableColumns count="4">
    <tableColumn id="1" xr3:uid="{C04FDACB-EADC-43A5-A6AD-89C7C2DD527D}" name="Temperatura" dataDxfId="118"/>
    <tableColumn id="2" xr3:uid="{56898897-AB45-4103-B115-2CEF3B886403}" name="Translational Factor" dataDxfId="117">
      <calculatedColumnFormula array="1">POWER((2*Tabella3397120143[Pi Greco]*Tabella3397120143[Massa]*Tabella3397120143[Boltzmann k]*Tabella122101124147[[#This Row],[Temperatura]])/(POWER(Tabella3397120143[Planck h],2)),1.5)</calculatedColumnFormula>
    </tableColumn>
    <tableColumn id="3" xr3:uid="{515E308B-6FB6-4DAC-A6BA-E4C988D67FE6}" name="Volume" dataDxfId="116">
      <calculatedColumnFormula array="1">(Tabella122101124147[[#This Row],[Temperatura]]*Tabella3397120143[Rydberg R])/101325</calculatedColumnFormula>
    </tableColumn>
    <tableColumn id="4" xr3:uid="{AF8D2076-EAD3-4908-9851-36C286CF54A5}" name="S Translational" dataDxfId="115">
      <calculatedColumnFormula array="1">Tabella3397120143[Rydberg R]*LN((Tabella122101124147[[#This Row],[Volume]]/Tabella3397120143[Avogadro N])*EXP(2.5)*Tabella122101124147[[#This Row],[Translational Factor]])</calculatedColumnFormula>
    </tableColumn>
  </tableColumns>
  <tableStyleInfo name="TableStyleLight8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1F6D2BF0-7A5A-4525-B26D-C11455B2A2A0}" name="Tabella1023102125148" displayName="Tabella1023102125148" ref="J64:K67" totalsRowShown="0" dataDxfId="114" tableBorderDxfId="113">
  <autoFilter ref="J64:K67" xr:uid="{8EE75784-2FE5-4D07-A21C-99C9C9FBF68B}"/>
  <tableColumns count="2">
    <tableColumn id="1" xr3:uid="{C3F4F46E-5BC7-4DA6-8BB4-43DD8BDDC396}" name="Frequencies[s^-1]" dataDxfId="112">
      <calculatedColumnFormula>B14</calculatedColumnFormula>
    </tableColumn>
    <tableColumn id="2" xr3:uid="{7B42F18B-5157-40AB-99BE-F17708BFF896}" name="Theta vib" dataDxfId="111">
      <calculatedColumnFormula array="1">(Tabella3397120143[Planck h]*Tabella1023102125148[[#This Row],[Frequencies'[s^-1']]])/Tabella3397120143[Boltzmann k]</calculatedColumnFormula>
    </tableColumn>
  </tableColumns>
  <tableStyleInfo name="TableStyleLight9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E5A7A395-D9E1-453F-8810-2D829D39C3F5}" name="Tabella1124103126149" displayName="Tabella1124103126149" ref="M66:Q84" totalsRowShown="0" headerRowDxfId="110" dataDxfId="109" tableBorderDxfId="108">
  <autoFilter ref="M66:Q84" xr:uid="{FB331EE4-0E00-483A-969A-3E85182E1038}"/>
  <tableColumns count="5">
    <tableColumn id="1" xr3:uid="{0BFEFFC8-5100-468B-AF83-FB41958345A5}" name="Temperatura" dataDxfId="107"/>
    <tableColumn id="2" xr3:uid="{1C37F420-CAE1-4AB5-BA29-A7EAE5B08C0D}" name="S vib 1" dataDxfId="106">
      <calculatedColumnFormula array="1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calculatedColumnFormula>
    </tableColumn>
    <tableColumn id="3" xr3:uid="{723A88B0-E224-459B-BB37-BB9E2EEB842C}" name="S vib 2" dataDxfId="73">
      <calculatedColumnFormula array="1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calculatedColumnFormula>
    </tableColumn>
    <tableColumn id="4" xr3:uid="{18770248-1D0C-41AE-876D-D45FAA8184F2}" name="S vib 3" dataDxfId="72">
      <calculatedColumnFormula array="1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calculatedColumnFormula>
    </tableColumn>
    <tableColumn id="11" xr3:uid="{0399AAAD-7537-495B-AEF4-FE0029BEBDFB}" name="S vib tot" dataDxfId="105">
      <calculatedColumnFormula array="1">Tabella3397120143[Rydberg R]*SUM(Tabella1124103126149[[#This Row],[S vib 1]:[S vib 3]])</calculatedColumnFormula>
    </tableColumn>
  </tableColumns>
  <tableStyleInfo name="TableStyleLight9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13D5392F-D4C7-4C5C-BD08-CC59B7444E2F}" name="Tabella1225104127150" displayName="Tabella1225104127150" ref="N64:P65" totalsRowShown="0">
  <autoFilter ref="N64:P65" xr:uid="{A82CBD88-6239-4EFA-8EF2-2B939CA10E1C}"/>
  <tableColumns count="3">
    <tableColumn id="1" xr3:uid="{7E165EC1-3908-4364-89CC-A8EDAA5BD28C}" name="Theta vib 1" dataDxfId="104">
      <calculatedColumnFormula>Tabella1023102125148[[#This Row],[Theta vib]]</calculatedColumnFormula>
    </tableColumn>
    <tableColumn id="2" xr3:uid="{AD2AE8CB-BADA-4B7F-B051-14B9D1572C7B}" name="Theta vib 2" dataDxfId="75">
      <calculatedColumnFormula>K66</calculatedColumnFormula>
    </tableColumn>
    <tableColumn id="3" xr3:uid="{A3EE812C-5236-4928-883C-2BADD1308D4C}" name="Theta vib 3" dataDxfId="74">
      <calculatedColumnFormula>K67</calculatedColumnFormula>
    </tableColumn>
  </tableColumns>
  <tableStyleInfo name="TableStyleLight9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8285E2B4-3E34-4E42-8670-406D76F382CB}" name="Tabella1326105128151" displayName="Tabella1326105128151" ref="F64:H82" totalsRowShown="0" headerRowDxfId="103" dataDxfId="102" tableBorderDxfId="101">
  <autoFilter ref="F64:H82" xr:uid="{A17DD12F-9A79-4CF9-8CE2-7C42CC50F3FE}"/>
  <tableColumns count="3">
    <tableColumn id="1" xr3:uid="{45B527EE-C8F4-425B-A1FC-3D0868AAF47C}" name="Temperatura" dataDxfId="100"/>
    <tableColumn id="2" xr3:uid="{191B7643-A494-4AB5-85E0-75B35127C436}" name="S rotational" dataDxfId="99">
      <calculatedColumnFormula array="1">Tabella3397120143[Rydberg R]*LN((EXP(1)*Tabella1326105128151[[#This Row],[Temperatura]])/(Tabella3119142165[Theta rot]*Tabella61999122145[Simmetry Number]))</calculatedColumnFormula>
    </tableColumn>
    <tableColumn id="3" xr3:uid="{8877B39C-D5A4-42F4-97BA-B38E38B2E5EC}" name="S rotational gaussian" dataDxfId="41">
      <calculatedColumnFormula array="1">Tabella3397120143[Rydberg R]*(1.5 + LN(SQRT((PI()*POWER(Tabella1326105128151[[#This Row],[Temperatura]],3))/(Tabella61999122145[Simmetry Number]*Tabella61999122145[Simmetry Number]*PRODUCT(Tabella4811[])))))</calculatedColumnFormula>
    </tableColumn>
  </tableColumns>
  <tableStyleInfo name="TableStyleLight8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2E8E1045-C9BB-4F68-A9FC-3FB75965CE98}" name="Tabella1528106129152" displayName="Tabella1528106129152" ref="A102:C120" totalsRowShown="0" headerRowDxfId="98" dataDxfId="97" tableBorderDxfId="96">
  <autoFilter ref="A102:C120" xr:uid="{9F3C7E0C-6472-472D-B323-A5A9CEF9C677}"/>
  <tableColumns count="3">
    <tableColumn id="1" xr3:uid="{09581931-3EDF-4288-8123-0A7D2EE4ADF6}" name="Temperatura" dataDxfId="95"/>
    <tableColumn id="2" xr3:uid="{E56AFDA7-1C1B-44CA-8C7F-EA0BEABDD473}" name="CvRot" dataDxfId="94">
      <calculatedColumnFormula array="1">(3/2)*Tabella3397120143[Rydberg R]</calculatedColumnFormula>
    </tableColumn>
    <tableColumn id="3" xr3:uid="{EEE70558-7259-45C3-B5AB-546A362D4C06}" name="Cv translational" dataDxfId="93">
      <calculatedColumnFormula array="1">(3/2)*Tabella3397120143[Rydberg R]</calculatedColumnFormula>
    </tableColumn>
  </tableColumns>
  <tableStyleInfo name="TableStyleLight8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F9586DA0-7113-4BA6-A1DA-B2EF9F45A394}" name="Tabella1629107130153" displayName="Tabella1629107130153" ref="F104:J122" totalsRowShown="0" headerRowDxfId="92" dataDxfId="91" tableBorderDxfId="90">
  <autoFilter ref="F104:J122" xr:uid="{DAFD7C16-9C1B-4A4A-B059-8463D2A36B1F}"/>
  <tableColumns count="5">
    <tableColumn id="1" xr3:uid="{9DCF42F8-E2AA-4C4E-98F4-5850D11B398F}" name="Temperatura" dataDxfId="89"/>
    <tableColumn id="2" xr3:uid="{C2A1E306-FD72-4B45-8795-0CB44C067EAC}" name="Cv vib1" dataDxfId="88">
      <calculatedColumnFormula array="1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calculatedColumnFormula>
    </tableColumn>
    <tableColumn id="3" xr3:uid="{51B04A65-5C29-46DB-9C17-B5B9583E2792}" name="Cv vib2" dataDxfId="69">
      <calculatedColumnFormula array="1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calculatedColumnFormula>
    </tableColumn>
    <tableColumn id="4" xr3:uid="{BB6A13EA-29F5-4966-B381-0F1EC645E6AF}" name="Cv vib3" dataDxfId="68">
      <calculatedColumnFormula array="1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calculatedColumnFormula>
    </tableColumn>
    <tableColumn id="11" xr3:uid="{4048C06C-E9D3-485D-97D0-13B664756C7C}" name="Cv vib tot" dataDxfId="87">
      <calculatedColumnFormula array="1">Tabella1629107130153[[#This Row],[Cv vib1]]*Tabella3397120143[Rydberg R]</calculatedColumnFormula>
    </tableColumn>
  </tableColumns>
  <tableStyleInfo name="TableStyleLight8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CC34E810-979F-4D01-811A-7563366E71B3}" name="Tabella31108131154" displayName="Tabella31108131154" ref="G102:I103" totalsRowShown="0">
  <autoFilter ref="G102:I103" xr:uid="{F01860CF-8839-4E82-B3A6-2D294853C5A7}"/>
  <tableColumns count="3">
    <tableColumn id="1" xr3:uid="{C6D76CBD-8626-4233-8825-72962AE2AEDC}" name="Theta vib1" dataDxfId="86">
      <calculatedColumnFormula>K65</calculatedColumnFormula>
    </tableColumn>
    <tableColumn id="2" xr3:uid="{293DC6AB-E2DB-443F-B9BA-01539169EE26}" name="Theta vib2" dataDxfId="71">
      <calculatedColumnFormula>K66</calculatedColumnFormula>
    </tableColumn>
    <tableColumn id="3" xr3:uid="{C506374B-C664-4931-B2BD-261D58CC63CD}" name="Theta vib3" dataDxfId="70">
      <calculatedColumnFormula>K67</calculatedColumnFormula>
    </tableColumn>
  </tableColumns>
  <tableStyleInfo name="TableStyleLight8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xr:uid="{83E7F174-BF88-4432-8A2E-1E1432CC85F8}" name="Tabella47109132155" displayName="Tabella47109132155" ref="A13:B16" totalsRowShown="0">
  <autoFilter ref="A13:B16" xr:uid="{996FA648-1F19-4D59-83D9-D4B2B2E632E9}"/>
  <tableColumns count="2">
    <tableColumn id="1" xr3:uid="{9EEEA5B4-61F1-44D6-9FE1-4AD414147926}" name="Wavenumbers [cm^-1]" dataDxfId="78">
      <calculatedColumnFormula>1396.378</calculatedColumnFormula>
    </tableColumn>
    <tableColumn id="2" xr3:uid="{52882FA7-8DEB-4E48-848F-EF963FB81CDA}" name="Frequencies [s^-1]" dataDxfId="85">
      <calculatedColumnFormula array="1">Tabella47109132155[[#This Row],[Wavenumbers '[cm^-1']]]*Tabella3397120143[Speed of Light '[cm/s']]</calculatedColumnFormula>
    </tableColumn>
  </tableColumns>
  <tableStyleInfo name="TableStyleLight9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xr:uid="{8407B2AC-9611-4394-A3E5-750058B9FE3C}" name="Tabella49110133156" displayName="Tabella49110133156" ref="E11:G12" totalsRowShown="0">
  <autoFilter ref="E11:G12" xr:uid="{E2735D04-D63D-4F0F-9401-08A62264EBAF}"/>
  <tableColumns count="3">
    <tableColumn id="1" xr3:uid="{8DB4D1CA-700B-436B-BA4F-949B032AB483}" name="Frequency1">
      <calculatedColumnFormula>B14</calculatedColumnFormula>
    </tableColumn>
    <tableColumn id="2" xr3:uid="{4F7F51D0-42E8-4B3D-A18D-EF76CCE4CBBD}" name="Frequency2">
      <calculatedColumnFormula>B15</calculatedColumnFormula>
    </tableColumn>
    <tableColumn id="3" xr3:uid="{99CC6F22-C15E-4FB2-A9CE-AC3E63AF92FE}" name="Frequency3">
      <calculatedColumnFormula>B16</calculatedColumnFormula>
    </tableColumn>
  </tableColumns>
  <tableStyleInfo name="TableStyleLight9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xr:uid="{54D9C458-8AFC-40E7-9635-9D2D5AE8DC5B}" name="Tabella50111134157" displayName="Tabella50111134157" ref="A4:C7" totalsRowShown="0">
  <autoFilter ref="A4:C7" xr:uid="{ED80CB8D-EC6B-4526-9897-F7F1F271AD77}"/>
  <tableColumns count="3">
    <tableColumn id="2" xr3:uid="{1D8CAD45-A3F0-46C7-8E79-B136DE0E5A4A}" name="Rotational Constants [Ghz]" dataDxfId="79">
      <calculatedColumnFormula>#REF!*(0.000000000000000001)</calculatedColumnFormula>
    </tableColumn>
    <tableColumn id="1" xr3:uid="{FCCF0147-B02B-42C1-985B-95D626FB6766}" name="Rotational Constant [m^-1]" dataDxfId="84">
      <calculatedColumnFormula array="1">((Tabella50111134157[[#This Row],[Rotational Constants '[Ghz']]]*1000000000)/Tabella3397120143[Speed of Light '[cm/s']])*100</calculatedColumnFormula>
    </tableColumn>
    <tableColumn id="3" xr3:uid="{5E5AED69-A9EE-4E94-BB7A-95535A996059}" name="Moments of Inertia" dataDxfId="83">
      <calculatedColumnFormula array="1">Tabella3397120143[Planck h]/(8*POWER(Tabella3397120143[Pi Greco],2)*Tabella50111134157[[#This Row],[Rotational Constant '[m^-1']]]*Tabella3397120143[Speed of Light '[m/s']])</calculatedColumnFormula>
    </tableColumn>
  </tableColumns>
  <tableStyleInfo name="TableStyleLight9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xr:uid="{4781D8B9-E7FD-4F9A-B2F8-02CC6F4C7BFF}" name="Tabella7112135158" displayName="Tabella7112135158" ref="H39:H43" totalsRowShown="0">
  <autoFilter ref="H39:H43" xr:uid="{DC896B14-2565-4F53-9934-EB62D07E7FDD}"/>
  <tableColumns count="1">
    <tableColumn id="1" xr3:uid="{6F627385-EF63-406C-A58C-4ECAFF09951A}" name="Quantity"/>
  </tableColumns>
  <tableStyleInfo name="TableStyleLight8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xr:uid="{E66D4C08-9720-46B4-B4F5-953BC45C9A42}" name="Tabella20113136159" displayName="Tabella20113136159" ref="I39:K43" totalsRowShown="0">
  <autoFilter ref="I39:K43" xr:uid="{A3CE8655-6713-4EB5-9CE7-2B16E2052A9D}"/>
  <tableColumns count="3">
    <tableColumn id="1" xr3:uid="{3B9C1E35-3EF7-4A62-A863-2DD18BB3EF46}" name="My value"/>
    <tableColumn id="2" xr3:uid="{7AB7B493-5208-494C-8B8B-E40F64B1EA00}" name="Gaussian"/>
    <tableColumn id="3" xr3:uid="{080F44A0-F95A-4791-BFC2-FB7CB22A2983}" name="Error" dataDxfId="82">
      <calculatedColumnFormula>ABS(Tabella20113136159[[#This Row],[My value]]-Tabella20113136159[[#This Row],[Gaussian]])/Tabella20113136159[[#This Row],[Gaussian]]</calculatedColumnFormula>
    </tableColumn>
  </tableColumns>
  <tableStyleInfo name="TableStyleLight8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xr:uid="{EEA86321-F77A-452A-BEC6-61B467265295}" name="Tabella752114137160" displayName="Tabella752114137160" ref="A94:A99" totalsRowShown="0">
  <autoFilter ref="A94:A99" xr:uid="{F44446F7-52EC-4ED6-8324-30F54D6F0E77}"/>
  <tableColumns count="1">
    <tableColumn id="1" xr3:uid="{6BE052D3-847B-4059-BFCA-061E4126E45F}" name="Quantity"/>
  </tableColumns>
  <tableStyleInfo name="TableStyleLight8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xr:uid="{67EAB844-1553-4F5A-96D5-DA9C1B293F5A}" name="Tabella2054115138161" displayName="Tabella2054115138161" ref="B94:D99" totalsRowShown="0">
  <autoFilter ref="B94:D99" xr:uid="{EC658338-0D93-48EE-8A7F-E81918A14874}"/>
  <tableColumns count="3">
    <tableColumn id="1" xr3:uid="{BF7D5F6F-6E1D-404C-9166-B3A531B3232B}" name="My value"/>
    <tableColumn id="2" xr3:uid="{B733B1BD-0B22-4B66-9FA7-EC8C2F123B78}" name="Gaussian"/>
    <tableColumn id="3" xr3:uid="{281B6DE0-FB0E-4FC2-89F1-2E221C669327}" name="Error" dataDxfId="81">
      <calculatedColumnFormula>ABS(Tabella2054115138161[[#This Row],[My value]]-Tabella2054115138161[[#This Row],[Gaussian]])/Tabella2054115138161[[#This Row],[Gaussian]]</calculatedColumnFormula>
    </tableColumn>
  </tableColumns>
  <tableStyleInfo name="TableStyleLight8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xr:uid="{335A4287-292D-40A1-A81D-DFC8793F4C38}" name="Tabella75255116139162" displayName="Tabella75255116139162" ref="A131:A134" totalsRowShown="0">
  <autoFilter ref="A131:A134" xr:uid="{3736FD76-1335-4481-A6EF-262495CFCDB9}"/>
  <tableColumns count="1">
    <tableColumn id="1" xr3:uid="{8D82251C-B73E-42F6-81DE-9F4DE898B95D}" name="Quantity"/>
  </tableColumns>
  <tableStyleInfo name="TableStyleLight8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xr:uid="{388867B6-C239-4B64-88A8-98988254A72E}" name="Tabella205456117140163" displayName="Tabella205456117140163" ref="B131:D134" totalsRowShown="0">
  <autoFilter ref="B131:D134" xr:uid="{64FE77C4-A904-4677-B931-753AFEA0DEDA}"/>
  <tableColumns count="3">
    <tableColumn id="1" xr3:uid="{872103E1-8A55-40D8-92DE-460A275A6D4A}" name="My value"/>
    <tableColumn id="2" xr3:uid="{F877F10F-C2EF-4B0D-82B7-57B9238EE78E}" name="Gaussian"/>
    <tableColumn id="3" xr3:uid="{E86DA116-7C8C-48F3-AA6E-D00350CAABB2}" name="Error" dataDxfId="80">
      <calculatedColumnFormula>ABS(Tabella205456117140163[[#This Row],[My value]]-Tabella205456117140163[[#This Row],[Gaussian]])/Tabella205456117140163[[#This Row],[Gaussian]]</calculatedColumnFormula>
    </tableColumn>
  </tableColumns>
  <tableStyleInfo name="TableStyleLight8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xr:uid="{B4F16A46-3862-40CC-BDB9-2BE11CC77CC4}" name="Tabella1118141164" displayName="Tabella1118141164" ref="D4:D5" totalsRowShown="0">
  <autoFilter ref="D4:D5" xr:uid="{3C990FC7-FE5D-452F-ADBD-18102BAA2FD2}"/>
  <tableColumns count="1">
    <tableColumn id="1" xr3:uid="{ACB03515-7D2D-4C29-8614-BB5896369654}" name="Total Moment of Inertia">
      <calculatedColumnFormula>SQRT(PRODUCT(Tabella50111134157[Moments of Inertia]))</calculatedColumnFormula>
    </tableColumn>
  </tableColumns>
  <tableStyleInfo name="TableStyleLight9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xr:uid="{F9AFEF80-3E29-44BD-A2C5-FFC7ACCB3CB8}" name="Tabella3119142165" displayName="Tabella3119142165" ref="E4:E5" totalsRowShown="0">
  <autoFilter ref="E4:E5" xr:uid="{19FCCA57-C0DF-4544-90B5-3B6D943A2ED0}"/>
  <tableColumns count="1">
    <tableColumn id="1" xr3:uid="{0B7E88E9-0068-4CBB-BB21-B005298C7BD8}" name="Theta rot">
      <calculatedColumnFormula array="1">POWER(Tabella3397120143[Planck h],2)/(8*POWER(Tabella3397120143[Pi Greco],2)*Tabella1118141164[[#This Row],[Total Moment of Inertia]]*Tabella3397120143[Boltzmann k])</calculatedColumnFormula>
    </tableColumn>
  </tableColumns>
  <tableStyleInfo name="TableStyleLight9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8FCACC-9460-4B9E-BB55-70BF8088611A}" name="Tabella4811" displayName="Tabella4811" ref="F61:H62" totalsRowShown="0" dataDxfId="45">
  <autoFilter ref="F61:H62" xr:uid="{268FCACC-9460-4B9E-BB55-70BF8088611A}"/>
  <tableColumns count="3">
    <tableColumn id="1" xr3:uid="{DECA3587-50E0-408B-A08C-14A9A6DF3261}" name="Rotational Temp 1" dataDxfId="44">
      <calculatedColumnFormula>11.29997</calculatedColumnFormula>
    </tableColumn>
    <tableColumn id="2" xr3:uid="{CB3F3BD4-FBC4-48BD-BACE-5197228E1E76}" name="Rotational Temp 2" dataDxfId="43">
      <calculatedColumnFormula>0.61958</calculatedColumnFormula>
    </tableColumn>
    <tableColumn id="3" xr3:uid="{E27A91D4-DF4D-4C15-8467-37A2D1CDDF82}" name="Rotational Temp 3" dataDxfId="42">
      <calculatedColumnFormula>0.58737</calculatedColumnFormula>
    </tableColumn>
  </tableColumns>
  <tableStyleInfo name="TableStyleLight9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F203A6-229B-420C-BE94-707296FB97FC}" name="Tabella11" displayName="Tabella11" ref="B9:F27" totalsRowShown="0">
  <autoFilter ref="B9:F27" xr:uid="{50F203A6-229B-420C-BE94-707296FB97FC}"/>
  <tableColumns count="5">
    <tableColumn id="1" xr3:uid="{ED72308F-CDE7-44D9-81B7-D937AC2FCF42}" name="Temperatura"/>
    <tableColumn id="2" xr3:uid="{0DDCA67C-B7BA-4815-ABBE-CA0C19DCB329}" name="CH4" dataDxfId="35">
      <calculatedColumnFormula>metano!C38</calculatedColumnFormula>
    </tableColumn>
    <tableColumn id="3" xr3:uid="{8C314000-B964-4CE1-A538-8983B5F222C4}" name="H2O" dataDxfId="34">
      <calculatedColumnFormula>acqua!C38</calculatedColumnFormula>
    </tableColumn>
    <tableColumn id="4" xr3:uid="{AD10C167-5FBB-4200-B07F-135D873315DF}" name="CO" dataDxfId="33">
      <calculatedColumnFormula>'monossido di carbonio'!C38</calculatedColumnFormula>
    </tableColumn>
    <tableColumn id="5" xr3:uid="{61C4A2F4-736A-4C25-A256-0208F64C84EF}" name="NO2" dataDxfId="32">
      <calculatedColumnFormula>'diossido di azoto'!C38</calculatedColumnFormula>
    </tableColumn>
  </tableColumns>
  <tableStyleInfo name="TableStyleLight9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0F3E8C-707B-49B2-8CA9-774D06D63C8C}" name="Tabella1113" displayName="Tabella1113" ref="T9:X27" totalsRowShown="0">
  <autoFilter ref="T9:X27" xr:uid="{5B0F3E8C-707B-49B2-8CA9-774D06D63C8C}"/>
  <tableColumns count="5">
    <tableColumn id="1" xr3:uid="{379567AC-51B6-40AB-B472-25282D51F310}" name="Temperatura"/>
    <tableColumn id="2" xr3:uid="{B2D4A0DB-3E16-4DF7-B375-2120DE8796B5}" name="CH4" dataDxfId="31">
      <calculatedColumnFormula>metano!E38</calculatedColumnFormula>
    </tableColumn>
    <tableColumn id="3" xr3:uid="{29E1CC51-161C-4B6A-990E-C17D438DA9B9}" name="H2O" dataDxfId="30">
      <calculatedColumnFormula>acqua!E38</calculatedColumnFormula>
    </tableColumn>
    <tableColumn id="4" xr3:uid="{5DDD4911-3F8D-4DD9-BB0A-316207B1DB8B}" name="CO" dataDxfId="29">
      <calculatedColumnFormula>'monossido di carbonio'!E38</calculatedColumnFormula>
    </tableColumn>
    <tableColumn id="5" xr3:uid="{0D5DB85B-1114-401A-BDD9-14D53F14DC90}" name="NO2" dataDxfId="28">
      <calculatedColumnFormula>'diossido di azoto'!E38</calculatedColumnFormula>
    </tableColumn>
  </tableColumns>
  <tableStyleInfo name="TableStyleLight9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F5E0538-B34C-43D4-ACC1-8A50BFA2D655}" name="Tabella1114" displayName="Tabella1114" ref="B32:F50" totalsRowShown="0">
  <autoFilter ref="B32:F50" xr:uid="{CF5E0538-B34C-43D4-ACC1-8A50BFA2D655}"/>
  <tableColumns count="5">
    <tableColumn id="1" xr3:uid="{D1636C1B-D474-4648-86A2-73732AF283AA}" name="Temperatura"/>
    <tableColumn id="2" xr3:uid="{712A130E-9052-4A21-85C2-5A93EC91B9E9}" name="CH4" dataDxfId="27">
      <calculatedColumnFormula>metano!D38</calculatedColumnFormula>
    </tableColumn>
    <tableColumn id="3" xr3:uid="{51581EA5-9AC4-47E6-828A-5565C29E7A0A}" name="H2O" dataDxfId="26">
      <calculatedColumnFormula>acqua!D38</calculatedColumnFormula>
    </tableColumn>
    <tableColumn id="4" xr3:uid="{DEF09E7E-A8AF-4793-BA83-FDE122CC657F}" name="CO" dataDxfId="25">
      <calculatedColumnFormula>'monossido di carbonio'!D38</calculatedColumnFormula>
    </tableColumn>
    <tableColumn id="5" xr3:uid="{6A979778-31ED-41AD-B756-8398F8C6985F}" name="NO2" dataDxfId="24">
      <calculatedColumnFormula>'diossido di azoto'!D38</calculatedColumnFormula>
    </tableColumn>
  </tableColumns>
  <tableStyleInfo name="TableStyleLight9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F55FDA-CADF-4870-AD72-57BF01CBFF19}" name="Tabella111415" displayName="Tabella111415" ref="B62:F80" totalsRowShown="0">
  <autoFilter ref="B62:F80" xr:uid="{55F55FDA-CADF-4870-AD72-57BF01CBFF19}"/>
  <tableColumns count="5">
    <tableColumn id="1" xr3:uid="{E1407C25-EFAF-4D8C-BEA6-CFA70D3ECB43}" name="Temperatura"/>
    <tableColumn id="2" xr3:uid="{1183869F-B58D-4322-AD79-DD9831A56A74}" name="CH4" dataDxfId="23">
      <calculatedColumnFormula>metano!D65</calculatedColumnFormula>
    </tableColumn>
    <tableColumn id="3" xr3:uid="{91B8EE84-1F0E-41BC-94D4-FCB4FFE58609}" name="H2O" dataDxfId="22">
      <calculatedColumnFormula>acqua!D65</calculatedColumnFormula>
    </tableColumn>
    <tableColumn id="4" xr3:uid="{E000D374-DD8A-4C3B-A8AF-479450CA841B}" name="CO" dataDxfId="21">
      <calculatedColumnFormula>'monossido di carbonio'!D65</calculatedColumnFormula>
    </tableColumn>
    <tableColumn id="5" xr3:uid="{2F46CE13-E207-49C0-959E-39B2CC768CF9}" name="NO2" dataDxfId="20">
      <calculatedColumnFormula>'diossido di azoto'!D65</calculatedColumnFormula>
    </tableColumn>
  </tableColumns>
  <tableStyleInfo name="TableStyleLight9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7322B6-F5AA-4B02-874C-2676F39182A2}" name="Tabella11141516" displayName="Tabella11141516" ref="T62:X80" totalsRowShown="0">
  <autoFilter ref="T62:X80" xr:uid="{377322B6-F5AA-4B02-874C-2676F39182A2}"/>
  <tableColumns count="5">
    <tableColumn id="1" xr3:uid="{7CA2A437-A062-4D09-BF22-D72A2112DB6C}" name="Temperatura"/>
    <tableColumn id="2" xr3:uid="{7CF798A6-FAEE-41D1-B51D-E3970D9F34C3}" name="CH4" dataDxfId="19">
      <calculatedColumnFormula>metano!H65</calculatedColumnFormula>
    </tableColumn>
    <tableColumn id="3" xr3:uid="{6155ADEB-28D8-413E-9DF9-7BBA4EB9FF38}" name="H2O" dataDxfId="18">
      <calculatedColumnFormula>acqua!H66</calculatedColumnFormula>
    </tableColumn>
    <tableColumn id="4" xr3:uid="{B4AC890D-D8AF-41A1-8944-83EE9BA3CA6C}" name="CO" dataDxfId="17">
      <calculatedColumnFormula>'monossido di carbonio'!H66</calculatedColumnFormula>
    </tableColumn>
    <tableColumn id="5" xr3:uid="{F45C1EA0-B9AB-4325-B3CC-F60017FD2B96}" name="NO2" dataDxfId="16">
      <calculatedColumnFormula>'diossido di azoto'!H65</calculatedColumnFormula>
    </tableColumn>
  </tableColumns>
  <tableStyleInfo name="TableStyleLight9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2D54B2E-9886-457D-845E-6DAE43FA6D4D}" name="Tabella11141517" displayName="Tabella11141517" ref="B85:F103" totalsRowShown="0">
  <autoFilter ref="B85:F103" xr:uid="{42D54B2E-9886-457D-845E-6DAE43FA6D4D}"/>
  <tableColumns count="5">
    <tableColumn id="1" xr3:uid="{4AEF9BAD-CC05-4C1C-B1CA-3A65F0275493}" name="Temperatura"/>
    <tableColumn id="2" xr3:uid="{41B84AFF-0839-44A2-B90F-E8D6B80B7AC7}" name="CH4" dataDxfId="15">
      <calculatedColumnFormula>metano!X67</calculatedColumnFormula>
    </tableColumn>
    <tableColumn id="3" xr3:uid="{6B190D2E-F3F9-4EC9-9B7B-A2C566F74D92}" name="H2O" dataDxfId="14">
      <calculatedColumnFormula>acqua!Q67</calculatedColumnFormula>
    </tableColumn>
    <tableColumn id="4" xr3:uid="{5CF74D1B-0216-47A4-8203-696ED4A049F6}" name="CO" dataDxfId="13">
      <calculatedColumnFormula>'monossido di carbonio'!O67</calculatedColumnFormula>
    </tableColumn>
    <tableColumn id="5" xr3:uid="{4188EA3C-7824-456E-B246-F5D04572C52C}" name="NO2" dataDxfId="12">
      <calculatedColumnFormula>'diossido di azoto'!Q67</calculatedColumnFormula>
    </tableColumn>
  </tableColumns>
  <tableStyleInfo name="TableStyleLight9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E0ED93E-5D50-44A1-9957-D342A48D4A96}" name="Tabella1114151727" displayName="Tabella1114151727" ref="B113:F131" totalsRowShown="0">
  <autoFilter ref="B113:F131" xr:uid="{AE0ED93E-5D50-44A1-9957-D342A48D4A96}"/>
  <tableColumns count="5">
    <tableColumn id="1" xr3:uid="{76C7900D-D9ED-45EC-B74F-AD78E8E8CC63}" name="Temperatura"/>
    <tableColumn id="2" xr3:uid="{A8AC2073-5D15-4623-9830-16C82BA5C306}" name="CH4" dataDxfId="11">
      <calculatedColumnFormula>metano!C103</calculatedColumnFormula>
    </tableColumn>
    <tableColumn id="3" xr3:uid="{FDABCBDF-4430-437E-90C4-97DF3E140247}" name="H2O" dataDxfId="10">
      <calculatedColumnFormula>acqua!C103</calculatedColumnFormula>
    </tableColumn>
    <tableColumn id="4" xr3:uid="{1EEDCA75-35E6-4C7C-A885-05E61D083687}" name="CO" dataDxfId="9">
      <calculatedColumnFormula>'monossido di carbonio'!C104</calculatedColumnFormula>
    </tableColumn>
    <tableColumn id="5" xr3:uid="{1A817B33-12E8-4C47-AEBD-FE12289B05AE}" name="NO2" dataDxfId="8">
      <calculatedColumnFormula>'diossido di azoto'!C103</calculatedColumnFormula>
    </tableColumn>
  </tableColumns>
  <tableStyleInfo name="TableStyleLight9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2181C37-BD93-482E-8082-2CF871075671}" name="Tabella111415172730" displayName="Tabella111415172730" ref="B136:F154" totalsRowShown="0">
  <autoFilter ref="B136:F154" xr:uid="{C2181C37-BD93-482E-8082-2CF871075671}"/>
  <tableColumns count="5">
    <tableColumn id="1" xr3:uid="{B4464CDF-50B4-4E88-A974-CADB1ADEB791}" name="Temperatura"/>
    <tableColumn id="2" xr3:uid="{E052DDFC-F92C-4B16-9560-F9AE78E3F6EB}" name="CH4" dataDxfId="7">
      <calculatedColumnFormula>metano!P105</calculatedColumnFormula>
    </tableColumn>
    <tableColumn id="3" xr3:uid="{3348B3C9-60A3-4CDC-A7C1-725C34500166}" name="H2O" dataDxfId="6">
      <calculatedColumnFormula>acqua!J105</calculatedColumnFormula>
    </tableColumn>
    <tableColumn id="4" xr3:uid="{48E29ECF-A5FC-4B81-8004-D4C255A64588}" name="CO" dataDxfId="5">
      <calculatedColumnFormula>'monossido di carbonio'!H106</calculatedColumnFormula>
    </tableColumn>
    <tableColumn id="5" xr3:uid="{9D6D1A70-B7D4-4221-B19A-5C95D6072BE6}" name="NO2" dataDxfId="4">
      <calculatedColumnFormula>'diossido di azoto'!J105</calculatedColumnFormula>
    </tableColumn>
  </tableColumns>
  <tableStyleInfo name="TableStyleLight9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195CDE7-4F76-4188-9357-19AC647EA885}" name="Tabella111415172731" displayName="Tabella111415172731" ref="H113:L131" totalsRowShown="0">
  <autoFilter ref="H113:L131" xr:uid="{2195CDE7-4F76-4188-9357-19AC647EA885}"/>
  <tableColumns count="5">
    <tableColumn id="1" xr3:uid="{CDFDE113-F6D1-4ABB-8E0C-3C5C16B2CF17}" name="Temperatura"/>
    <tableColumn id="2" xr3:uid="{FA25DD62-D91D-4BA7-912B-5F6840D0FEC6}" name="CH4" dataDxfId="3">
      <calculatedColumnFormula>metano!B103</calculatedColumnFormula>
    </tableColumn>
    <tableColumn id="3" xr3:uid="{5E143D80-6BE6-43F9-A07A-F1F89B01CBAB}" name="H2O" dataDxfId="2">
      <calculatedColumnFormula>acqua!B103</calculatedColumnFormula>
    </tableColumn>
    <tableColumn id="4" xr3:uid="{1C4A88DE-B10C-4F32-AF82-D162BD76E7E4}" name="CO" dataDxfId="1">
      <calculatedColumnFormula>'monossido di carbonio'!B104</calculatedColumnFormula>
    </tableColumn>
    <tableColumn id="5" xr3:uid="{A3DAB90F-06D8-41B2-8DE2-62B9504E67A2}" name="NO2" dataDxfId="0">
      <calculatedColumnFormula>'diossido di azoto'!B103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13" Type="http://schemas.openxmlformats.org/officeDocument/2006/relationships/table" Target="../tables/table36.xml"/><Relationship Id="rId18" Type="http://schemas.openxmlformats.org/officeDocument/2006/relationships/table" Target="../tables/table41.xml"/><Relationship Id="rId3" Type="http://schemas.openxmlformats.org/officeDocument/2006/relationships/table" Target="../tables/table26.xml"/><Relationship Id="rId21" Type="http://schemas.openxmlformats.org/officeDocument/2006/relationships/table" Target="../tables/table44.xml"/><Relationship Id="rId7" Type="http://schemas.openxmlformats.org/officeDocument/2006/relationships/table" Target="../tables/table30.xml"/><Relationship Id="rId12" Type="http://schemas.openxmlformats.org/officeDocument/2006/relationships/table" Target="../tables/table35.xml"/><Relationship Id="rId17" Type="http://schemas.openxmlformats.org/officeDocument/2006/relationships/table" Target="../tables/table40.xml"/><Relationship Id="rId25" Type="http://schemas.openxmlformats.org/officeDocument/2006/relationships/table" Target="../tables/table48.xml"/><Relationship Id="rId2" Type="http://schemas.openxmlformats.org/officeDocument/2006/relationships/table" Target="../tables/table25.xml"/><Relationship Id="rId16" Type="http://schemas.openxmlformats.org/officeDocument/2006/relationships/table" Target="../tables/table39.xml"/><Relationship Id="rId20" Type="http://schemas.openxmlformats.org/officeDocument/2006/relationships/table" Target="../tables/table43.xml"/><Relationship Id="rId1" Type="http://schemas.openxmlformats.org/officeDocument/2006/relationships/drawing" Target="../drawings/drawing2.xml"/><Relationship Id="rId6" Type="http://schemas.openxmlformats.org/officeDocument/2006/relationships/table" Target="../tables/table29.xml"/><Relationship Id="rId11" Type="http://schemas.openxmlformats.org/officeDocument/2006/relationships/table" Target="../tables/table34.xml"/><Relationship Id="rId24" Type="http://schemas.openxmlformats.org/officeDocument/2006/relationships/table" Target="../tables/table47.xml"/><Relationship Id="rId5" Type="http://schemas.openxmlformats.org/officeDocument/2006/relationships/table" Target="../tables/table28.xml"/><Relationship Id="rId15" Type="http://schemas.openxmlformats.org/officeDocument/2006/relationships/table" Target="../tables/table38.xml"/><Relationship Id="rId23" Type="http://schemas.openxmlformats.org/officeDocument/2006/relationships/table" Target="../tables/table46.xml"/><Relationship Id="rId10" Type="http://schemas.openxmlformats.org/officeDocument/2006/relationships/table" Target="../tables/table33.xml"/><Relationship Id="rId19" Type="http://schemas.openxmlformats.org/officeDocument/2006/relationships/table" Target="../tables/table42.xml"/><Relationship Id="rId4" Type="http://schemas.openxmlformats.org/officeDocument/2006/relationships/table" Target="../tables/table27.xml"/><Relationship Id="rId9" Type="http://schemas.openxmlformats.org/officeDocument/2006/relationships/table" Target="../tables/table32.xml"/><Relationship Id="rId14" Type="http://schemas.openxmlformats.org/officeDocument/2006/relationships/table" Target="../tables/table37.xml"/><Relationship Id="rId22" Type="http://schemas.openxmlformats.org/officeDocument/2006/relationships/table" Target="../tables/table4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5.xml"/><Relationship Id="rId13" Type="http://schemas.openxmlformats.org/officeDocument/2006/relationships/table" Target="../tables/table60.xml"/><Relationship Id="rId18" Type="http://schemas.openxmlformats.org/officeDocument/2006/relationships/table" Target="../tables/table65.xml"/><Relationship Id="rId3" Type="http://schemas.openxmlformats.org/officeDocument/2006/relationships/table" Target="../tables/table50.xml"/><Relationship Id="rId21" Type="http://schemas.openxmlformats.org/officeDocument/2006/relationships/table" Target="../tables/table68.xml"/><Relationship Id="rId7" Type="http://schemas.openxmlformats.org/officeDocument/2006/relationships/table" Target="../tables/table54.xml"/><Relationship Id="rId12" Type="http://schemas.openxmlformats.org/officeDocument/2006/relationships/table" Target="../tables/table59.xml"/><Relationship Id="rId17" Type="http://schemas.openxmlformats.org/officeDocument/2006/relationships/table" Target="../tables/table64.xml"/><Relationship Id="rId2" Type="http://schemas.openxmlformats.org/officeDocument/2006/relationships/table" Target="../tables/table49.xml"/><Relationship Id="rId16" Type="http://schemas.openxmlformats.org/officeDocument/2006/relationships/table" Target="../tables/table63.xml"/><Relationship Id="rId20" Type="http://schemas.openxmlformats.org/officeDocument/2006/relationships/table" Target="../tables/table67.xml"/><Relationship Id="rId1" Type="http://schemas.openxmlformats.org/officeDocument/2006/relationships/drawing" Target="../drawings/drawing3.xml"/><Relationship Id="rId6" Type="http://schemas.openxmlformats.org/officeDocument/2006/relationships/table" Target="../tables/table53.xml"/><Relationship Id="rId11" Type="http://schemas.openxmlformats.org/officeDocument/2006/relationships/table" Target="../tables/table58.xml"/><Relationship Id="rId24" Type="http://schemas.openxmlformats.org/officeDocument/2006/relationships/table" Target="../tables/table71.xml"/><Relationship Id="rId5" Type="http://schemas.openxmlformats.org/officeDocument/2006/relationships/table" Target="../tables/table52.xml"/><Relationship Id="rId15" Type="http://schemas.openxmlformats.org/officeDocument/2006/relationships/table" Target="../tables/table62.xml"/><Relationship Id="rId23" Type="http://schemas.openxmlformats.org/officeDocument/2006/relationships/table" Target="../tables/table70.xml"/><Relationship Id="rId10" Type="http://schemas.openxmlformats.org/officeDocument/2006/relationships/table" Target="../tables/table57.xml"/><Relationship Id="rId19" Type="http://schemas.openxmlformats.org/officeDocument/2006/relationships/table" Target="../tables/table66.xml"/><Relationship Id="rId4" Type="http://schemas.openxmlformats.org/officeDocument/2006/relationships/table" Target="../tables/table51.xml"/><Relationship Id="rId9" Type="http://schemas.openxmlformats.org/officeDocument/2006/relationships/table" Target="../tables/table56.xml"/><Relationship Id="rId14" Type="http://schemas.openxmlformats.org/officeDocument/2006/relationships/table" Target="../tables/table61.xml"/><Relationship Id="rId22" Type="http://schemas.openxmlformats.org/officeDocument/2006/relationships/table" Target="../tables/table6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8.xml"/><Relationship Id="rId13" Type="http://schemas.openxmlformats.org/officeDocument/2006/relationships/table" Target="../tables/table83.xml"/><Relationship Id="rId18" Type="http://schemas.openxmlformats.org/officeDocument/2006/relationships/table" Target="../tables/table88.xml"/><Relationship Id="rId3" Type="http://schemas.openxmlformats.org/officeDocument/2006/relationships/table" Target="../tables/table73.xml"/><Relationship Id="rId21" Type="http://schemas.openxmlformats.org/officeDocument/2006/relationships/table" Target="../tables/table91.xml"/><Relationship Id="rId7" Type="http://schemas.openxmlformats.org/officeDocument/2006/relationships/table" Target="../tables/table77.xml"/><Relationship Id="rId12" Type="http://schemas.openxmlformats.org/officeDocument/2006/relationships/table" Target="../tables/table82.xml"/><Relationship Id="rId17" Type="http://schemas.openxmlformats.org/officeDocument/2006/relationships/table" Target="../tables/table87.xml"/><Relationship Id="rId25" Type="http://schemas.openxmlformats.org/officeDocument/2006/relationships/table" Target="../tables/table95.xml"/><Relationship Id="rId2" Type="http://schemas.openxmlformats.org/officeDocument/2006/relationships/table" Target="../tables/table72.xml"/><Relationship Id="rId16" Type="http://schemas.openxmlformats.org/officeDocument/2006/relationships/table" Target="../tables/table86.xml"/><Relationship Id="rId20" Type="http://schemas.openxmlformats.org/officeDocument/2006/relationships/table" Target="../tables/table90.xml"/><Relationship Id="rId1" Type="http://schemas.openxmlformats.org/officeDocument/2006/relationships/drawing" Target="../drawings/drawing4.xml"/><Relationship Id="rId6" Type="http://schemas.openxmlformats.org/officeDocument/2006/relationships/table" Target="../tables/table76.xml"/><Relationship Id="rId11" Type="http://schemas.openxmlformats.org/officeDocument/2006/relationships/table" Target="../tables/table81.xml"/><Relationship Id="rId24" Type="http://schemas.openxmlformats.org/officeDocument/2006/relationships/table" Target="../tables/table94.xml"/><Relationship Id="rId5" Type="http://schemas.openxmlformats.org/officeDocument/2006/relationships/table" Target="../tables/table75.xml"/><Relationship Id="rId15" Type="http://schemas.openxmlformats.org/officeDocument/2006/relationships/table" Target="../tables/table85.xml"/><Relationship Id="rId23" Type="http://schemas.openxmlformats.org/officeDocument/2006/relationships/table" Target="../tables/table93.xml"/><Relationship Id="rId10" Type="http://schemas.openxmlformats.org/officeDocument/2006/relationships/table" Target="../tables/table80.xml"/><Relationship Id="rId19" Type="http://schemas.openxmlformats.org/officeDocument/2006/relationships/table" Target="../tables/table89.xml"/><Relationship Id="rId4" Type="http://schemas.openxmlformats.org/officeDocument/2006/relationships/table" Target="../tables/table74.xml"/><Relationship Id="rId9" Type="http://schemas.openxmlformats.org/officeDocument/2006/relationships/table" Target="../tables/table79.xml"/><Relationship Id="rId14" Type="http://schemas.openxmlformats.org/officeDocument/2006/relationships/table" Target="../tables/table84.xml"/><Relationship Id="rId22" Type="http://schemas.openxmlformats.org/officeDocument/2006/relationships/table" Target="../tables/table9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2.xml"/><Relationship Id="rId3" Type="http://schemas.openxmlformats.org/officeDocument/2006/relationships/table" Target="../tables/table97.xml"/><Relationship Id="rId7" Type="http://schemas.openxmlformats.org/officeDocument/2006/relationships/table" Target="../tables/table101.xml"/><Relationship Id="rId2" Type="http://schemas.openxmlformats.org/officeDocument/2006/relationships/table" Target="../tables/table96.xml"/><Relationship Id="rId1" Type="http://schemas.openxmlformats.org/officeDocument/2006/relationships/drawing" Target="../drawings/drawing5.xml"/><Relationship Id="rId6" Type="http://schemas.openxmlformats.org/officeDocument/2006/relationships/table" Target="../tables/table100.xml"/><Relationship Id="rId5" Type="http://schemas.openxmlformats.org/officeDocument/2006/relationships/table" Target="../tables/table99.xml"/><Relationship Id="rId10" Type="http://schemas.openxmlformats.org/officeDocument/2006/relationships/table" Target="../tables/table104.xml"/><Relationship Id="rId4" Type="http://schemas.openxmlformats.org/officeDocument/2006/relationships/table" Target="../tables/table98.xml"/><Relationship Id="rId9" Type="http://schemas.openxmlformats.org/officeDocument/2006/relationships/table" Target="../tables/table10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2097-C47A-4E13-9CDF-0FE280B60ED5}">
  <sheetPr codeName="Foglio1"/>
  <dimension ref="A1:X134"/>
  <sheetViews>
    <sheetView topLeftCell="A91" zoomScale="68" zoomScaleNormal="70" workbookViewId="0">
      <selection activeCell="E38" sqref="E38"/>
    </sheetView>
  </sheetViews>
  <sheetFormatPr defaultRowHeight="14.4" x14ac:dyDescent="0.3"/>
  <cols>
    <col min="1" max="1" width="30" customWidth="1"/>
    <col min="2" max="2" width="27.44140625" customWidth="1"/>
    <col min="3" max="3" width="18.44140625" customWidth="1"/>
    <col min="4" max="4" width="16.109375" customWidth="1"/>
    <col min="5" max="5" width="23.5546875" customWidth="1"/>
    <col min="6" max="6" width="14.6640625" customWidth="1"/>
    <col min="7" max="7" width="16.77734375" customWidth="1"/>
    <col min="8" max="8" width="18.88671875" customWidth="1"/>
    <col min="9" max="9" width="20.44140625" customWidth="1"/>
    <col min="10" max="10" width="13.6640625" customWidth="1"/>
    <col min="11" max="11" width="23.6640625" customWidth="1"/>
    <col min="12" max="13" width="13.6640625" customWidth="1"/>
    <col min="14" max="14" width="11.109375" customWidth="1"/>
    <col min="15" max="15" width="13.6640625" customWidth="1"/>
    <col min="16" max="17" width="13.44140625" customWidth="1"/>
    <col min="18" max="18" width="12" customWidth="1"/>
    <col min="19" max="19" width="13" bestFit="1" customWidth="1"/>
    <col min="20" max="20" width="1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87</v>
      </c>
      <c r="H1" t="s">
        <v>89</v>
      </c>
    </row>
    <row r="2" spans="1:14" x14ac:dyDescent="0.3">
      <c r="A2">
        <v>3.1415899999999999</v>
      </c>
      <c r="B2" s="1">
        <f>16.04*1.6605655E-27</f>
        <v>2.6635470619999996E-26</v>
      </c>
      <c r="C2" s="1">
        <v>1.3806490000000001E-23</v>
      </c>
      <c r="D2" s="1">
        <v>6.6260701499999998E-34</v>
      </c>
      <c r="E2" s="1">
        <v>8.3144620000000007</v>
      </c>
      <c r="F2" s="1">
        <v>6.0221410000000001E+23</v>
      </c>
      <c r="G2">
        <v>29979300000</v>
      </c>
      <c r="H2">
        <f>Tabella33[[#This Row],[Speed of Light '[cm/s']]]*POWER(10,-2)</f>
        <v>299793000</v>
      </c>
    </row>
    <row r="4" spans="1:14" x14ac:dyDescent="0.3">
      <c r="A4" t="s">
        <v>85</v>
      </c>
      <c r="B4" t="s">
        <v>86</v>
      </c>
      <c r="C4" t="s">
        <v>88</v>
      </c>
      <c r="D4" t="s">
        <v>90</v>
      </c>
      <c r="E4" t="s">
        <v>75</v>
      </c>
    </row>
    <row r="5" spans="1:14" x14ac:dyDescent="0.3">
      <c r="A5" s="4">
        <f>157.48724</f>
        <v>157.48724000000001</v>
      </c>
      <c r="B5" cm="1">
        <f t="array" ref="B5">((Tabella50[[#This Row],[Rotational Constants '[Ghz']]]*1000000000)/Tabella33[Speed of Light '[cm/s']])*100</f>
        <v>525.31993742348891</v>
      </c>
      <c r="C5" s="1" cm="1">
        <f t="array" ref="C5">Tabella33[Planck h]/(8*POWER(Tabella33[Pi Greco],2)*Tabella50[[#This Row],[Rotational Constant '[m^-1']]]*Tabella33[Speed of Light '[m/s']])</f>
        <v>5.3287047624129001E-47</v>
      </c>
      <c r="D5">
        <f>SQRT(PRODUCT(Tabella50[Moments of Inertia]))</f>
        <v>3.8900314799104037E-70</v>
      </c>
      <c r="E5" s="1" cm="1">
        <f t="array" ref="E5">POWER(Tabella33[Planck h],2)/(8*POWER(Tabella33[Pi Greco],2)*Tabella1[[#This Row],[Total Moment of Inertia]]*Tabella33[Boltzmann k])</f>
        <v>1.0353487455225901E+24</v>
      </c>
      <c r="F5" s="1"/>
    </row>
    <row r="6" spans="1:14" x14ac:dyDescent="0.3">
      <c r="A6">
        <f>157.47976</f>
        <v>157.47976</v>
      </c>
      <c r="B6" cm="1">
        <f t="array" ref="B6">((Tabella50[[#This Row],[Rotational Constants '[Ghz']]]*1000000000)/Tabella33[Speed of Light '[cm/s']])*100</f>
        <v>525.29498687427656</v>
      </c>
      <c r="C6" s="1" cm="1">
        <f t="array" ref="C6">Tabella33[Planck h]/(8*POWER(Tabella33[Pi Greco],2)*Tabella50[[#This Row],[Rotational Constant '[m^-1']]]*Tabella33[Speed of Light '[m/s']])</f>
        <v>5.328957866123643E-47</v>
      </c>
    </row>
    <row r="7" spans="1:14" x14ac:dyDescent="0.3">
      <c r="A7">
        <f>157.47976</f>
        <v>157.47976</v>
      </c>
      <c r="B7" cm="1">
        <f t="array" ref="B7">((Tabella50[[#This Row],[Rotational Constants '[Ghz']]]*1000000000)/Tabella33[Speed of Light '[cm/s']])*100</f>
        <v>525.29498687427656</v>
      </c>
      <c r="C7" s="1" cm="1">
        <f t="array" ref="C7">Tabella33[Planck h]/(8*POWER(Tabella33[Pi Greco],2)*Tabella50[[#This Row],[Rotational Constant '[m^-1']]]*Tabella33[Speed of Light '[m/s']])</f>
        <v>5.328957866123643E-47</v>
      </c>
    </row>
    <row r="9" spans="1:14" x14ac:dyDescent="0.3">
      <c r="E9" s="1"/>
    </row>
    <row r="10" spans="1:14" x14ac:dyDescent="0.3">
      <c r="A10" t="s">
        <v>58</v>
      </c>
    </row>
    <row r="11" spans="1:14" x14ac:dyDescent="0.3">
      <c r="A11">
        <v>3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</row>
    <row r="12" spans="1:14" x14ac:dyDescent="0.3">
      <c r="E12">
        <f>B14</f>
        <v>40391551585710</v>
      </c>
      <c r="F12">
        <f>B15</f>
        <v>40391590558800</v>
      </c>
      <c r="G12">
        <f>B16</f>
        <v>40398194998590</v>
      </c>
      <c r="H12">
        <f>B17</f>
        <v>46879716660660</v>
      </c>
      <c r="I12">
        <f>B18</f>
        <v>46879755633750</v>
      </c>
      <c r="J12">
        <f>B19</f>
        <v>91062561447780</v>
      </c>
      <c r="K12">
        <f>B20</f>
        <v>94443926694780</v>
      </c>
      <c r="L12">
        <f>B21</f>
        <v>94443935688570</v>
      </c>
      <c r="M12">
        <f>B22</f>
        <v>94450186372620</v>
      </c>
    </row>
    <row r="13" spans="1:14" x14ac:dyDescent="0.3">
      <c r="A13" t="s">
        <v>59</v>
      </c>
      <c r="B13" t="s">
        <v>60</v>
      </c>
      <c r="D13" t="s">
        <v>4</v>
      </c>
      <c r="E13" t="s">
        <v>17</v>
      </c>
      <c r="F13" t="s">
        <v>9</v>
      </c>
      <c r="G13" t="s">
        <v>10</v>
      </c>
      <c r="H13" t="s">
        <v>11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  <c r="N13" t="s">
        <v>18</v>
      </c>
    </row>
    <row r="14" spans="1:14" x14ac:dyDescent="0.3">
      <c r="A14" s="25">
        <f>1347.3147</f>
        <v>1347.3146999999999</v>
      </c>
      <c r="B14" cm="1">
        <f t="array" ref="B14">Tabella47[[#This Row],[Wavenumbers '[cm^-1']]]*Tabella33[Speed of Light '[cm/s']]</f>
        <v>40391551585710</v>
      </c>
      <c r="D14">
        <v>298</v>
      </c>
      <c r="E14" s="1" cm="1">
        <f t="array" ref="E14">(EXP(-(Tabella33[Planck h]*Tabella49[Frequency1])/(2*Tabella33[Boltzmann k]*Tabella820[[#This Row],[Temperatura]])))/(1-EXP(-(Tabella33[Planck h]*Tabella49[Frequency1])/(Tabella33[Boltzmann k]*Tabella820[[#This Row],[Temperatura]])))</f>
        <v>3.8735421177909832E-2</v>
      </c>
      <c r="F14" s="1" cm="1">
        <f t="array" ref="F14">(EXP(-(Tabella33[Planck h]*Tabella49[Frequency2])/(2*Tabella33[Boltzmann k]*Tabella820[[#This Row],[Temperatura]])))/(1-EXP(-(Tabella33[Planck h]*Tabella49[Frequency2])/(Tabella33[Boltzmann k]*Tabella820[[#This Row],[Temperatura]])))</f>
        <v>3.8735299251359517E-2</v>
      </c>
      <c r="G14" s="1" cm="1">
        <f t="array" ref="G14">(EXP(-(Tabella33[Planck h]*Tabella49[Frequency3])/(2*Tabella33[Boltzmann k]*Tabella820[[#This Row],[Temperatura]])))/(1-EXP(-(Tabella33[Planck h]*Tabella49[Frequency3])/(Tabella33[Boltzmann k]*Tabella820[[#This Row],[Temperatura]])))</f>
        <v>3.8714642965764753E-2</v>
      </c>
      <c r="H14" s="1" cm="1">
        <f t="array" ref="H14">(EXP(-(Tabella33[Planck h]*Tabella49[Frequency4])/(2*Tabella33[Boltzmann k]*Tabella820[[#This Row],[Temperatura]])))/(1-EXP(-(Tabella33[Planck h]*Tabella49[Frequency4])/(Tabella33[Boltzmann k]*Tabella820[[#This Row],[Temperatura]])))</f>
        <v>2.29502609060801E-2</v>
      </c>
      <c r="I14" s="1" cm="1">
        <f t="array" ref="I14">(EXP(-(Tabella33[Planck h]*Tabella49[Frequency5])/(2*Tabella33[Boltzmann k]*Tabella820[[#This Row],[Temperatura]])))/(1-EXP(-(Tabella33[Planck h]*Tabella49[Frequency5])/(Tabella33[Boltzmann k]*Tabella820[[#This Row],[Temperatura]])))</f>
        <v>2.295018880607623E-2</v>
      </c>
      <c r="J14" s="1" cm="1">
        <f t="array" ref="J14">(EXP(-(Tabella33[Planck h]*Tabella49[Frequency6])/(2*Tabella33[Boltzmann k]*Tabella820[[#This Row],[Temperatura]])))/(1-EXP(-(Tabella33[Planck h]*Tabella49[Frequency6])/(Tabella33[Boltzmann k]*Tabella820[[#This Row],[Temperatura]])))</f>
        <v>6.5377935953506541E-4</v>
      </c>
      <c r="K14" s="1" cm="1">
        <f t="array" ref="K14">(EXP(-(Tabella33[Planck h]*Tabella49[Frequency7])/(2*Tabella33[Boltzmann k]*Tabella820[[#This Row],[Temperatura]])))/(1-EXP(-(Tabella33[Planck h]*Tabella49[Frequency7])/(Tabella33[Boltzmann k]*Tabella820[[#This Row],[Temperatura]])))</f>
        <v>4.9794417390589191E-4</v>
      </c>
      <c r="L14" s="1" cm="1">
        <f t="array" ref="L14">(EXP(-(Tabella33[Planck h]*Tabella49[Frequency8])/(2*Tabella33[Boltzmann k]*Tabella820[[#This Row],[Temperatura]])))/(1-EXP(-(Tabella33[Planck h]*Tabella49[Frequency8])/(Tabella33[Boltzmann k]*Tabella820[[#This Row],[Temperatura]])))</f>
        <v>4.9794381328578012E-4</v>
      </c>
      <c r="M14" s="1" cm="1">
        <f t="array" ref="M14">(EXP(-(Tabella33[Planck h]*Tabella49[Frequency9])/(2*Tabella33[Boltzmann k]*Tabella820[[#This Row],[Temperatura]])))/(1-EXP(-(Tabella33[Planck h]*Tabella49[Frequency9])/(Tabella33[Boltzmann k]*Tabella820[[#This Row],[Temperatura]])))</f>
        <v>4.9769324546377084E-4</v>
      </c>
      <c r="N14" s="1">
        <f>PRODUCT(Tabella820[[#This Row],[Qvib1]:[Qvib9]])</f>
        <v>2.4684156686781186E-21</v>
      </c>
    </row>
    <row r="15" spans="1:14" x14ac:dyDescent="0.3">
      <c r="A15" s="25">
        <f>1347.316</f>
        <v>1347.316</v>
      </c>
      <c r="B15" cm="1">
        <f t="array" ref="B15">Tabella47[[#This Row],[Wavenumbers '[cm^-1']]]*Tabella33[Speed of Light '[cm/s']]</f>
        <v>40391590558800</v>
      </c>
      <c r="D15">
        <v>400</v>
      </c>
      <c r="E15" s="1" cm="1">
        <f t="array" ref="E15">(EXP(-(Tabella33[Planck h]*Tabella49[Frequency1])/(2*Tabella33[Boltzmann k]*Tabella820[[#This Row],[Temperatura]])))/(1-EXP(-(Tabella33[Planck h]*Tabella49[Frequency1])/(Tabella33[Boltzmann k]*Tabella820[[#This Row],[Temperatura]])))</f>
        <v>8.9347512294194367E-2</v>
      </c>
      <c r="F15" s="1" cm="1">
        <f t="array" ref="F15">(EXP(-(Tabella33[Planck h]*Tabella49[Frequency2])/(2*Tabella33[Boltzmann k]*Tabella820[[#This Row],[Temperatura]])))/(1-EXP(-(Tabella33[Planck h]*Tabella49[Frequency2])/(Tabella33[Boltzmann k]*Tabella820[[#This Row],[Temperatura]])))</f>
        <v>8.9347300089466897E-2</v>
      </c>
      <c r="G15" s="1" cm="1">
        <f t="array" ref="G15">(EXP(-(Tabella33[Planck h]*Tabella49[Frequency3])/(2*Tabella33[Boltzmann k]*Tabella820[[#This Row],[Temperatura]])))/(1-EXP(-(Tabella33[Planck h]*Tabella49[Frequency3])/(Tabella33[Boltzmann k]*Tabella820[[#This Row],[Temperatura]])))</f>
        <v>8.9311347053400977E-2</v>
      </c>
      <c r="H15" s="1" cm="1">
        <f t="array" ref="H15">(EXP(-(Tabella33[Planck h]*Tabella49[Frequency4])/(2*Tabella33[Boltzmann k]*Tabella820[[#This Row],[Temperatura]])))/(1-EXP(-(Tabella33[Planck h]*Tabella49[Frequency4])/(Tabella33[Boltzmann k]*Tabella820[[#This Row],[Temperatura]])))</f>
        <v>6.0281790756733129E-2</v>
      </c>
      <c r="I15" s="1" cm="1">
        <f t="array" ref="I15">(EXP(-(Tabella33[Planck h]*Tabella49[Frequency5])/(2*Tabella33[Boltzmann k]*Tabella820[[#This Row],[Temperatura]])))/(1-EXP(-(Tabella33[Planck h]*Tabella49[Frequency5])/(Tabella33[Boltzmann k]*Tabella820[[#This Row],[Temperatura]])))</f>
        <v>6.0281648796446603E-2</v>
      </c>
      <c r="J15" s="1" cm="1">
        <f t="array" ref="J15">(EXP(-(Tabella33[Planck h]*Tabella49[Frequency6])/(2*Tabella33[Boltzmann k]*Tabella820[[#This Row],[Temperatura]])))/(1-EXP(-(Tabella33[Planck h]*Tabella49[Frequency6])/(Tabella33[Boltzmann k]*Tabella820[[#This Row],[Temperatura]])))</f>
        <v>4.2413481416414406E-3</v>
      </c>
      <c r="K15" s="1" cm="1">
        <f t="array" ref="K15">(EXP(-(Tabella33[Planck h]*Tabella49[Frequency7])/(2*Tabella33[Boltzmann k]*Tabella820[[#This Row],[Temperatura]])))/(1-EXP(-(Tabella33[Planck h]*Tabella49[Frequency7])/(Tabella33[Boltzmann k]*Tabella820[[#This Row],[Temperatura]])))</f>
        <v>3.4626190578272865E-3</v>
      </c>
      <c r="L15" s="1" cm="1">
        <f t="array" ref="L15">(EXP(-(Tabella33[Planck h]*Tabella49[Frequency8])/(2*Tabella33[Boltzmann k]*Tabella820[[#This Row],[Temperatura]])))/(1-EXP(-(Tabella33[Planck h]*Tabella49[Frequency8])/(Tabella33[Boltzmann k]*Tabella820[[#This Row],[Temperatura]])))</f>
        <v>3.4626171895535268E-3</v>
      </c>
      <c r="M15" s="1" cm="1">
        <f t="array" ref="M15">(EXP(-(Tabella33[Planck h]*Tabella49[Frequency9])/(2*Tabella33[Boltzmann k]*Tabella820[[#This Row],[Temperatura]])))/(1-EXP(-(Tabella33[Planck h]*Tabella49[Frequency9])/(Tabella33[Boltzmann k]*Tabella820[[#This Row],[Temperatura]])))</f>
        <v>3.461318983074863E-3</v>
      </c>
      <c r="N15" s="1">
        <f>PRODUCT(Tabella820[[#This Row],[Qvib1]:[Qvib9]])</f>
        <v>4.5603329076358544E-16</v>
      </c>
    </row>
    <row r="16" spans="1:14" x14ac:dyDescent="0.3">
      <c r="A16" s="25">
        <f>1347.5363</f>
        <v>1347.5363</v>
      </c>
      <c r="B16" cm="1">
        <f t="array" ref="B16">Tabella47[[#This Row],[Wavenumbers '[cm^-1']]]*Tabella33[Speed of Light '[cm/s']]</f>
        <v>40398194998590</v>
      </c>
      <c r="D16">
        <v>500</v>
      </c>
      <c r="E16" s="1" cm="1">
        <f t="array" ref="E16">(EXP(-(Tabella33[Planck h]*Tabella49[Frequency1])/(2*Tabella33[Boltzmann k]*Tabella820[[#This Row],[Temperatura]])))/(1-EXP(-(Tabella33[Planck h]*Tabella49[Frequency1])/(Tabella33[Boltzmann k]*Tabella820[[#This Row],[Temperatura]])))</f>
        <v>0.14696543228597136</v>
      </c>
      <c r="F16" s="1" cm="1">
        <f t="array" ref="F16">(EXP(-(Tabella33[Planck h]*Tabella49[Frequency2])/(2*Tabella33[Boltzmann k]*Tabella820[[#This Row],[Temperatura]])))/(1-EXP(-(Tabella33[Planck h]*Tabella49[Frequency2])/(Tabella33[Boltzmann k]*Tabella820[[#This Row],[Temperatura]])))</f>
        <v>0.14696514577168879</v>
      </c>
      <c r="G16" s="1" cm="1">
        <f t="array" ref="G16">(EXP(-(Tabella33[Planck h]*Tabella49[Frequency3])/(2*Tabella33[Boltzmann k]*Tabella820[[#This Row],[Temperatura]])))/(1-EXP(-(Tabella33[Planck h]*Tabella49[Frequency3])/(Tabella33[Boltzmann k]*Tabella820[[#This Row],[Temperatura]])))</f>
        <v>0.14691660132851186</v>
      </c>
      <c r="H16" s="1" cm="1">
        <f t="array" ref="H16">(EXP(-(Tabella33[Planck h]*Tabella49[Frequency4])/(2*Tabella33[Boltzmann k]*Tabella820[[#This Row],[Temperatura]])))/(1-EXP(-(Tabella33[Planck h]*Tabella49[Frequency4])/(Tabella33[Boltzmann k]*Tabella820[[#This Row],[Temperatura]])))</f>
        <v>0.10659725626856913</v>
      </c>
      <c r="I16" s="1" cm="1">
        <f t="array" ref="I16">(EXP(-(Tabella33[Planck h]*Tabella49[Frequency5])/(2*Tabella33[Boltzmann k]*Tabella820[[#This Row],[Temperatura]])))/(1-EXP(-(Tabella33[Planck h]*Tabella49[Frequency5])/(Tabella33[Boltzmann k]*Tabella820[[#This Row],[Temperatura]])))</f>
        <v>0.10659705240707243</v>
      </c>
      <c r="J16" s="1" cm="1">
        <f t="array" ref="J16">(EXP(-(Tabella33[Planck h]*Tabella49[Frequency6])/(2*Tabella33[Boltzmann k]*Tabella820[[#This Row],[Temperatura]])))/(1-EXP(-(Tabella33[Planck h]*Tabella49[Frequency6])/(Tabella33[Boltzmann k]*Tabella820[[#This Row],[Temperatura]])))</f>
        <v>1.2649296140697765E-2</v>
      </c>
      <c r="K16" s="1" cm="1">
        <f t="array" ref="K16">(EXP(-(Tabella33[Planck h]*Tabella49[Frequency7])/(2*Tabella33[Boltzmann k]*Tabella820[[#This Row],[Temperatura]])))/(1-EXP(-(Tabella33[Planck h]*Tabella49[Frequency7])/(Tabella33[Boltzmann k]*Tabella820[[#This Row],[Temperatura]])))</f>
        <v>1.0753994825481658E-2</v>
      </c>
      <c r="L16" s="1" cm="1">
        <f t="array" ref="L16">(EXP(-(Tabella33[Planck h]*Tabella49[Frequency8])/(2*Tabella33[Boltzmann k]*Tabella820[[#This Row],[Temperatura]])))/(1-EXP(-(Tabella33[Planck h]*Tabella49[Frequency8])/(Tabella33[Boltzmann k]*Tabella820[[#This Row],[Temperatura]])))</f>
        <v>1.0753990182621027E-2</v>
      </c>
      <c r="M16" s="1" cm="1">
        <f t="array" ref="M16">(EXP(-(Tabella33[Planck h]*Tabella49[Frequency9])/(2*Tabella33[Boltzmann k]*Tabella820[[#This Row],[Temperatura]])))/(1-EXP(-(Tabella33[Planck h]*Tabella49[Frequency9])/(Tabella33[Boltzmann k]*Tabella820[[#This Row],[Temperatura]])))</f>
        <v>1.0750763879465799E-2</v>
      </c>
      <c r="N16" s="1">
        <f>PRODUCT(Tabella820[[#This Row],[Qvib1]:[Qvib9]])</f>
        <v>5.6707014620515153E-13</v>
      </c>
    </row>
    <row r="17" spans="1:14" x14ac:dyDescent="0.3">
      <c r="A17" s="25">
        <f>1563.7362</f>
        <v>1563.7362000000001</v>
      </c>
      <c r="B17" cm="1">
        <f t="array" ref="B17">Tabella47[[#This Row],[Wavenumbers '[cm^-1']]]*Tabella33[Speed of Light '[cm/s']]</f>
        <v>46879716660660</v>
      </c>
      <c r="D17">
        <v>600</v>
      </c>
      <c r="E17" s="1" cm="1">
        <f t="array" ref="E17">(EXP(-(Tabella33[Planck h]*Tabella49[Frequency1])/(2*Tabella33[Boltzmann k]*Tabella820[[#This Row],[Temperatura]])))/(1-EXP(-(Tabella33[Planck h]*Tabella49[Frequency1])/(Tabella33[Boltzmann k]*Tabella820[[#This Row],[Temperatura]])))</f>
        <v>0.20699106352273494</v>
      </c>
      <c r="F17" s="1" cm="1">
        <f t="array" ref="F17">(EXP(-(Tabella33[Planck h]*Tabella49[Frequency2])/(2*Tabella33[Boltzmann k]*Tabella820[[#This Row],[Temperatura]])))/(1-EXP(-(Tabella33[Planck h]*Tabella49[Frequency2])/(Tabella33[Boltzmann k]*Tabella820[[#This Row],[Temperatura]])))</f>
        <v>0.20699071433688043</v>
      </c>
      <c r="G17" s="1" cm="1">
        <f t="array" ref="G17">(EXP(-(Tabella33[Planck h]*Tabella49[Frequency3])/(2*Tabella33[Boltzmann k]*Tabella820[[#This Row],[Temperatura]])))/(1-EXP(-(Tabella33[Planck h]*Tabella49[Frequency3])/(Tabella33[Boltzmann k]*Tabella820[[#This Row],[Temperatura]])))</f>
        <v>0.20693155051617557</v>
      </c>
      <c r="H17" s="1" cm="1">
        <f t="array" ref="H17">(EXP(-(Tabella33[Planck h]*Tabella49[Frequency4])/(2*Tabella33[Boltzmann k]*Tabella820[[#This Row],[Temperatura]])))/(1-EXP(-(Tabella33[Planck h]*Tabella49[Frequency4])/(Tabella33[Boltzmann k]*Tabella820[[#This Row],[Temperatura]])))</f>
        <v>0.15706601189607286</v>
      </c>
      <c r="I17" s="1" cm="1">
        <f t="array" ref="I17">(EXP(-(Tabella33[Planck h]*Tabella49[Frequency5])/(2*Tabella33[Boltzmann k]*Tabella820[[#This Row],[Temperatura]])))/(1-EXP(-(Tabella33[Planck h]*Tabella49[Frequency5])/(Tabella33[Boltzmann k]*Tabella820[[#This Row],[Temperatura]])))</f>
        <v>0.15706575528607758</v>
      </c>
      <c r="J17" s="1" cm="1">
        <f t="array" ref="J17">(EXP(-(Tabella33[Planck h]*Tabella49[Frequency6])/(2*Tabella33[Boltzmann k]*Tabella820[[#This Row],[Temperatura]])))/(1-EXP(-(Tabella33[Planck h]*Tabella49[Frequency6])/(Tabella33[Boltzmann k]*Tabella820[[#This Row],[Temperatura]])))</f>
        <v>2.6219777364898045E-2</v>
      </c>
      <c r="K17" s="1" cm="1">
        <f t="array" ref="K17">(EXP(-(Tabella33[Planck h]*Tabella49[Frequency7])/(2*Tabella33[Boltzmann k]*Tabella820[[#This Row],[Temperatura]])))/(1-EXP(-(Tabella33[Planck h]*Tabella49[Frequency7])/(Tabella33[Boltzmann k]*Tabella820[[#This Row],[Temperatura]])))</f>
        <v>2.2899565012685832E-2</v>
      </c>
      <c r="L17" s="1" cm="1">
        <f t="array" ref="L17">(EXP(-(Tabella33[Planck h]*Tabella49[Frequency8])/(2*Tabella33[Boltzmann k]*Tabella820[[#This Row],[Temperatura]])))/(1-EXP(-(Tabella33[Planck h]*Tabella49[Frequency8])/(Tabella33[Boltzmann k]*Tabella820[[#This Row],[Temperatura]])))</f>
        <v>2.2899556767197141E-2</v>
      </c>
      <c r="M17" s="1" cm="1">
        <f t="array" ref="M17">(EXP(-(Tabella33[Planck h]*Tabella49[Frequency9])/(2*Tabella33[Boltzmann k]*Tabella820[[#This Row],[Temperatura]])))/(1-EXP(-(Tabella33[Planck h]*Tabella49[Frequency9])/(Tabella33[Boltzmann k]*Tabella820[[#This Row],[Temperatura]])))</f>
        <v>2.2893826872074099E-2</v>
      </c>
      <c r="N17" s="1">
        <f>PRODUCT(Tabella820[[#This Row],[Qvib1]:[Qvib9]])</f>
        <v>6.8848518278132965E-11</v>
      </c>
    </row>
    <row r="18" spans="1:14" x14ac:dyDescent="0.3">
      <c r="A18" s="25">
        <f>1563.7375</f>
        <v>1563.7375</v>
      </c>
      <c r="B18" cm="1">
        <f t="array" ref="B18">Tabella47[[#This Row],[Wavenumbers '[cm^-1']]]*Tabella33[Speed of Light '[cm/s']]</f>
        <v>46879755633750</v>
      </c>
      <c r="D18">
        <v>700</v>
      </c>
      <c r="E18" s="1" cm="1">
        <f t="array" ref="E18">(EXP(-(Tabella33[Planck h]*Tabella49[Frequency1])/(2*Tabella33[Boltzmann k]*Tabella820[[#This Row],[Temperatura]])))/(1-EXP(-(Tabella33[Planck h]*Tabella49[Frequency1])/(Tabella33[Boltzmann k]*Tabella820[[#This Row],[Temperatura]])))</f>
        <v>0.26716879497031626</v>
      </c>
      <c r="F18" s="1" cm="1">
        <f t="array" ref="F18">(EXP(-(Tabella33[Planck h]*Tabella49[Frequency2])/(2*Tabella33[Boltzmann k]*Tabella820[[#This Row],[Temperatura]])))/(1-EXP(-(Tabella33[Planck h]*Tabella49[Frequency2])/(Tabella33[Boltzmann k]*Tabella820[[#This Row],[Temperatura]])))</f>
        <v>0.26716839026982109</v>
      </c>
      <c r="G18" s="1" cm="1">
        <f t="array" ref="G18">(EXP(-(Tabella33[Planck h]*Tabella49[Frequency3])/(2*Tabella33[Boltzmann k]*Tabella820[[#This Row],[Temperatura]])))/(1-EXP(-(Tabella33[Planck h]*Tabella49[Frequency3])/(Tabella33[Boltzmann k]*Tabella820[[#This Row],[Temperatura]])))</f>
        <v>0.26709981992042903</v>
      </c>
      <c r="H18" s="1" cm="1">
        <f t="array" ref="H18">(EXP(-(Tabella33[Planck h]*Tabella49[Frequency4])/(2*Tabella33[Boltzmann k]*Tabella820[[#This Row],[Temperatura]])))/(1-EXP(-(Tabella33[Planck h]*Tabella49[Frequency4])/(Tabella33[Boltzmann k]*Tabella820[[#This Row],[Temperatura]])))</f>
        <v>0.20887282179099134</v>
      </c>
      <c r="I18" s="1" cm="1">
        <f t="array" ref="I18">(EXP(-(Tabella33[Planck h]*Tabella49[Frequency5])/(2*Tabella33[Boltzmann k]*Tabella820[[#This Row],[Temperatura]])))/(1-EXP(-(Tabella33[Planck h]*Tabella49[Frequency5])/(Tabella33[Boltzmann k]*Tabella820[[#This Row],[Temperatura]])))</f>
        <v>0.20887251936455864</v>
      </c>
      <c r="J18" s="1" cm="1">
        <f t="array" ref="J18">(EXP(-(Tabella33[Planck h]*Tabella49[Frequency6])/(2*Tabella33[Boltzmann k]*Tabella820[[#This Row],[Temperatura]])))/(1-EXP(-(Tabella33[Planck h]*Tabella49[Frequency6])/(Tabella33[Boltzmann k]*Tabella820[[#This Row],[Temperatura]])))</f>
        <v>4.4170094625916395E-2</v>
      </c>
      <c r="K18" s="1" cm="1">
        <f t="array" ref="K18">(EXP(-(Tabella33[Planck h]*Tabella49[Frequency7])/(2*Tabella33[Boltzmann k]*Tabella820[[#This Row],[Temperatura]])))/(1-EXP(-(Tabella33[Planck h]*Tabella49[Frequency7])/(Tabella33[Boltzmann k]*Tabella820[[#This Row],[Temperatura]])))</f>
        <v>3.9319905677642035E-2</v>
      </c>
      <c r="L18" s="1" cm="1">
        <f t="array" ref="L18">(EXP(-(Tabella33[Planck h]*Tabella49[Frequency8])/(2*Tabella33[Boltzmann k]*Tabella820[[#This Row],[Temperatura]])))/(1-EXP(-(Tabella33[Planck h]*Tabella49[Frequency8])/(Tabella33[Boltzmann k]*Tabella820[[#This Row],[Temperatura]])))</f>
        <v>3.9319893517501203E-2</v>
      </c>
      <c r="M18" s="1" cm="1">
        <f t="array" ref="M18">(EXP(-(Tabella33[Planck h]*Tabella49[Frequency9])/(2*Tabella33[Boltzmann k]*Tabella820[[#This Row],[Temperatura]])))/(1-EXP(-(Tabella33[Planck h]*Tabella49[Frequency9])/(Tabella33[Boltzmann k]*Tabella820[[#This Row],[Temperatura]])))</f>
        <v>3.9311443134701994E-2</v>
      </c>
      <c r="N18" s="1">
        <f>PRODUCT(Tabella820[[#This Row],[Qvib1]:[Qvib9]])</f>
        <v>2.2329538994490243E-9</v>
      </c>
    </row>
    <row r="19" spans="1:14" x14ac:dyDescent="0.3">
      <c r="A19" s="25">
        <f>3037.5146</f>
        <v>3037.5146</v>
      </c>
      <c r="B19" cm="1">
        <f t="array" ref="B19">Tabella47[[#This Row],[Wavenumbers '[cm^-1']]]*Tabella33[Speed of Light '[cm/s']]</f>
        <v>91062561447780</v>
      </c>
      <c r="D19">
        <v>800</v>
      </c>
      <c r="E19" s="1" cm="1">
        <f t="array" ref="E19">(EXP(-(Tabella33[Planck h]*Tabella49[Frequency1])/(2*Tabella33[Boltzmann k]*Tabella820[[#This Row],[Temperatura]])))/(1-EXP(-(Tabella33[Planck h]*Tabella49[Frequency1])/(Tabella33[Boltzmann k]*Tabella820[[#This Row],[Temperatura]])))</f>
        <v>0.32669370524333408</v>
      </c>
      <c r="F19" s="1" cm="1">
        <f t="array" ref="F19">(EXP(-(Tabella33[Planck h]*Tabella49[Frequency2])/(2*Tabella33[Boltzmann k]*Tabella820[[#This Row],[Temperatura]])))/(1-EXP(-(Tabella33[Planck h]*Tabella49[Frequency2])/(Tabella33[Boltzmann k]*Tabella820[[#This Row],[Temperatura]])))</f>
        <v>0.32669324904148084</v>
      </c>
      <c r="G19" s="1" cm="1">
        <f t="array" ref="G19">(EXP(-(Tabella33[Planck h]*Tabella49[Frequency3])/(2*Tabella33[Boltzmann k]*Tabella820[[#This Row],[Temperatura]])))/(1-EXP(-(Tabella33[Planck h]*Tabella49[Frequency3])/(Tabella33[Boltzmann k]*Tabella820[[#This Row],[Temperatura]])))</f>
        <v>0.32661595232574719</v>
      </c>
      <c r="H19" s="1" cm="1">
        <f t="array" ref="H19">(EXP(-(Tabella33[Planck h]*Tabella49[Frequency4])/(2*Tabella33[Boltzmann k]*Tabella820[[#This Row],[Temperatura]])))/(1-EXP(-(Tabella33[Planck h]*Tabella49[Frequency4])/(Tabella33[Boltzmann k]*Tabella820[[#This Row],[Temperatura]])))</f>
        <v>0.26074146978123336</v>
      </c>
      <c r="I19" s="1" cm="1">
        <f t="array" ref="I19">(EXP(-(Tabella33[Planck h]*Tabella49[Frequency5])/(2*Tabella33[Boltzmann k]*Tabella820[[#This Row],[Temperatura]])))/(1-EXP(-(Tabella33[Planck h]*Tabella49[Frequency5])/(Tabella33[Boltzmann k]*Tabella820[[#This Row],[Temperatura]])))</f>
        <v>0.26074112601640576</v>
      </c>
      <c r="J19" s="1" cm="1">
        <f t="array" ref="J19">(EXP(-(Tabella33[Planck h]*Tabella49[Frequency6])/(2*Tabella33[Boltzmann k]*Tabella820[[#This Row],[Temperatura]])))/(1-EXP(-(Tabella33[Planck h]*Tabella49[Frequency6])/(Tabella33[Boltzmann k]*Tabella820[[#This Row],[Temperatura]])))</f>
        <v>6.5402437282765333E-2</v>
      </c>
      <c r="K19" s="1" cm="1">
        <f t="array" ref="K19">(EXP(-(Tabella33[Planck h]*Tabella49[Frequency7])/(2*Tabella33[Boltzmann k]*Tabella820[[#This Row],[Temperatura]])))/(1-EXP(-(Tabella33[Planck h]*Tabella49[Frequency7])/(Tabella33[Boltzmann k]*Tabella820[[#This Row],[Temperatura]])))</f>
        <v>5.9048129098654381E-2</v>
      </c>
      <c r="L19" s="1" cm="1">
        <f t="array" ref="L19">(EXP(-(Tabella33[Planck h]*Tabella49[Frequency8])/(2*Tabella33[Boltzmann k]*Tabella820[[#This Row],[Temperatura]])))/(1-EXP(-(Tabella33[Planck h]*Tabella49[Frequency8])/(Tabella33[Boltzmann k]*Tabella820[[#This Row],[Temperatura]])))</f>
        <v>5.904811305847734E-2</v>
      </c>
      <c r="M19" s="1" cm="1">
        <f t="array" ref="M19">(EXP(-(Tabella33[Planck h]*Tabella49[Frequency9])/(2*Tabella33[Boltzmann k]*Tabella820[[#This Row],[Temperatura]])))/(1-EXP(-(Tabella33[Planck h]*Tabella49[Frequency9])/(Tabella33[Boltzmann k]*Tabella820[[#This Row],[Temperatura]])))</f>
        <v>5.9036966203697853E-2</v>
      </c>
      <c r="N19" s="1">
        <f>PRODUCT(Tabella820[[#This Row],[Qvib1]:[Qvib9]])</f>
        <v>3.1905686644379746E-8</v>
      </c>
    </row>
    <row r="20" spans="1:14" x14ac:dyDescent="0.3">
      <c r="A20" s="25">
        <f>3150.3046</f>
        <v>3150.3045999999999</v>
      </c>
      <c r="B20" cm="1">
        <f t="array" ref="B20">Tabella47[[#This Row],[Wavenumbers '[cm^-1']]]*Tabella33[Speed of Light '[cm/s']]</f>
        <v>94443926694780</v>
      </c>
      <c r="D20">
        <v>900</v>
      </c>
      <c r="E20" s="1" cm="1">
        <f t="array" ref="E20">(EXP(-(Tabella33[Planck h]*Tabella49[Frequency1])/(2*Tabella33[Boltzmann k]*Tabella820[[#This Row],[Temperatura]])))/(1-EXP(-(Tabella33[Planck h]*Tabella49[Frequency1])/(Tabella33[Boltzmann k]*Tabella820[[#This Row],[Temperatura]])))</f>
        <v>0.38535045634811188</v>
      </c>
      <c r="F20" s="1" cm="1">
        <f t="array" ref="F20">(EXP(-(Tabella33[Planck h]*Tabella49[Frequency2])/(2*Tabella33[Boltzmann k]*Tabella820[[#This Row],[Temperatura]])))/(1-EXP(-(Tabella33[Planck h]*Tabella49[Frequency2])/(Tabella33[Boltzmann k]*Tabella820[[#This Row],[Temperatura]])))</f>
        <v>0.38534995080058687</v>
      </c>
      <c r="G20" s="1" cm="1">
        <f t="array" ref="G20">(EXP(-(Tabella33[Planck h]*Tabella49[Frequency3])/(2*Tabella33[Boltzmann k]*Tabella820[[#This Row],[Temperatura]])))/(1-EXP(-(Tabella33[Planck h]*Tabella49[Frequency3])/(Tabella33[Boltzmann k]*Tabella820[[#This Row],[Temperatura]])))</f>
        <v>0.38526429308618743</v>
      </c>
      <c r="H20" s="1" cm="1">
        <f t="array" ref="H20">(EXP(-(Tabella33[Planck h]*Tabella49[Frequency4])/(2*Tabella33[Boltzmann k]*Tabella820[[#This Row],[Temperatura]])))/(1-EXP(-(Tabella33[Planck h]*Tabella49[Frequency4])/(Tabella33[Boltzmann k]*Tabella820[[#This Row],[Temperatura]])))</f>
        <v>0.31215188641515518</v>
      </c>
      <c r="I20" s="1" cm="1">
        <f t="array" ref="I20">(EXP(-(Tabella33[Planck h]*Tabella49[Frequency5])/(2*Tabella33[Boltzmann k]*Tabella820[[#This Row],[Temperatura]])))/(1-EXP(-(Tabella33[Planck h]*Tabella49[Frequency5])/(Tabella33[Boltzmann k]*Tabella820[[#This Row],[Temperatura]])))</f>
        <v>0.31215150403102543</v>
      </c>
      <c r="J20" s="1" cm="1">
        <f t="array" ref="J20">(EXP(-(Tabella33[Planck h]*Tabella49[Frequency6])/(2*Tabella33[Boltzmann k]*Tabella820[[#This Row],[Temperatura]])))/(1-EXP(-(Tabella33[Planck h]*Tabella49[Frequency6])/(Tabella33[Boltzmann k]*Tabella820[[#This Row],[Temperatura]])))</f>
        <v>8.8909231010686832E-2</v>
      </c>
      <c r="K20" s="1" cm="1">
        <f t="array" ref="K20">(EXP(-(Tabella33[Planck h]*Tabella49[Frequency7])/(2*Tabella33[Boltzmann k]*Tabella820[[#This Row],[Temperatura]])))/(1-EXP(-(Tabella33[Planck h]*Tabella49[Frequency7])/(Tabella33[Boltzmann k]*Tabella820[[#This Row],[Temperatura]])))</f>
        <v>8.1139282966634835E-2</v>
      </c>
      <c r="L20" s="1" cm="1">
        <f t="array" ref="L20">(EXP(-(Tabella33[Planck h]*Tabella49[Frequency8])/(2*Tabella33[Boltzmann k]*Tabella820[[#This Row],[Temperatura]])))/(1-EXP(-(Tabella33[Planck h]*Tabella49[Frequency8])/(Tabella33[Boltzmann k]*Tabella820[[#This Row],[Temperatura]])))</f>
        <v>8.1139263255187055E-2</v>
      </c>
      <c r="M20" s="1" cm="1">
        <f t="array" ref="M20">(EXP(-(Tabella33[Planck h]*Tabella49[Frequency9])/(2*Tabella33[Boltzmann k]*Tabella820[[#This Row],[Temperatura]])))/(1-EXP(-(Tabella33[Planck h]*Tabella49[Frequency9])/(Tabella33[Boltzmann k]*Tabella820[[#This Row],[Temperatura]])))</f>
        <v>8.1125564986767026E-2</v>
      </c>
      <c r="N20" s="1">
        <f>PRODUCT(Tabella820[[#This Row],[Qvib1]:[Qvib9]])</f>
        <v>2.6470866318275023E-7</v>
      </c>
    </row>
    <row r="21" spans="1:14" x14ac:dyDescent="0.3">
      <c r="A21" s="25">
        <f>3150.3049</f>
        <v>3150.3049000000001</v>
      </c>
      <c r="B21" cm="1">
        <f t="array" ref="B21">Tabella47[[#This Row],[Wavenumbers '[cm^-1']]]*Tabella33[Speed of Light '[cm/s']]</f>
        <v>94443935688570</v>
      </c>
      <c r="D21">
        <v>1000</v>
      </c>
      <c r="E21" s="1" cm="1">
        <f t="array" ref="E21">(EXP(-(Tabella33[Planck h]*Tabella49[Frequency1])/(2*Tabella33[Boltzmann k]*Tabella820[[#This Row],[Temperatura]])))/(1-EXP(-(Tabella33[Planck h]*Tabella49[Frequency1])/(Tabella33[Boltzmann k]*Tabella820[[#This Row],[Temperatura]])))</f>
        <v>0.44314802730047714</v>
      </c>
      <c r="F21" s="1" cm="1">
        <f t="array" ref="F21">(EXP(-(Tabella33[Planck h]*Tabella49[Frequency2])/(2*Tabella33[Boltzmann k]*Tabella820[[#This Row],[Temperatura]])))/(1-EXP(-(Tabella33[Planck h]*Tabella49[Frequency2])/(Tabella33[Boltzmann k]*Tabella820[[#This Row],[Temperatura]])))</f>
        <v>0.44314747351894901</v>
      </c>
      <c r="G21" s="1" cm="1">
        <f t="array" ref="G21">(EXP(-(Tabella33[Planck h]*Tabella49[Frequency3])/(2*Tabella33[Boltzmann k]*Tabella820[[#This Row],[Temperatura]])))/(1-EXP(-(Tabella33[Planck h]*Tabella49[Frequency3])/(Tabella33[Boltzmann k]*Tabella820[[#This Row],[Temperatura]])))</f>
        <v>0.44305364323957802</v>
      </c>
      <c r="H21" s="1" cm="1">
        <f t="array" ref="H21">(EXP(-(Tabella33[Planck h]*Tabella49[Frequency4])/(2*Tabella33[Boltzmann k]*Tabella820[[#This Row],[Temperatura]])))/(1-EXP(-(Tabella33[Planck h]*Tabella49[Frequency4])/(Tabella33[Boltzmann k]*Tabella820[[#This Row],[Temperatura]])))</f>
        <v>0.36293086333051633</v>
      </c>
      <c r="I21" s="1" cm="1">
        <f t="array" ref="I21">(EXP(-(Tabella33[Planck h]*Tabella49[Frequency5])/(2*Tabella33[Boltzmann k]*Tabella820[[#This Row],[Temperatura]])))/(1-EXP(-(Tabella33[Planck h]*Tabella49[Frequency5])/(Tabella33[Boltzmann k]*Tabella820[[#This Row],[Temperatura]])))</f>
        <v>0.36293044392616414</v>
      </c>
      <c r="J21" s="1" cm="1">
        <f t="array" ref="J21">(EXP(-(Tabella33[Planck h]*Tabella49[Frequency6])/(2*Tabella33[Boltzmann k]*Tabella820[[#This Row],[Temperatura]])))/(1-EXP(-(Tabella33[Planck h]*Tabella49[Frequency6])/(Tabella33[Boltzmann k]*Tabella820[[#This Row],[Temperatura]])))</f>
        <v>0.11390062674287962</v>
      </c>
      <c r="K21" s="1" cm="1">
        <f t="array" ref="K21">(EXP(-(Tabella33[Planck h]*Tabella49[Frequency7])/(2*Tabella33[Boltzmann k]*Tabella820[[#This Row],[Temperatura]])))/(1-EXP(-(Tabella33[Planck h]*Tabella49[Frequency7])/(Tabella33[Boltzmann k]*Tabella820[[#This Row],[Temperatura]])))</f>
        <v>0.10482260592063605</v>
      </c>
      <c r="L21" s="1" cm="1">
        <f t="array" ref="L21">(EXP(-(Tabella33[Planck h]*Tabella49[Frequency8])/(2*Tabella33[Boltzmann k]*Tabella820[[#This Row],[Temperatura]])))/(1-EXP(-(Tabella33[Planck h]*Tabella49[Frequency8])/(Tabella33[Boltzmann k]*Tabella820[[#This Row],[Temperatura]])))</f>
        <v>0.10482258280635029</v>
      </c>
      <c r="M21" s="1" cm="1">
        <f t="array" ref="M21">(EXP(-(Tabella33[Planck h]*Tabella49[Frequency9])/(2*Tabella33[Boltzmann k]*Tabella820[[#This Row],[Temperatura]])))/(1-EXP(-(Tabella33[Planck h]*Tabella49[Frequency9])/(Tabella33[Boltzmann k]*Tabella820[[#This Row],[Temperatura]])))</f>
        <v>0.10480651966233252</v>
      </c>
      <c r="N21" s="1">
        <f>PRODUCT(Tabella820[[#This Row],[Qvib1]:[Qvib9]])</f>
        <v>1.5032282671174634E-6</v>
      </c>
    </row>
    <row r="22" spans="1:14" x14ac:dyDescent="0.3">
      <c r="A22" s="25">
        <f>3150.5134</f>
        <v>3150.5133999999998</v>
      </c>
      <c r="B22" cm="1">
        <f t="array" ref="B22">Tabella47[[#This Row],[Wavenumbers '[cm^-1']]]*Tabella33[Speed of Light '[cm/s']]</f>
        <v>94450186372620</v>
      </c>
      <c r="D22">
        <v>1100</v>
      </c>
      <c r="E22" s="1" cm="1">
        <f t="array" ref="E22">(EXP(-(Tabella33[Planck h]*Tabella49[Frequency1])/(2*Tabella33[Boltzmann k]*Tabella820[[#This Row],[Temperatura]])))/(1-EXP(-(Tabella33[Planck h]*Tabella49[Frequency1])/(Tabella33[Boltzmann k]*Tabella820[[#This Row],[Temperatura]])))</f>
        <v>0.50017140487536194</v>
      </c>
      <c r="F22" s="1" cm="1">
        <f t="array" ref="F22">(EXP(-(Tabella33[Planck h]*Tabella49[Frequency2])/(2*Tabella33[Boltzmann k]*Tabella820[[#This Row],[Temperatura]])))/(1-EXP(-(Tabella33[Planck h]*Tabella49[Frequency2])/(Tabella33[Boltzmann k]*Tabella820[[#This Row],[Temperatura]])))</f>
        <v>0.50017080339311726</v>
      </c>
      <c r="G22" s="1" cm="1">
        <f t="array" ref="G22">(EXP(-(Tabella33[Planck h]*Tabella49[Frequency3])/(2*Tabella33[Boltzmann k]*Tabella820[[#This Row],[Temperatura]])))/(1-EXP(-(Tabella33[Planck h]*Tabella49[Frequency3])/(Tabella33[Boltzmann k]*Tabella820[[#This Row],[Temperatura]])))</f>
        <v>0.50006889095647644</v>
      </c>
      <c r="H22" s="1" cm="1">
        <f t="array" ref="H22">(EXP(-(Tabella33[Planck h]*Tabella49[Frequency4])/(2*Tabella33[Boltzmann k]*Tabella820[[#This Row],[Temperatura]])))/(1-EXP(-(Tabella33[Planck h]*Tabella49[Frequency4])/(Tabella33[Boltzmann k]*Tabella820[[#This Row],[Temperatura]])))</f>
        <v>0.41305720732684431</v>
      </c>
      <c r="I22" s="1" cm="1">
        <f t="array" ref="I22">(EXP(-(Tabella33[Planck h]*Tabella49[Frequency5])/(2*Tabella33[Boltzmann k]*Tabella820[[#This Row],[Temperatura]])))/(1-EXP(-(Tabella33[Planck h]*Tabella49[Frequency5])/(Tabella33[Boltzmann k]*Tabella820[[#This Row],[Temperatura]])))</f>
        <v>0.41305675181696894</v>
      </c>
      <c r="J22" s="1" cm="1">
        <f t="array" ref="J22">(EXP(-(Tabella33[Planck h]*Tabella49[Frequency6])/(2*Tabella33[Boltzmann k]*Tabella820[[#This Row],[Temperatura]])))/(1-EXP(-(Tabella33[Planck h]*Tabella49[Frequency6])/(Tabella33[Boltzmann k]*Tabella820[[#This Row],[Temperatura]])))</f>
        <v>0.13980449941386722</v>
      </c>
      <c r="K22" s="1" cm="1">
        <f t="array" ref="K22">(EXP(-(Tabella33[Planck h]*Tabella49[Frequency7])/(2*Tabella33[Boltzmann k]*Tabella820[[#This Row],[Temperatura]])))/(1-EXP(-(Tabella33[Planck h]*Tabella49[Frequency7])/(Tabella33[Boltzmann k]*Tabella820[[#This Row],[Temperatura]])))</f>
        <v>0.12952247920968438</v>
      </c>
      <c r="L22" s="1" cm="1">
        <f t="array" ref="L22">(EXP(-(Tabella33[Planck h]*Tabella49[Frequency8])/(2*Tabella33[Boltzmann k]*Tabella820[[#This Row],[Temperatura]])))/(1-EXP(-(Tabella33[Planck h]*Tabella49[Frequency8])/(Tabella33[Boltzmann k]*Tabella820[[#This Row],[Temperatura]])))</f>
        <v>0.1295224529589569</v>
      </c>
      <c r="M22" s="1" cm="1">
        <f t="array" ref="M22">(EXP(-(Tabella33[Planck h]*Tabella49[Frequency9])/(2*Tabella33[Boltzmann k]*Tabella820[[#This Row],[Temperatura]])))/(1-EXP(-(Tabella33[Planck h]*Tabella49[Frequency9])/(Tabella33[Boltzmann k]*Tabella820[[#This Row],[Temperatura]])))</f>
        <v>0.12950421007095539</v>
      </c>
      <c r="N22" s="1">
        <f>PRODUCT(Tabella820[[#This Row],[Qvib1]:[Qvib9]])</f>
        <v>6.4830923741909241E-6</v>
      </c>
    </row>
    <row r="23" spans="1:14" x14ac:dyDescent="0.3">
      <c r="D23">
        <v>1200</v>
      </c>
      <c r="E23" s="1" cm="1">
        <f t="array" ref="E23">(EXP(-(Tabella33[Planck h]*Tabella49[Frequency1])/(2*Tabella33[Boltzmann k]*Tabella820[[#This Row],[Temperatura]])))/(1-EXP(-(Tabella33[Planck h]*Tabella49[Frequency1])/(Tabella33[Boltzmann k]*Tabella820[[#This Row],[Temperatura]])))</f>
        <v>0.55652294233814636</v>
      </c>
      <c r="F23" s="1" cm="1">
        <f t="array" ref="F23">(EXP(-(Tabella33[Planck h]*Tabella49[Frequency2])/(2*Tabella33[Boltzmann k]*Tabella820[[#This Row],[Temperatura]])))/(1-EXP(-(Tabella33[Planck h]*Tabella49[Frequency2])/(Tabella33[Boltzmann k]*Tabella820[[#This Row],[Temperatura]])))</f>
        <v>0.55652229336971126</v>
      </c>
      <c r="G23" s="1" cm="1">
        <f t="array" ref="G23">(EXP(-(Tabella33[Planck h]*Tabella49[Frequency3])/(2*Tabella33[Boltzmann k]*Tabella820[[#This Row],[Temperatura]])))/(1-EXP(-(Tabella33[Planck h]*Tabella49[Frequency3])/(Tabella33[Boltzmann k]*Tabella820[[#This Row],[Temperatura]])))</f>
        <v>0.55641233515608612</v>
      </c>
      <c r="H23" s="1" cm="1">
        <f t="array" ref="H23">(EXP(-(Tabella33[Planck h]*Tabella49[Frequency4])/(2*Tabella33[Boltzmann k]*Tabella820[[#This Row],[Temperatura]])))/(1-EXP(-(Tabella33[Planck h]*Tabella49[Frequency4])/(Tabella33[Boltzmann k]*Tabella820[[#This Row],[Temperatura]])))</f>
        <v>0.46257187324346027</v>
      </c>
      <c r="I23" s="1" cm="1">
        <f t="array" ref="I23">(EXP(-(Tabella33[Planck h]*Tabella49[Frequency5])/(2*Tabella33[Boltzmann k]*Tabella820[[#This Row],[Temperatura]])))/(1-EXP(-(Tabella33[Planck h]*Tabella49[Frequency5])/(Tabella33[Boltzmann k]*Tabella820[[#This Row],[Temperatura]])))</f>
        <v>0.46257138213042931</v>
      </c>
      <c r="J23" s="1" cm="1">
        <f t="array" ref="J23">(EXP(-(Tabella33[Planck h]*Tabella49[Frequency6])/(2*Tabella33[Boltzmann k]*Tabella820[[#This Row],[Temperatura]])))/(1-EXP(-(Tabella33[Planck h]*Tabella49[Frequency6])/(Tabella33[Boltzmann k]*Tabella820[[#This Row],[Temperatura]])))</f>
        <v>0.1662250192906915</v>
      </c>
      <c r="K23" s="1" cm="1">
        <f t="array" ref="K23">(EXP(-(Tabella33[Planck h]*Tabella49[Frequency7])/(2*Tabella33[Boltzmann k]*Tabella820[[#This Row],[Temperatura]])))/(1-EXP(-(Tabella33[Planck h]*Tabella49[Frequency7])/(Tabella33[Boltzmann k]*Tabella820[[#This Row],[Temperatura]])))</f>
        <v>0.15483006554510517</v>
      </c>
      <c r="L23" s="1" cm="1">
        <f t="array" ref="L23">(EXP(-(Tabella33[Planck h]*Tabella49[Frequency8])/(2*Tabella33[Boltzmann k]*Tabella820[[#This Row],[Temperatura]])))/(1-EXP(-(Tabella33[Planck h]*Tabella49[Frequency8])/(Tabella33[Boltzmann k]*Tabella820[[#This Row],[Temperatura]])))</f>
        <v>0.15483003639481627</v>
      </c>
      <c r="M23" s="1" cm="1">
        <f t="array" ref="M23">(EXP(-(Tabella33[Planck h]*Tabella49[Frequency9])/(2*Tabella33[Boltzmann k]*Tabella820[[#This Row],[Temperatura]])))/(1-EXP(-(Tabella33[Planck h]*Tabella49[Frequency9])/(Tabella33[Boltzmann k]*Tabella820[[#This Row],[Temperatura]])))</f>
        <v>0.15480977838745844</v>
      </c>
      <c r="N23" s="1">
        <f>PRODUCT(Tabella820[[#This Row],[Qvib1]:[Qvib9]])</f>
        <v>2.2747080536235654E-5</v>
      </c>
    </row>
    <row r="24" spans="1:14" x14ac:dyDescent="0.3">
      <c r="D24">
        <v>1300</v>
      </c>
      <c r="E24" s="1" cm="1">
        <f t="array" ref="E24">(EXP(-(Tabella33[Planck h]*Tabella49[Frequency1])/(2*Tabella33[Boltzmann k]*Tabella820[[#This Row],[Temperatura]])))/(1-EXP(-(Tabella33[Planck h]*Tabella49[Frequency1])/(Tabella33[Boltzmann k]*Tabella820[[#This Row],[Temperatura]])))</f>
        <v>0.61230036774769903</v>
      </c>
      <c r="F24" s="1" cm="1">
        <f t="array" ref="F24">(EXP(-(Tabella33[Planck h]*Tabella49[Frequency2])/(2*Tabella33[Boltzmann k]*Tabella820[[#This Row],[Temperatura]])))/(1-EXP(-(Tabella33[Planck h]*Tabella49[Frequency2])/(Tabella33[Boltzmann k]*Tabella820[[#This Row],[Temperatura]])))</f>
        <v>0.61229967133336427</v>
      </c>
      <c r="G24" s="1" cm="1">
        <f t="array" ref="G24">(EXP(-(Tabella33[Planck h]*Tabella49[Frequency3])/(2*Tabella33[Boltzmann k]*Tabella820[[#This Row],[Temperatura]])))/(1-EXP(-(Tabella33[Planck h]*Tabella49[Frequency3])/(Tabella33[Boltzmann k]*Tabella820[[#This Row],[Temperatura]])))</f>
        <v>0.61218167418971869</v>
      </c>
      <c r="H24" s="1" cm="1">
        <f t="array" ref="H24">(EXP(-(Tabella33[Planck h]*Tabella49[Frequency4])/(2*Tabella33[Boltzmann k]*Tabella820[[#This Row],[Temperatura]])))/(1-EXP(-(Tabella33[Planck h]*Tabella49[Frequency4])/(Tabella33[Boltzmann k]*Tabella820[[#This Row],[Temperatura]])))</f>
        <v>0.51153723145281771</v>
      </c>
      <c r="I24" s="1" cm="1">
        <f t="array" ref="I24">(EXP(-(Tabella33[Planck h]*Tabella49[Frequency5])/(2*Tabella33[Boltzmann k]*Tabella820[[#This Row],[Temperatura]])))/(1-EXP(-(Tabella33[Planck h]*Tabella49[Frequency5])/(Tabella33[Boltzmann k]*Tabella820[[#This Row],[Temperatura]])))</f>
        <v>0.51153670499174198</v>
      </c>
      <c r="J24" s="1" cm="1">
        <f t="array" ref="J24">(EXP(-(Tabella33[Planck h]*Tabella49[Frequency6])/(2*Tabella33[Boltzmann k]*Tabella820[[#This Row],[Temperatura]])))/(1-EXP(-(Tabella33[Planck h]*Tabella49[Frequency6])/(Tabella33[Boltzmann k]*Tabella820[[#This Row],[Temperatura]])))</f>
        <v>0.19289659949977128</v>
      </c>
      <c r="K24" s="1" cm="1">
        <f t="array" ref="K24">(EXP(-(Tabella33[Planck h]*Tabella49[Frequency7])/(2*Tabella33[Boltzmann k]*Tabella820[[#This Row],[Temperatura]])))/(1-EXP(-(Tabella33[Planck h]*Tabella49[Frequency7])/(Tabella33[Boltzmann k]*Tabella820[[#This Row],[Temperatura]])))</f>
        <v>0.18046422722318256</v>
      </c>
      <c r="L24" s="1" cm="1">
        <f t="array" ref="L24">(EXP(-(Tabella33[Planck h]*Tabella49[Frequency8])/(2*Tabella33[Boltzmann k]*Tabella820[[#This Row],[Temperatura]])))/(1-EXP(-(Tabella33[Planck h]*Tabella49[Frequency8])/(Tabella33[Boltzmann k]*Tabella820[[#This Row],[Temperatura]])))</f>
        <v>0.18046419537209979</v>
      </c>
      <c r="M24" s="1" cm="1">
        <f t="array" ref="M24">(EXP(-(Tabella33[Planck h]*Tabella49[Frequency9])/(2*Tabella33[Boltzmann k]*Tabella820[[#This Row],[Temperatura]])))/(1-EXP(-(Tabella33[Planck h]*Tabella49[Frequency9])/(Tabella33[Boltzmann k]*Tabella820[[#This Row],[Temperatura]])))</f>
        <v>0.18044206038584445</v>
      </c>
      <c r="N24" s="1">
        <f>PRODUCT(Tabella820[[#This Row],[Qvib1]:[Qvib9]])</f>
        <v>6.8078103134747373E-5</v>
      </c>
    </row>
    <row r="25" spans="1:14" x14ac:dyDescent="0.3">
      <c r="D25">
        <v>1400</v>
      </c>
      <c r="E25" s="1" cm="1">
        <f t="array" ref="E25">(EXP(-(Tabella33[Planck h]*Tabella49[Frequency1])/(2*Tabella33[Boltzmann k]*Tabella820[[#This Row],[Temperatura]])))/(1-EXP(-(Tabella33[Planck h]*Tabella49[Frequency1])/(Tabella33[Boltzmann k]*Tabella820[[#This Row],[Temperatura]])))</f>
        <v>0.66758968322517642</v>
      </c>
      <c r="F25" s="1" cm="1">
        <f t="array" ref="F25">(EXP(-(Tabella33[Planck h]*Tabella49[Frequency2])/(2*Tabella33[Boltzmann k]*Tabella820[[#This Row],[Temperatura]])))/(1-EXP(-(Tabella33[Planck h]*Tabella49[Frequency2])/(Tabella33[Boltzmann k]*Tabella820[[#This Row],[Temperatura]])))</f>
        <v>0.66758893931195584</v>
      </c>
      <c r="G25" s="1" cm="1">
        <f t="array" ref="G25">(EXP(-(Tabella33[Planck h]*Tabella49[Frequency3])/(2*Tabella33[Boltzmann k]*Tabella820[[#This Row],[Temperatura]])))/(1-EXP(-(Tabella33[Planck h]*Tabella49[Frequency3])/(Tabella33[Boltzmann k]*Tabella820[[#This Row],[Temperatura]])))</f>
        <v>0.66746289427327499</v>
      </c>
      <c r="H25" s="1" cm="1">
        <f t="array" ref="H25">(EXP(-(Tabella33[Planck h]*Tabella49[Frequency4])/(2*Tabella33[Boltzmann k]*Tabella820[[#This Row],[Temperatura]])))/(1-EXP(-(Tabella33[Planck h]*Tabella49[Frequency4])/(Tabella33[Boltzmann k]*Tabella820[[#This Row],[Temperatura]])))</f>
        <v>0.56001908681614176</v>
      </c>
      <c r="I25" s="1" cm="1">
        <f t="array" ref="I25">(EXP(-(Tabella33[Planck h]*Tabella49[Frequency5])/(2*Tabella33[Boltzmann k]*Tabella820[[#This Row],[Temperatura]])))/(1-EXP(-(Tabella33[Planck h]*Tabella49[Frequency5])/(Tabella33[Boltzmann k]*Tabella820[[#This Row],[Temperatura]])))</f>
        <v>0.56001852511440053</v>
      </c>
      <c r="J25" s="1" cm="1">
        <f t="array" ref="J25">(EXP(-(Tabella33[Planck h]*Tabella49[Frequency6])/(2*Tabella33[Boltzmann k]*Tabella820[[#This Row],[Temperatura]])))/(1-EXP(-(Tabella33[Planck h]*Tabella49[Frequency6])/(Tabella33[Boltzmann k]*Tabella820[[#This Row],[Temperatura]])))</f>
        <v>0.21964540892088624</v>
      </c>
      <c r="K25" s="1" cm="1">
        <f t="array" ref="K25">(EXP(-(Tabella33[Planck h]*Tabella49[Frequency7])/(2*Tabella33[Boltzmann k]*Tabella820[[#This Row],[Temperatura]])))/(1-EXP(-(Tabella33[Planck h]*Tabella49[Frequency7])/(Tabella33[Boltzmann k]*Tabella820[[#This Row],[Temperatura]])))</f>
        <v>0.20623629584086128</v>
      </c>
      <c r="L25" s="1" cm="1">
        <f t="array" ref="L25">(EXP(-(Tabella33[Planck h]*Tabella49[Frequency8])/(2*Tabella33[Boltzmann k]*Tabella820[[#This Row],[Temperatura]])))/(1-EXP(-(Tabella33[Planck h]*Tabella49[Frequency8])/(Tabella33[Boltzmann k]*Tabella820[[#This Row],[Temperatura]])))</f>
        <v>0.20623626145022206</v>
      </c>
      <c r="M25" s="1" cm="1">
        <f t="array" ref="M25">(EXP(-(Tabella33[Planck h]*Tabella49[Frequency9])/(2*Tabella33[Boltzmann k]*Tabella820[[#This Row],[Temperatura]])))/(1-EXP(-(Tabella33[Planck h]*Tabella49[Frequency9])/(Tabella33[Boltzmann k]*Tabella820[[#This Row],[Temperatura]])))</f>
        <v>0.20621236154450803</v>
      </c>
      <c r="N25" s="1">
        <f>PRODUCT(Tabella820[[#This Row],[Qvib1]:[Qvib9]])</f>
        <v>1.7972895619725306E-4</v>
      </c>
    </row>
    <row r="26" spans="1:14" x14ac:dyDescent="0.3">
      <c r="D26">
        <v>1500</v>
      </c>
      <c r="E26" s="1" cm="1">
        <f t="array" ref="E26">(EXP(-(Tabella33[Planck h]*Tabella49[Frequency1])/(2*Tabella33[Boltzmann k]*Tabella820[[#This Row],[Temperatura]])))/(1-EXP(-(Tabella33[Planck h]*Tabella49[Frequency1])/(Tabella33[Boltzmann k]*Tabella820[[#This Row],[Temperatura]])))</f>
        <v>0.72246397656615646</v>
      </c>
      <c r="F26" s="1" cm="1">
        <f t="array" ref="F26">(EXP(-(Tabella33[Planck h]*Tabella49[Frequency2])/(2*Tabella33[Boltzmann k]*Tabella820[[#This Row],[Temperatura]])))/(1-EXP(-(Tabella33[Planck h]*Tabella49[Frequency2])/(Tabella33[Boltzmann k]*Tabella820[[#This Row],[Temperatura]])))</f>
        <v>0.72246318505344653</v>
      </c>
      <c r="G26" s="1" cm="1">
        <f t="array" ref="G26">(EXP(-(Tabella33[Planck h]*Tabella49[Frequency3])/(2*Tabella33[Boltzmann k]*Tabella820[[#This Row],[Temperatura]])))/(1-EXP(-(Tabella33[Planck h]*Tabella49[Frequency3])/(Tabella33[Boltzmann k]*Tabella820[[#This Row],[Temperatura]])))</f>
        <v>0.72232907508173771</v>
      </c>
      <c r="H26" s="1" cm="1">
        <f t="array" ref="H26">(EXP(-(Tabella33[Planck h]*Tabella49[Frequency4])/(2*Tabella33[Boltzmann k]*Tabella820[[#This Row],[Temperatura]])))/(1-EXP(-(Tabella33[Planck h]*Tabella49[Frequency4])/(Tabella33[Boltzmann k]*Tabella820[[#This Row],[Temperatura]])))</f>
        <v>0.60807920741284827</v>
      </c>
      <c r="I26" s="1" cm="1">
        <f t="array" ref="I26">(EXP(-(Tabella33[Planck h]*Tabella49[Frequency5])/(2*Tabella33[Boltzmann k]*Tabella820[[#This Row],[Temperatura]])))/(1-EXP(-(Tabella33[Planck h]*Tabella49[Frequency5])/(Tabella33[Boltzmann k]*Tabella820[[#This Row],[Temperatura]])))</f>
        <v>0.60807861049024325</v>
      </c>
      <c r="J26" s="1" cm="1">
        <f t="array" ref="J26">(EXP(-(Tabella33[Planck h]*Tabella49[Frequency6])/(2*Tabella33[Boltzmann k]*Tabella820[[#This Row],[Temperatura]])))/(1-EXP(-(Tabella33[Planck h]*Tabella49[Frequency6])/(Tabella33[Boltzmann k]*Tabella820[[#This Row],[Temperatura]])))</f>
        <v>0.24636053759165105</v>
      </c>
      <c r="K26" s="1" cm="1">
        <f t="array" ref="K26">(EXP(-(Tabella33[Planck h]*Tabella49[Frequency7])/(2*Tabella33[Boltzmann k]*Tabella820[[#This Row],[Temperatura]])))/(1-EXP(-(Tabella33[Planck h]*Tabella49[Frequency7])/(Tabella33[Boltzmann k]*Tabella820[[#This Row],[Temperatura]])))</f>
        <v>0.23202249479316867</v>
      </c>
      <c r="L26" s="1" cm="1">
        <f t="array" ref="L26">(EXP(-(Tabella33[Planck h]*Tabella49[Frequency8])/(2*Tabella33[Boltzmann k]*Tabella820[[#This Row],[Temperatura]])))/(1-EXP(-(Tabella33[Planck h]*Tabella49[Frequency8])/(Tabella33[Boltzmann k]*Tabella820[[#This Row],[Temperatura]])))</f>
        <v>0.2320224579910535</v>
      </c>
      <c r="M26" s="1" cm="1">
        <f t="array" ref="M26">(EXP(-(Tabella33[Planck h]*Tabella49[Frequency9])/(2*Tabella33[Boltzmann k]*Tabella820[[#This Row],[Temperatura]])))/(1-EXP(-(Tabella33[Planck h]*Tabella49[Frequency9])/(Tabella33[Boltzmann k]*Tabella820[[#This Row],[Temperatura]])))</f>
        <v>0.2319968821828402</v>
      </c>
      <c r="N26" s="1">
        <f>PRODUCT(Tabella820[[#This Row],[Qvib1]:[Qvib9]])</f>
        <v>4.2894370885485442E-4</v>
      </c>
    </row>
    <row r="27" spans="1:14" x14ac:dyDescent="0.3">
      <c r="D27">
        <v>1600</v>
      </c>
      <c r="E27" s="1" cm="1">
        <f t="array" ref="E27">(EXP(-(Tabella33[Planck h]*Tabella49[Frequency1])/(2*Tabella33[Boltzmann k]*Tabella820[[#This Row],[Temperatura]])))/(1-EXP(-(Tabella33[Planck h]*Tabella49[Frequency1])/(Tabella33[Boltzmann k]*Tabella820[[#This Row],[Temperatura]])))</f>
        <v>0.77698442012416902</v>
      </c>
      <c r="F27" s="1" cm="1">
        <f t="array" ref="F27">(EXP(-(Tabella33[Planck h]*Tabella49[Frequency2])/(2*Tabella33[Boltzmann k]*Tabella820[[#This Row],[Temperatura]])))/(1-EXP(-(Tabella33[Planck h]*Tabella49[Frequency2])/(Tabella33[Boltzmann k]*Tabella820[[#This Row],[Temperatura]])))</f>
        <v>0.77698358088958308</v>
      </c>
      <c r="G27" s="1" cm="1">
        <f t="array" ref="G27">(EXP(-(Tabella33[Planck h]*Tabella49[Frequency3])/(2*Tabella33[Boltzmann k]*Tabella820[[#This Row],[Temperatura]])))/(1-EXP(-(Tabella33[Planck h]*Tabella49[Frequency3])/(Tabella33[Boltzmann k]*Tabella820[[#This Row],[Temperatura]])))</f>
        <v>0.77684138525280466</v>
      </c>
      <c r="H27" s="1" cm="1">
        <f t="array" ref="H27">(EXP(-(Tabella33[Planck h]*Tabella49[Frequency4])/(2*Tabella33[Boltzmann k]*Tabella820[[#This Row],[Temperatura]])))/(1-EXP(-(Tabella33[Planck h]*Tabella49[Frequency4])/(Tabella33[Boltzmann k]*Tabella820[[#This Row],[Temperatura]])))</f>
        <v>0.65577267444768927</v>
      </c>
      <c r="I27" s="1" cm="1">
        <f t="array" ref="I27">(EXP(-(Tabella33[Planck h]*Tabella49[Frequency5])/(2*Tabella33[Boltzmann k]*Tabella820[[#This Row],[Temperatura]])))/(1-EXP(-(Tabella33[Planck h]*Tabella49[Frequency5])/(Tabella33[Boltzmann k]*Tabella820[[#This Row],[Temperatura]])))</f>
        <v>0.65577204227299712</v>
      </c>
      <c r="J27" s="1" cm="1">
        <f t="array" ref="J27">(EXP(-(Tabella33[Planck h]*Tabella49[Frequency6])/(2*Tabella33[Boltzmann k]*Tabella820[[#This Row],[Temperatura]])))/(1-EXP(-(Tabella33[Planck h]*Tabella49[Frequency6])/(Tabella33[Boltzmann k]*Tabella820[[#This Row],[Temperatura]])))</f>
        <v>0.27297350953982613</v>
      </c>
      <c r="K27" s="1" cm="1">
        <f t="array" ref="K27">(EXP(-(Tabella33[Planck h]*Tabella49[Frequency7])/(2*Tabella33[Boltzmann k]*Tabella820[[#This Row],[Temperatura]])))/(1-EXP(-(Tabella33[Planck h]*Tabella49[Frequency7])/(Tabella33[Boltzmann k]*Tabella820[[#This Row],[Temperatura]])))</f>
        <v>0.25774373024073727</v>
      </c>
      <c r="L27" s="1" cm="1">
        <f t="array" ref="L27">(EXP(-(Tabella33[Planck h]*Tabella49[Frequency8])/(2*Tabella33[Boltzmann k]*Tabella820[[#This Row],[Temperatura]])))/(1-EXP(-(Tabella33[Planck h]*Tabella49[Frequency8])/(Tabella33[Boltzmann k]*Tabella820[[#This Row],[Temperatura]])))</f>
        <v>0.25774369112750944</v>
      </c>
      <c r="M27" s="1" cm="1">
        <f t="array" ref="M27">(EXP(-(Tabella33[Planck h]*Tabella49[Frequency9])/(2*Tabella33[Boltzmann k]*Tabella820[[#This Row],[Temperatura]])))/(1-EXP(-(Tabella33[Planck h]*Tabella49[Frequency9])/(Tabella33[Boltzmann k]*Tabella820[[#This Row],[Temperatura]])))</f>
        <v>0.25771650917096789</v>
      </c>
      <c r="N27" s="1">
        <f>PRODUCT(Tabella820[[#This Row],[Qvib1]:[Qvib9]])</f>
        <v>9.4254396304753007E-4</v>
      </c>
    </row>
    <row r="28" spans="1:14" x14ac:dyDescent="0.3">
      <c r="D28">
        <v>1700</v>
      </c>
      <c r="E28" s="1" cm="1">
        <f t="array" ref="E28">(EXP(-(Tabella33[Planck h]*Tabella49[Frequency1])/(2*Tabella33[Boltzmann k]*Tabella820[[#This Row],[Temperatura]])))/(1-EXP(-(Tabella33[Planck h]*Tabella49[Frequency1])/(Tabella33[Boltzmann k]*Tabella820[[#This Row],[Temperatura]])))</f>
        <v>0.8312019223240914</v>
      </c>
      <c r="F28" s="1" cm="1">
        <f t="array" ref="F28">(EXP(-(Tabella33[Planck h]*Tabella49[Frequency2])/(2*Tabella33[Boltzmann k]*Tabella820[[#This Row],[Temperatura]])))/(1-EXP(-(Tabella33[Planck h]*Tabella49[Frequency2])/(Tabella33[Boltzmann k]*Tabella820[[#This Row],[Temperatura]])))</f>
        <v>0.83120103523801914</v>
      </c>
      <c r="G28" s="1" cm="1">
        <f t="array" ref="G28">(EXP(-(Tabella33[Planck h]*Tabella49[Frequency3])/(2*Tabella33[Boltzmann k]*Tabella820[[#This Row],[Temperatura]])))/(1-EXP(-(Tabella33[Planck h]*Tabella49[Frequency3])/(Tabella33[Boltzmann k]*Tabella820[[#This Row],[Temperatura]])))</f>
        <v>0.83105073197821444</v>
      </c>
      <c r="H28" s="1" cm="1">
        <f t="array" ref="H28">(EXP(-(Tabella33[Planck h]*Tabella49[Frequency4])/(2*Tabella33[Boltzmann k]*Tabella820[[#This Row],[Temperatura]])))/(1-EXP(-(Tabella33[Planck h]*Tabella49[Frequency4])/(Tabella33[Boltzmann k]*Tabella820[[#This Row],[Temperatura]])))</f>
        <v>0.70314739345438249</v>
      </c>
      <c r="I28" s="1" cm="1">
        <f t="array" ref="I28">(EXP(-(Tabella33[Planck h]*Tabella49[Frequency5])/(2*Tabella33[Boltzmann k]*Tabella820[[#This Row],[Temperatura]])))/(1-EXP(-(Tabella33[Planck h]*Tabella49[Frequency5])/(Tabella33[Boltzmann k]*Tabella820[[#This Row],[Temperatura]])))</f>
        <v>0.70314672596767969</v>
      </c>
      <c r="J28" s="1" cm="1">
        <f t="array" ref="J28">(EXP(-(Tabella33[Planck h]*Tabella49[Frequency6])/(2*Tabella33[Boltzmann k]*Tabella820[[#This Row],[Temperatura]])))/(1-EXP(-(Tabella33[Planck h]*Tabella49[Frequency6])/(Tabella33[Boltzmann k]*Tabella820[[#This Row],[Temperatura]])))</f>
        <v>0.2994441303295024</v>
      </c>
      <c r="K28" s="1" cm="1">
        <f t="array" ref="K28">(EXP(-(Tabella33[Planck h]*Tabella49[Frequency7])/(2*Tabella33[Boltzmann k]*Tabella820[[#This Row],[Temperatura]])))/(1-EXP(-(Tabella33[Planck h]*Tabella49[Frequency7])/(Tabella33[Boltzmann k]*Tabella820[[#This Row],[Temperatura]])))</f>
        <v>0.28335128828400513</v>
      </c>
      <c r="L28" s="1" cm="1">
        <f t="array" ref="L28">(EXP(-(Tabella33[Planck h]*Tabella49[Frequency8])/(2*Tabella33[Boltzmann k]*Tabella820[[#This Row],[Temperatura]])))/(1-EXP(-(Tabella33[Planck h]*Tabella49[Frequency8])/(Tabella33[Boltzmann k]*Tabella820[[#This Row],[Temperatura]])))</f>
        <v>0.28335124693756847</v>
      </c>
      <c r="M28" s="1" cm="1">
        <f t="array" ref="M28">(EXP(-(Tabella33[Planck h]*Tabella49[Frequency9])/(2*Tabella33[Boltzmann k]*Tabella820[[#This Row],[Temperatura]])))/(1-EXP(-(Tabella33[Planck h]*Tabella49[Frequency9])/(Tabella33[Boltzmann k]*Tabella820[[#This Row],[Temperatura]])))</f>
        <v>0.28332251297789934</v>
      </c>
      <c r="N28" s="1">
        <f>PRODUCT(Tabella820[[#This Row],[Qvib1]:[Qvib9]])</f>
        <v>1.9336581158986477E-3</v>
      </c>
    </row>
    <row r="29" spans="1:14" x14ac:dyDescent="0.3">
      <c r="D29">
        <v>1800</v>
      </c>
      <c r="E29" s="1" cm="1">
        <f t="array" ref="E29">(EXP(-(Tabella33[Planck h]*Tabella49[Frequency1])/(2*Tabella33[Boltzmann k]*Tabella820[[#This Row],[Temperatura]])))/(1-EXP(-(Tabella33[Planck h]*Tabella49[Frequency1])/(Tabella33[Boltzmann k]*Tabella820[[#This Row],[Temperatura]])))</f>
        <v>0.88515882132281487</v>
      </c>
      <c r="F29" s="1" cm="1">
        <f t="array" ref="F29">(EXP(-(Tabella33[Planck h]*Tabella49[Frequency2])/(2*Tabella33[Boltzmann k]*Tabella820[[#This Row],[Temperatura]])))/(1-EXP(-(Tabella33[Planck h]*Tabella49[Frequency2])/(Tabella33[Boltzmann k]*Tabella820[[#This Row],[Temperatura]])))</f>
        <v>0.88515788625650282</v>
      </c>
      <c r="G29" s="1" cm="1">
        <f t="array" ref="G29">(EXP(-(Tabella33[Planck h]*Tabella49[Frequency3])/(2*Tabella33[Boltzmann k]*Tabella820[[#This Row],[Temperatura]])))/(1-EXP(-(Tabella33[Planck h]*Tabella49[Frequency3])/(Tabella33[Boltzmann k]*Tabella820[[#This Row],[Temperatura]])))</f>
        <v>0.88499945355938281</v>
      </c>
      <c r="H29" s="1" cm="1">
        <f t="array" ref="H29">(EXP(-(Tabella33[Planck h]*Tabella49[Frequency4])/(2*Tabella33[Boltzmann k]*Tabella820[[#This Row],[Temperatura]])))/(1-EXP(-(Tabella33[Planck h]*Tabella49[Frequency4])/(Tabella33[Boltzmann k]*Tabella820[[#This Row],[Temperatura]])))</f>
        <v>0.75024451910040546</v>
      </c>
      <c r="I29" s="1" cm="1">
        <f t="array" ref="I29">(EXP(-(Tabella33[Planck h]*Tabella49[Frequency5])/(2*Tabella33[Boltzmann k]*Tabella820[[#This Row],[Temperatura]])))/(1-EXP(-(Tabella33[Planck h]*Tabella49[Frequency5])/(Tabella33[Boltzmann k]*Tabella820[[#This Row],[Temperatura]])))</f>
        <v>0.75024381622673919</v>
      </c>
      <c r="J29" s="1" cm="1">
        <f t="array" ref="J29">(EXP(-(Tabella33[Planck h]*Tabella49[Frequency6])/(2*Tabella33[Boltzmann k]*Tabella820[[#This Row],[Temperatura]])))/(1-EXP(-(Tabella33[Planck h]*Tabella49[Frequency6])/(Tabella33[Boltzmann k]*Tabella820[[#This Row],[Temperatura]])))</f>
        <v>0.32575086066630776</v>
      </c>
      <c r="K29" s="1" cm="1">
        <f t="array" ref="K29">(EXP(-(Tabella33[Planck h]*Tabella49[Frequency7])/(2*Tabella33[Boltzmann k]*Tabella820[[#This Row],[Temperatura]])))/(1-EXP(-(Tabella33[Planck h]*Tabella49[Frequency7])/(Tabella33[Boltzmann k]*Tabella820[[#This Row],[Temperatura]])))</f>
        <v>0.30881690575436066</v>
      </c>
      <c r="L29" s="1" cm="1">
        <f t="array" ref="L29">(EXP(-(Tabella33[Planck h]*Tabella49[Frequency8])/(2*Tabella33[Boltzmann k]*Tabella820[[#This Row],[Temperatura]])))/(1-EXP(-(Tabella33[Planck h]*Tabella49[Frequency8])/(Tabella33[Boltzmann k]*Tabella820[[#This Row],[Temperatura]])))</f>
        <v>0.30881686223475163</v>
      </c>
      <c r="M29" s="1" cm="1">
        <f t="array" ref="M29">(EXP(-(Tabella33[Planck h]*Tabella49[Frequency9])/(2*Tabella33[Boltzmann k]*Tabella820[[#This Row],[Temperatura]])))/(1-EXP(-(Tabella33[Planck h]*Tabella49[Frequency9])/(Tabella33[Boltzmann k]*Tabella820[[#This Row],[Temperatura]])))</f>
        <v>0.30878661799922269</v>
      </c>
      <c r="N29" s="1">
        <f>PRODUCT(Tabella820[[#This Row],[Qvib1]:[Qvib9]])</f>
        <v>3.7440041298667844E-3</v>
      </c>
    </row>
    <row r="30" spans="1:14" x14ac:dyDescent="0.3">
      <c r="D30">
        <v>1900</v>
      </c>
      <c r="E30" s="1" cm="1">
        <f t="array" ref="E30">(EXP(-(Tabella33[Planck h]*Tabella49[Frequency1])/(2*Tabella33[Boltzmann k]*Tabella820[[#This Row],[Temperatura]])))/(1-EXP(-(Tabella33[Planck h]*Tabella49[Frequency1])/(Tabella33[Boltzmann k]*Tabella820[[#This Row],[Temperatura]])))</f>
        <v>0.93889040111280531</v>
      </c>
      <c r="F30" s="1" cm="1">
        <f t="array" ref="F30">(EXP(-(Tabella33[Planck h]*Tabella49[Frequency2])/(2*Tabella33[Boltzmann k]*Tabella820[[#This Row],[Temperatura]])))/(1-EXP(-(Tabella33[Planck h]*Tabella49[Frequency2])/(Tabella33[Boltzmann k]*Tabella820[[#This Row],[Temperatura]])))</f>
        <v>0.93888941794267899</v>
      </c>
      <c r="G30" s="1" cm="1">
        <f t="array" ref="G30">(EXP(-(Tabella33[Planck h]*Tabella49[Frequency3])/(2*Tabella33[Boltzmann k]*Tabella820[[#This Row],[Temperatura]])))/(1-EXP(-(Tabella33[Planck h]*Tabella49[Frequency3])/(Tabella33[Boltzmann k]*Tabella820[[#This Row],[Temperatura]])))</f>
        <v>0.9387228348707165</v>
      </c>
      <c r="H30" s="1" cm="1">
        <f t="array" ref="H30">(EXP(-(Tabella33[Planck h]*Tabella49[Frequency4])/(2*Tabella33[Boltzmann k]*Tabella820[[#This Row],[Temperatura]])))/(1-EXP(-(Tabella33[Planck h]*Tabella49[Frequency4])/(Tabella33[Boltzmann k]*Tabella820[[#This Row],[Temperatura]])))</f>
        <v>0.7970992118242114</v>
      </c>
      <c r="I30" s="1" cm="1">
        <f t="array" ref="I30">(EXP(-(Tabella33[Planck h]*Tabella49[Frequency5])/(2*Tabella33[Boltzmann k]*Tabella820[[#This Row],[Temperatura]])))/(1-EXP(-(Tabella33[Planck h]*Tabella49[Frequency5])/(Tabella33[Boltzmann k]*Tabella820[[#This Row],[Temperatura]])))</f>
        <v>0.79709847348195673</v>
      </c>
      <c r="J30" s="1" cm="1">
        <f t="array" ref="J30">(EXP(-(Tabella33[Planck h]*Tabella49[Frequency6])/(2*Tabella33[Boltzmann k]*Tabella820[[#This Row],[Temperatura]])))/(1-EXP(-(Tabella33[Planck h]*Tabella49[Frequency6])/(Tabella33[Boltzmann k]*Tabella820[[#This Row],[Temperatura]])))</f>
        <v>0.35188432526157382</v>
      </c>
      <c r="K30" s="1" cm="1">
        <f t="array" ref="K30">(EXP(-(Tabella33[Planck h]*Tabella49[Frequency7])/(2*Tabella33[Boltzmann k]*Tabella820[[#This Row],[Temperatura]])))/(1-EXP(-(Tabella33[Planck h]*Tabella49[Frequency7])/(Tabella33[Boltzmann k]*Tabella820[[#This Row],[Temperatura]])))</f>
        <v>0.33412595224647207</v>
      </c>
      <c r="L30" s="1" cm="1">
        <f t="array" ref="L30">(EXP(-(Tabella33[Planck h]*Tabella49[Frequency8])/(2*Tabella33[Boltzmann k]*Tabella820[[#This Row],[Temperatura]])))/(1-EXP(-(Tabella33[Planck h]*Tabella49[Frequency8])/(Tabella33[Boltzmann k]*Tabella820[[#This Row],[Temperatura]])))</f>
        <v>0.33412590659966745</v>
      </c>
      <c r="M30" s="1" cm="1">
        <f t="array" ref="M30">(EXP(-(Tabella33[Planck h]*Tabella49[Frequency9])/(2*Tabella33[Boltzmann k]*Tabella820[[#This Row],[Temperatura]])))/(1-EXP(-(Tabella33[Planck h]*Tabella49[Frequency9])/(Tabella33[Boltzmann k]*Tabella820[[#This Row],[Temperatura]])))</f>
        <v>0.33409418404423319</v>
      </c>
      <c r="N30" s="1">
        <f>PRODUCT(Tabella820[[#This Row],[Qvib1]:[Qvib9]])</f>
        <v>6.9004955383880099E-3</v>
      </c>
    </row>
    <row r="31" spans="1:14" x14ac:dyDescent="0.3">
      <c r="D31">
        <v>2000</v>
      </c>
      <c r="E31" s="1" cm="1">
        <f t="array" ref="E31">(EXP(-(Tabella33[Planck h]*Tabella49[Frequency1])/(2*Tabella33[Boltzmann k]*Tabella820[[#This Row],[Temperatura]])))/(1-EXP(-(Tabella33[Planck h]*Tabella49[Frequency1])/(Tabella33[Boltzmann k]*Tabella820[[#This Row],[Temperatura]])))</f>
        <v>0.99242617295535696</v>
      </c>
      <c r="F31" s="1" cm="1">
        <f t="array" ref="F31">(EXP(-(Tabella33[Planck h]*Tabella49[Frequency2])/(2*Tabella33[Boltzmann k]*Tabella820[[#This Row],[Temperatura]])))/(1-EXP(-(Tabella33[Planck h]*Tabella49[Frequency2])/(Tabella33[Boltzmann k]*Tabella820[[#This Row],[Temperatura]])))</f>
        <v>0.99242514156516382</v>
      </c>
      <c r="G31" s="1" cm="1">
        <f t="array" ref="G31">(EXP(-(Tabella33[Planck h]*Tabella49[Frequency3])/(2*Tabella33[Boltzmann k]*Tabella820[[#This Row],[Temperatura]])))/(1-EXP(-(Tabella33[Planck h]*Tabella49[Frequency3])/(Tabella33[Boltzmann k]*Tabella820[[#This Row],[Temperatura]])))</f>
        <v>0.99225038842077062</v>
      </c>
      <c r="H31" s="1" cm="1">
        <f t="array" ref="H31">(EXP(-(Tabella33[Planck h]*Tabella49[Frequency4])/(2*Tabella33[Boltzmann k]*Tabella820[[#This Row],[Temperatura]])))/(1-EXP(-(Tabella33[Planck h]*Tabella49[Frequency4])/(Tabella33[Boltzmann k]*Tabella820[[#This Row],[Temperatura]])))</f>
        <v>0.84374146137881301</v>
      </c>
      <c r="I31" s="1" cm="1">
        <f t="array" ref="I31">(EXP(-(Tabella33[Planck h]*Tabella49[Frequency5])/(2*Tabella33[Boltzmann k]*Tabella820[[#This Row],[Temperatura]])))/(1-EXP(-(Tabella33[Planck h]*Tabella49[Frequency5])/(Tabella33[Boltzmann k]*Tabella820[[#This Row],[Temperatura]])))</f>
        <v>0.84374068748474118</v>
      </c>
      <c r="J31" s="1" cm="1">
        <f t="array" ref="J31">(EXP(-(Tabella33[Planck h]*Tabella49[Frequency6])/(2*Tabella33[Boltzmann k]*Tabella820[[#This Row],[Temperatura]])))/(1-EXP(-(Tabella33[Planck h]*Tabella49[Frequency6])/(Tabella33[Boltzmann k]*Tabella820[[#This Row],[Temperatura]])))</f>
        <v>0.37784295844132398</v>
      </c>
      <c r="K31" s="1" cm="1">
        <f t="array" ref="K31">(EXP(-(Tabella33[Planck h]*Tabella49[Frequency7])/(2*Tabella33[Boltzmann k]*Tabella820[[#This Row],[Temperatura]])))/(1-EXP(-(Tabella33[Planck h]*Tabella49[Frequency7])/(Tabella33[Boltzmann k]*Tabella820[[#This Row],[Temperatura]])))</f>
        <v>0.35927277826046194</v>
      </c>
      <c r="L31" s="1" cm="1">
        <f t="array" ref="L31">(EXP(-(Tabella33[Planck h]*Tabella49[Frequency8])/(2*Tabella33[Boltzmann k]*Tabella820[[#This Row],[Temperatura]])))/(1-EXP(-(Tabella33[Planck h]*Tabella49[Frequency8])/(Tabella33[Boltzmann k]*Tabella820[[#This Row],[Temperatura]])))</f>
        <v>0.35927273052144792</v>
      </c>
      <c r="M31" s="1" cm="1">
        <f t="array" ref="M31">(EXP(-(Tabella33[Planck h]*Tabella49[Frequency9])/(2*Tabella33[Boltzmann k]*Tabella820[[#This Row],[Temperatura]])))/(1-EXP(-(Tabella33[Planck h]*Tabella49[Frequency9])/(Tabella33[Boltzmann k]*Tabella820[[#This Row],[Temperatura]])))</f>
        <v>0.35923955396323592</v>
      </c>
      <c r="N31" s="1">
        <f>PRODUCT(Tabella820[[#This Row],[Qvib1]:[Qvib9]])</f>
        <v>1.2189325562006562E-2</v>
      </c>
    </row>
    <row r="37" spans="1:11" x14ac:dyDescent="0.3">
      <c r="A37" t="s">
        <v>4</v>
      </c>
      <c r="B37" t="s">
        <v>19</v>
      </c>
      <c r="C37" t="s">
        <v>5</v>
      </c>
      <c r="D37" t="s">
        <v>6</v>
      </c>
      <c r="E37" t="s">
        <v>7</v>
      </c>
      <c r="F37" t="s">
        <v>8</v>
      </c>
    </row>
    <row r="38" spans="1:11" x14ac:dyDescent="0.3">
      <c r="A38">
        <v>298</v>
      </c>
      <c r="B38" s="1" cm="1">
        <f t="array" ref="B38">(Tabella33[Boltzmann k]*Tabella518[[#This Row],[Temperatura]])/101325</f>
        <v>4.0605319713792254E-26</v>
      </c>
      <c r="C38" s="1" cm="1">
        <f t="array" ref="C38">POWER((2*Tabella33[Pi Greco]*Tabella33[Massa]*Tabella33[Boltzmann k]*Tabella518[[#This Row],[Temperatura]])/(POWER(Tabella33[Planck h],2)),1.5)*Tabella518[[#This Row],[Volume]]</f>
        <v>2521877.4627657244</v>
      </c>
      <c r="D38">
        <f t="shared" ref="D38:D55" si="0">PRODUCT(E14:M14)</f>
        <v>2.4684156686781186E-21</v>
      </c>
      <c r="E38" s="1" cm="1">
        <f t="array" ref="E38">(8*POWER(Tabella33[Pi Greco],2)*POWER(2*Tabella33[Pi Greco]*Tabella33[Boltzmann k]*Tabella518[[#This Row],[Temperatura]],1.5)*Tabella1[Total Moment of Inertia])/(Tabella619[Simmetry Number]*POWER(Tabella33[Planck h],3))</f>
        <v>146.27541669686576</v>
      </c>
      <c r="F38">
        <f>1</f>
        <v>1</v>
      </c>
    </row>
    <row r="39" spans="1:11" x14ac:dyDescent="0.3">
      <c r="A39">
        <v>400</v>
      </c>
      <c r="B39" s="1" cm="1">
        <f t="array" ref="B39">(Tabella33[Boltzmann k]*Tabella518[[#This Row],[Temperatura]])/101325</f>
        <v>5.4503784850727862E-26</v>
      </c>
      <c r="C39" s="1" cm="1">
        <f t="array" ref="C39">POWER((2*Tabella33[Pi Greco]*Tabella33[Massa]*Tabella33[Boltzmann k]*Tabella518[[#This Row],[Temperatura]])/(POWER(Tabella33[Planck h],2)),1.5)*Tabella518[[#This Row],[Volume]]</f>
        <v>5264211.124957609</v>
      </c>
      <c r="D39">
        <f t="shared" si="0"/>
        <v>4.5603329076358544E-16</v>
      </c>
      <c r="E39" s="1" cm="1">
        <f t="array" ref="E39">(8*POWER(Tabella33[Pi Greco],2)*POWER(2*Tabella33[Pi Greco]*Tabella33[Boltzmann k]*Tabella518[[#This Row],[Temperatura]],1.5)*Tabella1[Total Moment of Inertia])/(Tabella619[Simmetry Number]*POWER(Tabella33[Planck h],3))</f>
        <v>227.47670812841204</v>
      </c>
      <c r="F39">
        <f>1</f>
        <v>1</v>
      </c>
      <c r="H39" t="s">
        <v>71</v>
      </c>
      <c r="I39" t="s">
        <v>72</v>
      </c>
      <c r="J39" t="s">
        <v>73</v>
      </c>
      <c r="K39" s="16" t="s">
        <v>74</v>
      </c>
    </row>
    <row r="40" spans="1:11" x14ac:dyDescent="0.3">
      <c r="A40">
        <v>500</v>
      </c>
      <c r="B40" s="1" cm="1">
        <f t="array" ref="B40">(Tabella33[Boltzmann k]*Tabella518[[#This Row],[Temperatura]])/101325</f>
        <v>6.8129731063409828E-26</v>
      </c>
      <c r="C40" s="1" cm="1">
        <f t="array" ref="C40">POWER((2*Tabella33[Pi Greco]*Tabella33[Massa]*Tabella33[Boltzmann k]*Tabella518[[#This Row],[Temperatura]])/(POWER(Tabella33[Planck h],2)),1.5)*Tabella518[[#This Row],[Volume]]</f>
        <v>9196198.377590565</v>
      </c>
      <c r="D40">
        <f t="shared" si="0"/>
        <v>5.6707014620515153E-13</v>
      </c>
      <c r="E40" s="1" cm="1">
        <f t="array" ref="E40">(8*POWER(Tabella33[Pi Greco],2)*POWER(2*Tabella33[Pi Greco]*Tabella33[Boltzmann k]*Tabella518[[#This Row],[Temperatura]],1.5)*Tabella1[Total Moment of Inertia])/(Tabella619[Simmetry Number]*POWER(Tabella33[Planck h],3))</f>
        <v>317.90836417062752</v>
      </c>
      <c r="F40">
        <f>1</f>
        <v>1</v>
      </c>
      <c r="H40" t="s">
        <v>5</v>
      </c>
      <c r="I40" s="1">
        <f>C38</f>
        <v>2521877.4627657244</v>
      </c>
      <c r="J40" s="1">
        <f>2522950</f>
        <v>2522950</v>
      </c>
      <c r="K40" s="17">
        <f>ABS(Tabella20[[#This Row],[My value]]-Tabella20[[#This Row],[Gaussian]])/Tabella20[[#This Row],[Gaussian]]</f>
        <v>4.2511236222501507E-4</v>
      </c>
    </row>
    <row r="41" spans="1:11" x14ac:dyDescent="0.3">
      <c r="A41">
        <v>600</v>
      </c>
      <c r="B41" s="1" cm="1">
        <f t="array" ref="B41">(Tabella33[Boltzmann k]*Tabella518[[#This Row],[Temperatura]])/101325</f>
        <v>8.1755677276091782E-26</v>
      </c>
      <c r="C41" s="1" cm="1">
        <f t="array" ref="C41">POWER((2*Tabella33[Pi Greco]*Tabella33[Massa]*Tabella33[Boltzmann k]*Tabella518[[#This Row],[Temperatura]])/(POWER(Tabella33[Planck h],2)),1.5)*Tabella518[[#This Row],[Volume]]</f>
        <v>14506460.04873226</v>
      </c>
      <c r="D41">
        <f t="shared" si="0"/>
        <v>6.8848518278132965E-11</v>
      </c>
      <c r="E41" s="1" cm="1">
        <f t="array" ref="E41">(8*POWER(Tabella33[Pi Greco],2)*POWER(2*Tabella33[Pi Greco]*Tabella33[Boltzmann k]*Tabella518[[#This Row],[Temperatura]],1.5)*Tabella1[Total Moment of Inertia])/(Tabella619[Simmetry Number]*POWER(Tabella33[Planck h],3))</f>
        <v>417.90139746196849</v>
      </c>
      <c r="F41">
        <f>1</f>
        <v>1</v>
      </c>
      <c r="H41" t="s">
        <v>6</v>
      </c>
      <c r="I41">
        <f>D38</f>
        <v>2.4684156686781186E-21</v>
      </c>
      <c r="J41" s="1">
        <f>2.52847E-21</f>
        <v>2.5284699999999998E-21</v>
      </c>
      <c r="K41" s="15">
        <f>ABS(Tabella20[[#This Row],[My value]]-Tabella20[[#This Row],[Gaussian]])/Tabella20[[#This Row],[Gaussian]]</f>
        <v>2.3751253256665592E-2</v>
      </c>
    </row>
    <row r="42" spans="1:11" x14ac:dyDescent="0.3">
      <c r="A42">
        <v>700</v>
      </c>
      <c r="B42" s="1" cm="1">
        <f t="array" ref="B42">(Tabella33[Boltzmann k]*Tabella518[[#This Row],[Temperatura]])/101325</f>
        <v>9.5381623488773759E-26</v>
      </c>
      <c r="C42" s="1" cm="1">
        <f t="array" ref="C42">POWER((2*Tabella33[Pi Greco]*Tabella33[Massa]*Tabella33[Boltzmann k]*Tabella518[[#This Row],[Temperatura]])/(POWER(Tabella33[Planck h],2)),1.5)*Tabella518[[#This Row],[Volume]]</f>
        <v>21326933.774790563</v>
      </c>
      <c r="D42">
        <f t="shared" si="0"/>
        <v>2.2329538994490243E-9</v>
      </c>
      <c r="E42" s="1" cm="1">
        <f t="array" ref="E42">(8*POWER(Tabella33[Pi Greco],2)*POWER(2*Tabella33[Pi Greco]*Tabella33[Boltzmann k]*Tabella518[[#This Row],[Temperatura]],1.5)*Tabella1[Total Moment of Inertia])/(Tabella619[Simmetry Number]*POWER(Tabella33[Planck h],3))</f>
        <v>526.61594892147468</v>
      </c>
      <c r="F42">
        <f>1</f>
        <v>1</v>
      </c>
      <c r="H42" t="s">
        <v>7</v>
      </c>
      <c r="I42" s="1">
        <f>E38</f>
        <v>146.27541669686576</v>
      </c>
      <c r="J42" s="1">
        <f>146.386</f>
        <v>146.386</v>
      </c>
      <c r="K42" s="17">
        <f>ABS(Tabella20[[#This Row],[My value]]-Tabella20[[#This Row],[Gaussian]])/Tabella20[[#This Row],[Gaussian]]</f>
        <v>7.5542267111769067E-4</v>
      </c>
    </row>
    <row r="43" spans="1:11" x14ac:dyDescent="0.3">
      <c r="A43">
        <v>800</v>
      </c>
      <c r="B43" s="1" cm="1">
        <f t="array" ref="B43">(Tabella33[Boltzmann k]*Tabella518[[#This Row],[Temperatura]])/101325</f>
        <v>1.0900756970145572E-25</v>
      </c>
      <c r="C43" s="1" cm="1">
        <f t="array" ref="C43">POWER((2*Tabella33[Pi Greco]*Tabella33[Massa]*Tabella33[Boltzmann k]*Tabella518[[#This Row],[Temperatura]])/(POWER(Tabella33[Planck h],2)),1.5)*Tabella518[[#This Row],[Volume]]</f>
        <v>29778875.0724416</v>
      </c>
      <c r="D43">
        <f t="shared" si="0"/>
        <v>3.1905686644379746E-8</v>
      </c>
      <c r="E43" s="1" cm="1">
        <f t="array" ref="E43">(8*POWER(Tabella33[Pi Greco],2)*POWER(2*Tabella33[Pi Greco]*Tabella33[Boltzmann k]*Tabella518[[#This Row],[Temperatura]],1.5)*Tabella1[Total Moment of Inertia])/(Tabella619[Simmetry Number]*POWER(Tabella33[Planck h],3))</f>
        <v>643.4012915183655</v>
      </c>
      <c r="F43">
        <f>1</f>
        <v>1</v>
      </c>
      <c r="H43" t="s">
        <v>8</v>
      </c>
      <c r="I43">
        <f>F38</f>
        <v>1</v>
      </c>
      <c r="J43">
        <v>1</v>
      </c>
      <c r="K43" s="15">
        <f>ABS(Tabella20[[#This Row],[My value]]-Tabella20[[#This Row],[Gaussian]])/Tabella20[[#This Row],[Gaussian]]</f>
        <v>0</v>
      </c>
    </row>
    <row r="44" spans="1:11" x14ac:dyDescent="0.3">
      <c r="A44">
        <v>900</v>
      </c>
      <c r="B44" s="1" cm="1">
        <f t="array" ref="B44">(Tabella33[Boltzmann k]*Tabella518[[#This Row],[Temperatura]])/101325</f>
        <v>1.2263351591413768E-25</v>
      </c>
      <c r="C44" s="1" cm="1">
        <f t="array" ref="C44">POWER((2*Tabella33[Pi Greco]*Tabella33[Massa]*Tabella33[Boltzmann k]*Tabella518[[#This Row],[Temperatura]])/(POWER(Tabella33[Planck h],2)),1.5)*Tabella518[[#This Row],[Volume]]</f>
        <v>39975103.230146907</v>
      </c>
      <c r="D44">
        <f t="shared" si="0"/>
        <v>2.6470866318275023E-7</v>
      </c>
      <c r="E44" s="1" cm="1">
        <f t="array" ref="E44">(8*POWER(Tabella33[Pi Greco],2)*POWER(2*Tabella33[Pi Greco]*Tabella33[Boltzmann k]*Tabella518[[#This Row],[Temperatura]],1.5)*Tabella1[Total Moment of Inertia])/(Tabella619[Simmetry Number]*POWER(Tabella33[Planck h],3))</f>
        <v>767.73388993338096</v>
      </c>
      <c r="F44">
        <f>1</f>
        <v>1</v>
      </c>
    </row>
    <row r="45" spans="1:11" x14ac:dyDescent="0.3">
      <c r="A45">
        <v>1000</v>
      </c>
      <c r="B45" s="1" cm="1">
        <f t="array" ref="B45">(Tabella33[Boltzmann k]*Tabella518[[#This Row],[Temperatura]])/101325</f>
        <v>1.3625946212681966E-25</v>
      </c>
      <c r="C45" s="1" cm="1">
        <f t="array" ref="C45">POWER((2*Tabella33[Pi Greco]*Tabella33[Massa]*Tabella33[Boltzmann k]*Tabella518[[#This Row],[Temperatura]])/(POWER(Tabella33[Planck h],2)),1.5)*Tabella518[[#This Row],[Volume]]</f>
        <v>52021553.871447526</v>
      </c>
      <c r="D45">
        <f t="shared" si="0"/>
        <v>1.5032282671174634E-6</v>
      </c>
      <c r="E45" s="1" cm="1">
        <f t="array" ref="E45">(8*POWER(Tabella33[Pi Greco],2)*POWER(2*Tabella33[Pi Greco]*Tabella33[Boltzmann k]*Tabella518[[#This Row],[Temperatura]],1.5)*Tabella1[Total Moment of Inertia])/(Tabella619[Simmetry Number]*POWER(Tabella33[Planck h],3))</f>
        <v>899.18064040388253</v>
      </c>
      <c r="F45">
        <f>1</f>
        <v>1</v>
      </c>
    </row>
    <row r="46" spans="1:11" x14ac:dyDescent="0.3">
      <c r="A46">
        <v>1100</v>
      </c>
      <c r="B46" s="1" cm="1">
        <f t="array" ref="B46">(Tabella33[Boltzmann k]*Tabella518[[#This Row],[Temperatura]])/101325</f>
        <v>1.4988540833950161E-25</v>
      </c>
      <c r="C46" s="1" cm="1">
        <f t="array" ref="C46">POWER((2*Tabella33[Pi Greco]*Tabella33[Massa]*Tabella33[Boltzmann k]*Tabella518[[#This Row],[Temperatura]])/(POWER(Tabella33[Planck h],2)),1.5)*Tabella518[[#This Row],[Volume]]</f>
        <v>66018405.855081007</v>
      </c>
      <c r="D46">
        <f t="shared" si="0"/>
        <v>6.4830923741909241E-6</v>
      </c>
      <c r="E46" s="1" cm="1">
        <f t="array" ref="E46">(8*POWER(Tabella33[Pi Greco],2)*POWER(2*Tabella33[Pi Greco]*Tabella33[Boltzmann k]*Tabella518[[#This Row],[Temperatura]],1.5)*Tabella1[Total Moment of Inertia])/(Tabella619[Simmetry Number]*POWER(Tabella33[Planck h],3))</f>
        <v>1037.3754729347916</v>
      </c>
      <c r="F46">
        <f>1</f>
        <v>1</v>
      </c>
    </row>
    <row r="47" spans="1:11" x14ac:dyDescent="0.3">
      <c r="A47">
        <v>1200</v>
      </c>
      <c r="B47" s="1" cm="1">
        <f t="array" ref="B47">(Tabella33[Boltzmann k]*Tabella518[[#This Row],[Temperatura]])/101325</f>
        <v>1.6351135455218356E-25</v>
      </c>
      <c r="C47" s="1" cm="1">
        <f t="array" ref="C47">POWER((2*Tabella33[Pi Greco]*Tabella33[Massa]*Tabella33[Boltzmann k]*Tabella518[[#This Row],[Temperatura]])/(POWER(Tabella33[Planck h],2)),1.5)*Tabella518[[#This Row],[Volume]]</f>
        <v>82060930.171762764</v>
      </c>
      <c r="D47">
        <f t="shared" si="0"/>
        <v>2.2747080536235654E-5</v>
      </c>
      <c r="E47" s="1" cm="1">
        <f t="array" ref="E47">(8*POWER(Tabella33[Pi Greco],2)*POWER(2*Tabella33[Pi Greco]*Tabella33[Boltzmann k]*Tabella518[[#This Row],[Temperatura]],1.5)*Tabella1[Total Moment of Inertia])/(Tabella619[Simmetry Number]*POWER(Tabella33[Planck h],3))</f>
        <v>1182.0036480507736</v>
      </c>
      <c r="F47">
        <f>1</f>
        <v>1</v>
      </c>
    </row>
    <row r="48" spans="1:11" x14ac:dyDescent="0.3">
      <c r="A48">
        <v>1300</v>
      </c>
      <c r="B48" s="1" cm="1">
        <f t="array" ref="B48">(Tabella33[Boltzmann k]*Tabella518[[#This Row],[Temperatura]])/101325</f>
        <v>1.7713730076486554E-25</v>
      </c>
      <c r="C48" s="1" cm="1">
        <f t="array" ref="C48">POWER((2*Tabella33[Pi Greco]*Tabella33[Massa]*Tabella33[Boltzmann k]*Tabella518[[#This Row],[Temperatura]])/(POWER(Tabella33[Planck h],2)),1.5)*Tabella518[[#This Row],[Volume]]</f>
        <v>100240148.4364855</v>
      </c>
      <c r="D48">
        <f t="shared" si="0"/>
        <v>6.8078103134747373E-5</v>
      </c>
      <c r="E48" s="1" cm="1">
        <f t="array" ref="E48">(8*POWER(Tabella33[Pi Greco],2)*POWER(2*Tabella33[Pi Greco]*Tabella33[Boltzmann k]*Tabella518[[#This Row],[Temperatura]],1.5)*Tabella1[Total Moment of Inertia])/(Tabella619[Simmetry Number]*POWER(Tabella33[Planck h],3))</f>
        <v>1332.7907695874394</v>
      </c>
      <c r="F48">
        <f>1</f>
        <v>1</v>
      </c>
    </row>
    <row r="49" spans="1:23" x14ac:dyDescent="0.3">
      <c r="A49">
        <v>1400</v>
      </c>
      <c r="B49" s="1" cm="1">
        <f t="array" ref="B49">(Tabella33[Boltzmann k]*Tabella518[[#This Row],[Temperatura]])/101325</f>
        <v>1.9076324697754752E-25</v>
      </c>
      <c r="C49" s="1" cm="1">
        <f t="array" ref="C49">POWER((2*Tabella33[Pi Greco]*Tabella33[Massa]*Tabella33[Boltzmann k]*Tabella518[[#This Row],[Temperatura]])/(POWER(Tabella33[Planck h],2)),1.5)*Tabella518[[#This Row],[Volume]]</f>
        <v>120643355.95256518</v>
      </c>
      <c r="D49">
        <f t="shared" si="0"/>
        <v>1.7972895619725306E-4</v>
      </c>
      <c r="E49" s="1" cm="1">
        <f t="array" ref="E49">(8*POWER(Tabella33[Pi Greco],2)*POWER(2*Tabella33[Pi Greco]*Tabella33[Boltzmann k]*Tabella518[[#This Row],[Temperatura]],1.5)*Tabella1[Total Moment of Inertia])/(Tabella619[Simmetry Number]*POWER(Tabella33[Planck h],3))</f>
        <v>1489.4948342534576</v>
      </c>
      <c r="F49">
        <f>1</f>
        <v>1</v>
      </c>
    </row>
    <row r="50" spans="1:23" x14ac:dyDescent="0.3">
      <c r="A50">
        <v>1500</v>
      </c>
      <c r="B50" s="1" cm="1">
        <f t="array" ref="B50">(Tabella33[Boltzmann k]*Tabella518[[#This Row],[Temperatura]])/101325</f>
        <v>2.0438919319022949E-25</v>
      </c>
      <c r="C50" s="1" cm="1">
        <f t="array" ref="C50">POWER((2*Tabella33[Pi Greco]*Tabella33[Massa]*Tabella33[Boltzmann k]*Tabella518[[#This Row],[Temperatura]])/(POWER(Tabella33[Planck h],2)),1.5)*Tabella518[[#This Row],[Volume]]</f>
        <v>143354545.43822351</v>
      </c>
      <c r="D50">
        <f t="shared" si="0"/>
        <v>4.2894370885485442E-4</v>
      </c>
      <c r="E50" s="1" cm="1">
        <f t="array" ref="E50">(8*POWER(Tabella33[Pi Greco],2)*POWER(2*Tabella33[Pi Greco]*Tabella33[Boltzmann k]*Tabella518[[#This Row],[Temperatura]],1.5)*Tabella1[Total Moment of Inertia])/(Tabella619[Simmetry Number]*POWER(Tabella33[Planck h],3))</f>
        <v>1651.9003166839025</v>
      </c>
      <c r="F50">
        <f>1</f>
        <v>1</v>
      </c>
    </row>
    <row r="51" spans="1:23" x14ac:dyDescent="0.3">
      <c r="A51">
        <v>1600</v>
      </c>
      <c r="B51" s="1" cm="1">
        <f t="array" ref="B51">(Tabella33[Boltzmann k]*Tabella518[[#This Row],[Temperatura]])/101325</f>
        <v>2.1801513940291145E-25</v>
      </c>
      <c r="C51" s="1" cm="1">
        <f t="array" ref="C51">POWER((2*Tabella33[Pi Greco]*Tabella33[Massa]*Tabella33[Boltzmann k]*Tabella518[[#This Row],[Temperatura]])/(POWER(Tabella33[Planck h],2)),1.5)*Tabella518[[#This Row],[Volume]]</f>
        <v>168454755.99864444</v>
      </c>
      <c r="D51">
        <f t="shared" si="0"/>
        <v>9.4254396304753007E-4</v>
      </c>
      <c r="E51" s="1" cm="1">
        <f t="array" ref="E51">(8*POWER(Tabella33[Pi Greco],2)*POWER(2*Tabella33[Pi Greco]*Tabella33[Boltzmann k]*Tabella518[[#This Row],[Temperatura]],1.5)*Tabella1[Total Moment of Inertia])/(Tabella619[Simmetry Number]*POWER(Tabella33[Planck h],3))</f>
        <v>1819.8136650272811</v>
      </c>
      <c r="F51">
        <f>1</f>
        <v>1</v>
      </c>
    </row>
    <row r="52" spans="1:23" x14ac:dyDescent="0.3">
      <c r="A52">
        <v>1700</v>
      </c>
      <c r="B52" s="1" cm="1">
        <f t="array" ref="B52">(Tabella33[Boltzmann k]*Tabella518[[#This Row],[Temperatura]])/101325</f>
        <v>2.316410856155934E-25</v>
      </c>
      <c r="C52" s="1" cm="1">
        <f t="array" ref="C52">POWER((2*Tabella33[Pi Greco]*Tabella33[Massa]*Tabella33[Boltzmann k]*Tabella518[[#This Row],[Temperatura]])/(POWER(Tabella33[Planck h],2)),1.5)*Tabella518[[#This Row],[Volume]]</f>
        <v>196022364.61200806</v>
      </c>
      <c r="D52">
        <f t="shared" si="0"/>
        <v>1.9336581158986477E-3</v>
      </c>
      <c r="E52" s="1" cm="1">
        <f t="array" ref="E52">(8*POWER(Tabella33[Pi Greco],2)*POWER(2*Tabella33[Pi Greco]*Tabella33[Boltzmann k]*Tabella518[[#This Row],[Temperatura]],1.5)*Tabella1[Total Moment of Inertia])/(Tabella619[Simmetry Number]*POWER(Tabella33[Planck h],3))</f>
        <v>1993.0598018351375</v>
      </c>
      <c r="F52">
        <f>1</f>
        <v>1</v>
      </c>
    </row>
    <row r="53" spans="1:23" x14ac:dyDescent="0.3">
      <c r="A53">
        <v>1800</v>
      </c>
      <c r="B53" s="1" cm="1">
        <f t="array" ref="B53">(Tabella33[Boltzmann k]*Tabella518[[#This Row],[Temperatura]])/101325</f>
        <v>2.4526703182827536E-25</v>
      </c>
      <c r="C53" s="1" cm="1">
        <f t="array" ref="C53">POWER((2*Tabella33[Pi Greco]*Tabella33[Massa]*Tabella33[Boltzmann k]*Tabella518[[#This Row],[Temperatura]])/(POWER(Tabella33[Planck h],2)),1.5)*Tabella518[[#This Row],[Volume]]</f>
        <v>226133332.58135051</v>
      </c>
      <c r="D53">
        <f t="shared" si="0"/>
        <v>3.7440041298667844E-3</v>
      </c>
      <c r="E53" s="1" cm="1">
        <f t="array" ref="E53">(8*POWER(Tabella33[Pi Greco],2)*POWER(2*Tabella33[Pi Greco]*Tabella33[Boltzmann k]*Tabella518[[#This Row],[Temperatura]],1.5)*Tabella1[Total Moment of Inertia])/(Tabella619[Simmetry Number]*POWER(Tabella33[Planck h],3))</f>
        <v>2171.4793588744874</v>
      </c>
      <c r="F53">
        <f>1</f>
        <v>1</v>
      </c>
    </row>
    <row r="54" spans="1:23" x14ac:dyDescent="0.3">
      <c r="A54">
        <v>1900</v>
      </c>
      <c r="B54" s="1" cm="1">
        <f t="array" ref="B54">(Tabella33[Boltzmann k]*Tabella518[[#This Row],[Temperatura]])/101325</f>
        <v>2.5889297804095731E-25</v>
      </c>
      <c r="C54" s="1" cm="1">
        <f t="array" ref="C54">POWER((2*Tabella33[Pi Greco]*Tabella33[Massa]*Tabella33[Boltzmann k]*Tabella518[[#This Row],[Temperatura]])/(POWER(Tabella33[Planck h],2)),1.5)*Tabella518[[#This Row],[Volume]]</f>
        <v>258861416.13519424</v>
      </c>
      <c r="D54">
        <f t="shared" si="0"/>
        <v>6.9004955383880099E-3</v>
      </c>
      <c r="E54" s="1" cm="1">
        <f t="array" ref="E54">(8*POWER(Tabella33[Pi Greco],2)*POWER(2*Tabella33[Pi Greco]*Tabella33[Boltzmann k]*Tabella518[[#This Row],[Temperatura]],1.5)*Tabella1[Total Moment of Inertia])/(Tabella619[Simmetry Number]*POWER(Tabella33[Planck h],3))</f>
        <v>2354.9264590099669</v>
      </c>
      <c r="F54">
        <f>1</f>
        <v>1</v>
      </c>
    </row>
    <row r="55" spans="1:23" x14ac:dyDescent="0.3">
      <c r="A55">
        <v>2000</v>
      </c>
      <c r="B55" s="1" cm="1">
        <f t="array" ref="B55">(Tabella33[Boltzmann k]*Tabella518[[#This Row],[Temperatura]])/101325</f>
        <v>2.7251892425363931E-25</v>
      </c>
      <c r="C55" s="1" cm="1">
        <f t="array" ref="C55">POWER((2*Tabella33[Pi Greco]*Tabella33[Massa]*Tabella33[Boltzmann k]*Tabella518[[#This Row],[Temperatura]])/(POWER(Tabella33[Planck h],2)),1.5)*Tabella518[[#This Row],[Volume]]</f>
        <v>294278348.08289552</v>
      </c>
      <c r="D55">
        <f t="shared" si="0"/>
        <v>1.2189325562006562E-2</v>
      </c>
      <c r="E55" s="1" cm="1">
        <f t="array" ref="E55">(8*POWER(Tabella33[Pi Greco],2)*POWER(2*Tabella33[Pi Greco]*Tabella33[Boltzmann k]*Tabella518[[#This Row],[Temperatura]],1.5)*Tabella1[Total Moment of Inertia])/(Tabella619[Simmetry Number]*POWER(Tabella33[Planck h],3))</f>
        <v>2543.2669133649983</v>
      </c>
      <c r="F55">
        <f>1</f>
        <v>1</v>
      </c>
    </row>
    <row r="60" spans="1:23" x14ac:dyDescent="0.3">
      <c r="F60" t="s">
        <v>94</v>
      </c>
      <c r="G60" t="s">
        <v>95</v>
      </c>
      <c r="H60" t="s">
        <v>96</v>
      </c>
    </row>
    <row r="61" spans="1:23" x14ac:dyDescent="0.3">
      <c r="F61" s="23">
        <f>7.55819</f>
        <v>7.5581899999999997</v>
      </c>
      <c r="G61" s="23">
        <f>7.55783</f>
        <v>7.55783</v>
      </c>
      <c r="H61" s="23">
        <f>7.55783</f>
        <v>7.55783</v>
      </c>
    </row>
    <row r="64" spans="1:23" x14ac:dyDescent="0.3">
      <c r="A64" s="5" t="s">
        <v>4</v>
      </c>
      <c r="B64" s="5" t="s">
        <v>22</v>
      </c>
      <c r="C64" s="5" t="s">
        <v>19</v>
      </c>
      <c r="D64" s="5" t="s">
        <v>24</v>
      </c>
      <c r="F64" s="5" t="s">
        <v>4</v>
      </c>
      <c r="G64" s="5" t="s">
        <v>44</v>
      </c>
      <c r="H64" s="5" t="s">
        <v>93</v>
      </c>
      <c r="I64" s="5"/>
      <c r="K64" t="s">
        <v>70</v>
      </c>
      <c r="L64" t="s">
        <v>23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40</v>
      </c>
      <c r="U64" t="s">
        <v>41</v>
      </c>
      <c r="V64" t="s">
        <v>42</v>
      </c>
      <c r="W64" t="s">
        <v>43</v>
      </c>
    </row>
    <row r="65" spans="1:24" x14ac:dyDescent="0.3">
      <c r="A65" s="3">
        <v>298</v>
      </c>
      <c r="B65" cm="1">
        <f t="array" ref="B65">POWER((2*Tabella33[Pi Greco]*Tabella33[Massa]*Tabella33[Boltzmann k]*Tabella122[[#This Row],[Temperatura]])/(POWER(Tabella33[Planck h],2)),1.5)</f>
        <v>6.2107070712439871E+31</v>
      </c>
      <c r="C65" s="1" cm="1">
        <f t="array" ref="C65">(Tabella122[[#This Row],[Temperatura]]*Tabella33[Rydberg R])/101325</f>
        <v>2.4453093274117942E-2</v>
      </c>
      <c r="D65" s="1" cm="1">
        <f t="array" ref="D65">Tabella33[Rydberg R]*LN((Tabella122[[#This Row],[Volume]]/Tabella33[Avogadro N])*EXP(2.5)*Tabella122[[#This Row],[Translational Factor]])</f>
        <v>143.34559928506391</v>
      </c>
      <c r="F65" s="3">
        <v>298</v>
      </c>
      <c r="G65" s="18" cm="1">
        <f t="array" ref="G65">Tabella33[Rydberg R]*LN((EXP(1)*Tabella1326[[#This Row],[Temperatura]])/(Tabella3[Theta rot]*Tabella619[Simmetry Number]))</f>
        <v>-413.21462146156006</v>
      </c>
      <c r="H65" s="18" cm="1">
        <f t="array" ref="H65">Tabella33[Rydberg R]*(1.5 + LN(SQRT((PI()*POWER(Tabella1326[[#This Row],[Temperatura]],3))/(Tabella619[Simmetry Number]*Tabella619[Simmetry Number]*PRODUCT(Tabella4[])))))</f>
        <v>53.92338427077113</v>
      </c>
      <c r="I65" s="30"/>
      <c r="K65" s="2">
        <f>B14</f>
        <v>40391551585710</v>
      </c>
      <c r="L65" s="8" cm="1">
        <f t="array" ref="L65">(Tabella33[Planck h]*Tabella1023[[#This Row],[Frequencies'[s^-1']]])/Tabella33[Boltzmann k]</f>
        <v>1938.488741702331</v>
      </c>
      <c r="O65" s="8">
        <f>Tabella1023[[#This Row],[Theta vib]]</f>
        <v>1938.488741702331</v>
      </c>
      <c r="P65" s="8">
        <f>L66</f>
        <v>1938.4906121156534</v>
      </c>
      <c r="Q65" s="1">
        <f>L67</f>
        <v>1938.8075752348095</v>
      </c>
      <c r="R65" s="1">
        <f>L68</f>
        <v>2249.8715546504354</v>
      </c>
      <c r="S65" s="1">
        <f>L69</f>
        <v>2249.8734250637576</v>
      </c>
      <c r="T65" s="1">
        <f>L70</f>
        <v>4370.3136727124402</v>
      </c>
      <c r="U65" s="1">
        <f>L71</f>
        <v>4532.5936101142997</v>
      </c>
      <c r="V65" s="1">
        <f>L72</f>
        <v>4532.5940417481434</v>
      </c>
      <c r="W65" s="1">
        <f>L73</f>
        <v>4532.8940272694517</v>
      </c>
    </row>
    <row r="66" spans="1:24" x14ac:dyDescent="0.3">
      <c r="A66" s="3">
        <v>400</v>
      </c>
      <c r="B66" cm="1">
        <f t="array" ref="B66">POWER((2*Tabella33[Pi Greco]*Tabella33[Massa]*Tabella33[Boltzmann k]*Tabella122[[#This Row],[Temperatura]])/(POWER(Tabella33[Planck h],2)),1.5)</f>
        <v>9.6584322343392438E+31</v>
      </c>
      <c r="C66" s="1" cm="1">
        <f t="array" ref="C66">(Tabella122[[#This Row],[Temperatura]]*Tabella33[Rydberg R])/101325</f>
        <v>3.2822943992104614E-2</v>
      </c>
      <c r="D66" s="1" cm="1">
        <f t="array" ref="D66">Tabella33[Rydberg R]*LN((Tabella122[[#This Row],[Volume]]/Tabella33[Avogadro N])*EXP(2.5)*Tabella122[[#This Row],[Translational Factor]])</f>
        <v>149.46444177826342</v>
      </c>
      <c r="F66" s="3">
        <v>400</v>
      </c>
      <c r="G66" s="18" cm="1">
        <f t="array" ref="G66">Tabella33[Rydberg R]*LN((EXP(1)*Tabella1326[[#This Row],[Temperatura]])/(Tabella3[Theta rot]*Tabella619[Simmetry Number]))</f>
        <v>-410.76708446428023</v>
      </c>
      <c r="H66" s="18" cm="1">
        <f t="array" ref="H66">Tabella33[Rydberg R]*(1.5 + LN(SQRT((PI()*POWER(Tabella1326[[#This Row],[Temperatura]],3))/(Tabella619[Simmetry Number]*Tabella619[Simmetry Number]*PRODUCT(Tabella4[])))))</f>
        <v>57.594689766690877</v>
      </c>
      <c r="I66" s="30"/>
      <c r="K66" s="2">
        <f>B15</f>
        <v>40391590558800</v>
      </c>
      <c r="L66" s="6" cm="1">
        <f t="array" ref="L66">(Tabella33[Planck h]*Tabella1023[[#This Row],[Frequencies'[s^-1']]])/Tabella33[Boltzmann k]</f>
        <v>1938.4906121156534</v>
      </c>
      <c r="N66" s="10" t="s">
        <v>4</v>
      </c>
      <c r="O66" s="10" t="s">
        <v>25</v>
      </c>
      <c r="P66" s="10" t="s">
        <v>26</v>
      </c>
      <c r="Q66" s="10" t="s">
        <v>27</v>
      </c>
      <c r="R66" s="10" t="s">
        <v>28</v>
      </c>
      <c r="S66" s="10" t="s">
        <v>29</v>
      </c>
      <c r="T66" s="10" t="s">
        <v>30</v>
      </c>
      <c r="U66" s="10" t="s">
        <v>31</v>
      </c>
      <c r="V66" s="10" t="s">
        <v>32</v>
      </c>
      <c r="W66" s="10" t="s">
        <v>33</v>
      </c>
      <c r="X66" s="10" t="s">
        <v>34</v>
      </c>
    </row>
    <row r="67" spans="1:24" x14ac:dyDescent="0.3">
      <c r="A67" s="3">
        <v>500</v>
      </c>
      <c r="B67" cm="1">
        <f t="array" ref="B67">POWER((2*Tabella33[Pi Greco]*Tabella33[Massa]*Tabella33[Boltzmann k]*Tabella122[[#This Row],[Temperatura]])/(POWER(Tabella33[Planck h],2)),1.5)</f>
        <v>1.3498069395036158E+32</v>
      </c>
      <c r="C67" s="1" cm="1">
        <f t="array" ref="C67">(Tabella122[[#This Row],[Temperatura]]*Tabella33[Rydberg R])/101325</f>
        <v>4.1028679990130774E-2</v>
      </c>
      <c r="D67" s="1" cm="1">
        <f t="array" ref="D67">Tabella33[Rydberg R]*LN((Tabella122[[#This Row],[Volume]]/Tabella33[Avogadro N])*EXP(2.5)*Tabella122[[#This Row],[Translational Factor]])</f>
        <v>154.1027382231311</v>
      </c>
      <c r="F67" s="3">
        <v>500</v>
      </c>
      <c r="G67" s="18" cm="1">
        <f t="array" ref="G67">Tabella33[Rydberg R]*LN((EXP(1)*Tabella1326[[#This Row],[Temperatura]])/(Tabella3[Theta rot]*Tabella619[Simmetry Number]))</f>
        <v>-408.91176588633323</v>
      </c>
      <c r="H67" s="18" cm="1">
        <f t="array" ref="H67">Tabella33[Rydberg R]*(1.5 + LN(SQRT((PI()*POWER(Tabella1326[[#This Row],[Temperatura]],3))/(Tabella619[Simmetry Number]*Tabella619[Simmetry Number]*PRODUCT(Tabella4[])))))</f>
        <v>60.377667633611445</v>
      </c>
      <c r="I67" s="30"/>
      <c r="K67" s="2">
        <f>B16</f>
        <v>40398194998590</v>
      </c>
      <c r="L67" s="6" cm="1">
        <f t="array" ref="L67">(Tabella33[Planck h]*Tabella1023[[#This Row],[Frequencies'[s^-1']]])/Tabella33[Boltzmann k]</f>
        <v>1938.8075752348095</v>
      </c>
      <c r="N67" s="9">
        <v>298</v>
      </c>
      <c r="O67" s="1" cm="1">
        <f t="array" ref="O67" xml:space="preserve">   ((Tabella1225[Theta vib 1]/Tabella1124[[#This Row],[Temperatura]]) /(EXP(Tabella1225[Theta vib 1]/Tabella1124[[#This Row],[Temperatura]])-1) )- LN(1-EXP(-Tabella1225[Theta vib 1]/Tabella1124[[#This Row],[Temperatura]]))</f>
        <v>1.1242775593646255E-2</v>
      </c>
      <c r="P67" s="1" cm="1">
        <f t="array" ref="P67">( (Tabella1225[Theta vib2]/Tabella1124[[#This Row],[Temperatura]]) /(EXP(Tabella1225[Theta vib2]/Tabella1124[[#This Row],[Temperatura]])-1)) - LN(1-EXP(-Tabella1225[Theta vib2]/Tabella1124[[#This Row],[Temperatura]]))</f>
        <v>1.1242714332693112E-2</v>
      </c>
      <c r="Q67" s="1" cm="1">
        <f t="array" ref="Q67">(  (Tabella1225[Theta vib3]/Tabella1124[[#This Row],[Temperatura]]) /(EXP(Tabella1225[Theta vib3]/Tabella1124[[#This Row],[Temperatura]])-1))- LN(1-EXP(-Tabella1225[Theta vib3]/Tabella1124[[#This Row],[Temperatura]]))</f>
        <v>1.123233767241907E-2</v>
      </c>
      <c r="R67" s="1" cm="1">
        <f t="array" ref="R67" xml:space="preserve"> (  (Tabella1225[Theta vib4]/Tabella1124[[#This Row],[Temperatura]]) /(EXP(Tabella1225[Theta vib4]/Tabella1124[[#This Row],[Temperatura]])-1) )- LN(1-EXP(-Tabella1225[Theta vib4]/Tabella1124[[#This Row],[Temperatura]]))</f>
        <v>4.5008504815653126E-3</v>
      </c>
      <c r="S67" s="1" cm="1">
        <f t="array" ref="S67">(    (Tabella1225[Theta vib5]/Tabella1124[[#This Row],[Temperatura]]) /(EXP(Tabella1225[Theta vib5]/Tabella1124[[#This Row],[Temperatura]])-1)) - LN(1-EXP(-Tabella1225[Theta vib5]/Tabella1124[[#This Row],[Temperatura]]))</f>
        <v>4.5008255220093038E-3</v>
      </c>
      <c r="T67" s="1" cm="1">
        <f t="array" ref="T67">(    (Tabella1225[Theta vib6]/Tabella1124[[#This Row],[Temperatura]]) /(EXP(Tabella1225[Theta vib6]/Tabella1124[[#This Row],[Temperatura]])-1)) - LN(1-EXP(-Tabella1225[Theta vib6]/Tabella1124[[#This Row],[Temperatura]]))</f>
        <v>6.695854138594878E-6</v>
      </c>
      <c r="U67" s="1" cm="1">
        <f t="array" ref="U67">(    (Tabella1225[Theta vib7]/Tabella1124[[#This Row],[Temperatura]]) /(EXP(Tabella1225[Theta vib7]/Tabella1124[[#This Row],[Temperatura]])-1)) - LN(1-EXP(-Tabella1225[Theta vib7]/Tabella1124[[#This Row],[Temperatura]]))</f>
        <v>4.0192538661569297E-6</v>
      </c>
      <c r="V67" s="1" cm="1">
        <f t="array" ref="V67">(    (Tabella1225[Theta vib8]/Tabella1124[[#This Row],[Temperatura]]) /(EXP(Tabella1225[Theta vib8]/Tabella1124[[#This Row],[Temperatura]])-1)) - LN(1-EXP(-Tabella1225[Theta vib8]/Tabella1124[[#This Row],[Temperatura]]))</f>
        <v>4.0192484036453357E-6</v>
      </c>
      <c r="W67" s="1" cm="1">
        <f t="array" ref="W67">((Tabella1225[Theta vib9]/Tabella1124[[#This Row],[Temperatura]]) /(EXP(Tabella1225[Theta vib9]/Tabella1124[[#This Row],[Temperatura]])-1) )- LN(1-EXP(-Tabella1225[Theta vib9]/Tabella1124[[#This Row],[Temperatura]]))</f>
        <v>4.0154537594476988E-6</v>
      </c>
      <c r="X67" s="1" cm="1">
        <f t="array" ref="X67">Tabella33[Rydberg R]*SUM(Tabella1124[[#This Row],[S vib 1]:[S vib 9]])</f>
        <v>0.35534558394460913</v>
      </c>
    </row>
    <row r="68" spans="1:24" x14ac:dyDescent="0.3">
      <c r="A68" s="3">
        <v>600</v>
      </c>
      <c r="B68" cm="1">
        <f t="array" ref="B68">POWER((2*Tabella33[Pi Greco]*Tabella33[Massa]*Tabella33[Boltzmann k]*Tabella122[[#This Row],[Temperatura]])/(POWER(Tabella33[Planck h],2)),1.5)</f>
        <v>1.7743673017035182E+32</v>
      </c>
      <c r="C68" s="1" cm="1">
        <f t="array" ref="C68">(Tabella122[[#This Row],[Temperatura]]*Tabella33[Rydberg R])/101325</f>
        <v>4.9234415988156921E-2</v>
      </c>
      <c r="D68" s="1" cm="1">
        <f t="array" ref="D68">Tabella33[Rydberg R]*LN((Tabella122[[#This Row],[Volume]]/Tabella33[Avogadro N])*EXP(2.5)*Tabella122[[#This Row],[Translational Factor]])</f>
        <v>157.89250236249143</v>
      </c>
      <c r="F68" s="3">
        <v>600</v>
      </c>
      <c r="G68" s="18" cm="1">
        <f t="array" ref="G68">Tabella33[Rydberg R]*LN((EXP(1)*Tabella1326[[#This Row],[Temperatura]])/(Tabella3[Theta rot]*Tabella619[Simmetry Number]))</f>
        <v>-407.39586023058905</v>
      </c>
      <c r="H68" s="18" cm="1">
        <f t="array" ref="H68">Tabella33[Rydberg R]*(1.5 + LN(SQRT((PI()*POWER(Tabella1326[[#This Row],[Temperatura]],3))/(Tabella619[Simmetry Number]*Tabella619[Simmetry Number]*PRODUCT(Tabella4[])))))</f>
        <v>62.651526117227711</v>
      </c>
      <c r="I68" s="30"/>
      <c r="K68" s="2">
        <f>B17</f>
        <v>46879716660660</v>
      </c>
      <c r="L68" s="6" cm="1">
        <f t="array" ref="L68">(Tabella33[Planck h]*Tabella1023[[#This Row],[Frequencies'[s^-1']]])/Tabella33[Boltzmann k]</f>
        <v>2249.8715546504354</v>
      </c>
      <c r="N68" s="9">
        <v>400</v>
      </c>
      <c r="O68" s="11" cm="1">
        <f t="array" ref="O68" xml:space="preserve">   ((Tabella1225[Theta vib 1]/Tabella1124[[#This Row],[Temperatura]]) /(EXP(Tabella1225[Theta vib 1]/Tabella1124[[#This Row],[Temperatura]])-1) )- LN(1-EXP(-Tabella1225[Theta vib 1]/Tabella1124[[#This Row],[Temperatura]]))</f>
        <v>4.6272324263694528E-2</v>
      </c>
      <c r="P68" s="1" cm="1">
        <f t="array" ref="P68">( (Tabella1225[Theta vib2]/Tabella1124[[#This Row],[Temperatura]]) /(EXP(Tabella1225[Theta vib2]/Tabella1124[[#This Row],[Temperatura]])-1)) - LN(1-EXP(-Tabella1225[Theta vib2]/Tabella1124[[#This Row],[Temperatura]]))</f>
        <v>4.6272143361016801E-2</v>
      </c>
      <c r="Q68" s="1" cm="1">
        <f t="array" ref="Q68">(  (Tabella1225[Theta vib3]/Tabella1124[[#This Row],[Temperatura]]) /(EXP(Tabella1225[Theta vib3]/Tabella1124[[#This Row],[Temperatura]])-1))- LN(1-EXP(-Tabella1225[Theta vib3]/Tabella1124[[#This Row],[Temperatura]]))</f>
        <v>4.6241497203066584E-2</v>
      </c>
      <c r="R68" s="1" cm="1">
        <f t="array" ref="R68" xml:space="preserve"> (  (Tabella1225[Theta vib4]/Tabella1124[[#This Row],[Temperatura]]) /(EXP(Tabella1225[Theta vib4]/Tabella1124[[#This Row],[Temperatura]])-1) )- LN(1-EXP(-Tabella1225[Theta vib4]/Tabella1124[[#This Row],[Temperatura]]))</f>
        <v>2.3979993506103716E-2</v>
      </c>
      <c r="S68" s="1" cm="1">
        <f t="array" ref="S68">(    (Tabella1225[Theta vib5]/Tabella1124[[#This Row],[Temperatura]]) /(EXP(Tabella1225[Theta vib5]/Tabella1124[[#This Row],[Temperatura]])-1)) - LN(1-EXP(-Tabella1225[Theta vib5]/Tabella1124[[#This Row],[Temperatura]]))</f>
        <v>2.3979897930559994E-2</v>
      </c>
      <c r="T68" s="1" cm="1">
        <f t="array" ref="T68">(    (Tabella1225[Theta vib6]/Tabella1124[[#This Row],[Temperatura]]) /(EXP(Tabella1225[Theta vib6]/Tabella1124[[#This Row],[Temperatura]])-1)) - LN(1-EXP(-Tabella1225[Theta vib6]/Tabella1124[[#This Row],[Temperatura]]))</f>
        <v>2.1452931691808293E-4</v>
      </c>
      <c r="U68" s="1" cm="1">
        <f t="array" ref="U68">(    (Tabella1225[Theta vib7]/Tabella1124[[#This Row],[Temperatura]]) /(EXP(Tabella1225[Theta vib7]/Tabella1124[[#This Row],[Temperatura]])-1)) - LN(1-EXP(-Tabella1225[Theta vib7]/Tabella1124[[#This Row],[Temperatura]]))</f>
        <v>1.4784932855546737E-4</v>
      </c>
      <c r="V68" s="1" cm="1">
        <f t="array" ref="V68">(    (Tabella1225[Theta vib8]/Tabella1124[[#This Row],[Temperatura]]) /(EXP(Tabella1225[Theta vib8]/Tabella1124[[#This Row],[Temperatura]])-1)) - LN(1-EXP(-Tabella1225[Theta vib8]/Tabella1124[[#This Row],[Temperatura]]))</f>
        <v>1.4784918194951391E-4</v>
      </c>
      <c r="W68" s="1" cm="1">
        <f t="array" ref="W68">((Tabella1225[Theta vib9]/Tabella1124[[#This Row],[Temperatura]]) /(EXP(Tabella1225[Theta vib9]/Tabella1124[[#This Row],[Temperatura]])-1) )- LN(1-EXP(-Tabella1225[Theta vib9]/Tabella1124[[#This Row],[Temperatura]]))</f>
        <v>1.477473257143009E-4</v>
      </c>
      <c r="X68" s="1" cm="1">
        <f t="array" ref="X68">Tabella33[Rydberg R]*SUM(Tabella1124[[#This Row],[S vib 1]:[S vib 9]])</f>
        <v>1.5581620349758667</v>
      </c>
    </row>
    <row r="69" spans="1:24" x14ac:dyDescent="0.3">
      <c r="A69" s="3">
        <v>700</v>
      </c>
      <c r="B69" cm="1">
        <f t="array" ref="B69">POWER((2*Tabella33[Pi Greco]*Tabella33[Massa]*Tabella33[Boltzmann k]*Tabella122[[#This Row],[Temperatura]])/(POWER(Tabella33[Planck h],2)),1.5)</f>
        <v>2.2359583528477792E+32</v>
      </c>
      <c r="C69" s="1" cm="1">
        <f t="array" ref="C69">(Tabella122[[#This Row],[Temperatura]]*Tabella33[Rydberg R])/101325</f>
        <v>5.7440151986183081E-2</v>
      </c>
      <c r="D69" s="1" cm="1">
        <f t="array" ref="D69">Tabella33[Rydberg R]*LN((Tabella122[[#This Row],[Volume]]/Tabella33[Avogadro N])*EXP(2.5)*Tabella122[[#This Row],[Translational Factor]])</f>
        <v>161.09670228673633</v>
      </c>
      <c r="F69" s="3">
        <v>700</v>
      </c>
      <c r="G69" s="18" cm="1">
        <f t="array" ref="G69">Tabella33[Rydberg R]*LN((EXP(1)*Tabella1326[[#This Row],[Temperatura]])/(Tabella3[Theta rot]*Tabella619[Simmetry Number]))</f>
        <v>-406.11418026089115</v>
      </c>
      <c r="H69" s="18" cm="1">
        <f t="array" ref="H69">Tabella33[Rydberg R]*(1.5 + LN(SQRT((PI()*POWER(Tabella1326[[#This Row],[Temperatura]],3))/(Tabella619[Simmetry Number]*Tabella619[Simmetry Number]*PRODUCT(Tabella4[])))))</f>
        <v>64.574046071774575</v>
      </c>
      <c r="I69" s="30"/>
      <c r="K69" s="2">
        <f>B18</f>
        <v>46879755633750</v>
      </c>
      <c r="L69" s="6" cm="1">
        <f t="array" ref="L69">(Tabella33[Planck h]*Tabella1023[[#This Row],[Frequencies'[s^-1']]])/Tabella33[Boltzmann k]</f>
        <v>2249.8734250637576</v>
      </c>
      <c r="N69" s="9">
        <v>500</v>
      </c>
      <c r="O69" s="11" cm="1">
        <f t="array" ref="O69" xml:space="preserve">   ((Tabella1225[Theta vib 1]/Tabella1124[[#This Row],[Temperatura]]) /(EXP(Tabella1225[Theta vib 1]/Tabella1124[[#This Row],[Temperatura]])-1) )- LN(1-EXP(-Tabella1225[Theta vib 1]/Tabella1124[[#This Row],[Temperatura]]))</f>
        <v>0.10293457927189528</v>
      </c>
      <c r="P69" s="1" cm="1">
        <f t="array" ref="P69">( (Tabella1225[Theta vib2]/Tabella1124[[#This Row],[Temperatura]]) /(EXP(Tabella1225[Theta vib2]/Tabella1124[[#This Row],[Temperatura]])-1)) - LN(1-EXP(-Tabella1225[Theta vib2]/Tabella1124[[#This Row],[Temperatura]]))</f>
        <v>0.10293426602222888</v>
      </c>
      <c r="Q69" s="1" cm="1">
        <f t="array" ref="Q69">(  (Tabella1225[Theta vib3]/Tabella1124[[#This Row],[Temperatura]]) /(EXP(Tabella1225[Theta vib3]/Tabella1124[[#This Row],[Temperatura]])-1))- LN(1-EXP(-Tabella1225[Theta vib3]/Tabella1124[[#This Row],[Temperatura]]))</f>
        <v>0.10288119552507674</v>
      </c>
      <c r="R69" s="1" cm="1">
        <f t="array" ref="R69" xml:space="preserve"> (  (Tabella1225[Theta vib4]/Tabella1124[[#This Row],[Temperatura]]) /(EXP(Tabella1225[Theta vib4]/Tabella1124[[#This Row],[Temperatura]])-1) )- LN(1-EXP(-Tabella1225[Theta vib4]/Tabella1124[[#This Row],[Temperatura]]))</f>
        <v>6.1736363021310123E-2</v>
      </c>
      <c r="S69" s="1" cm="1">
        <f t="array" ref="S69">(    (Tabella1225[Theta vib5]/Tabella1124[[#This Row],[Temperatura]]) /(EXP(Tabella1225[Theta vib5]/Tabella1124[[#This Row],[Temperatura]])-1)) - LN(1-EXP(-Tabella1225[Theta vib5]/Tabella1124[[#This Row],[Temperatura]]))</f>
        <v>6.1736171751376863E-2</v>
      </c>
      <c r="T69" s="1" cm="1">
        <f t="array" ref="T69">(    (Tabella1225[Theta vib6]/Tabella1124[[#This Row],[Temperatura]]) /(EXP(Tabella1225[Theta vib6]/Tabella1124[[#This Row],[Temperatura]])-1)) - LN(1-EXP(-Tabella1225[Theta vib6]/Tabella1124[[#This Row],[Temperatura]]))</f>
        <v>1.5582839964113923E-3</v>
      </c>
      <c r="U69" s="1" cm="1">
        <f t="array" ref="U69">(    (Tabella1225[Theta vib7]/Tabella1124[[#This Row],[Temperatura]]) /(EXP(Tabella1225[Theta vib7]/Tabella1124[[#This Row],[Temperatura]])-1)) - LN(1-EXP(-Tabella1225[Theta vib7]/Tabella1124[[#This Row],[Temperatura]]))</f>
        <v>1.1638815736189369E-3</v>
      </c>
      <c r="V69" s="1" cm="1">
        <f t="array" ref="V69">(    (Tabella1225[Theta vib8]/Tabella1124[[#This Row],[Temperatura]]) /(EXP(Tabella1225[Theta vib8]/Tabella1124[[#This Row],[Temperatura]])-1)) - LN(1-EXP(-Tabella1225[Theta vib8]/Tabella1124[[#This Row],[Temperatura]]))</f>
        <v>1.1638806685915284E-3</v>
      </c>
      <c r="W69" s="1" cm="1">
        <f t="array" ref="W69">((Tabella1225[Theta vib9]/Tabella1124[[#This Row],[Temperatura]]) /(EXP(Tabella1225[Theta vib9]/Tabella1124[[#This Row],[Temperatura]])-1) )- LN(1-EXP(-Tabella1225[Theta vib9]/Tabella1124[[#This Row],[Temperatura]]))</f>
        <v>1.163251842657288E-3</v>
      </c>
      <c r="X69" s="1" cm="1">
        <f t="array" ref="X69">Tabella33[Rydberg R]*SUM(Tabella1124[[#This Row],[S vib 1]:[S vib 9]])</f>
        <v>3.635680377324348</v>
      </c>
    </row>
    <row r="70" spans="1:24" x14ac:dyDescent="0.3">
      <c r="A70" s="3">
        <v>800</v>
      </c>
      <c r="B70" cm="1">
        <f t="array" ref="B70">POWER((2*Tabella33[Pi Greco]*Tabella33[Massa]*Tabella33[Boltzmann k]*Tabella122[[#This Row],[Temperatura]])/(POWER(Tabella33[Planck h],2)),1.5)</f>
        <v>2.7318171714128146E+32</v>
      </c>
      <c r="C70" s="1" cm="1">
        <f t="array" ref="C70">(Tabella122[[#This Row],[Temperatura]]*Tabella33[Rydberg R])/101325</f>
        <v>6.5645887984209228E-2</v>
      </c>
      <c r="D70" s="1" cm="1">
        <f t="array" ref="D70">Tabella33[Rydberg R]*LN((Tabella122[[#This Row],[Volume]]/Tabella33[Avogadro N])*EXP(2.5)*Tabella122[[#This Row],[Translational Factor]])</f>
        <v>163.87230651119549</v>
      </c>
      <c r="F70" s="3">
        <v>800</v>
      </c>
      <c r="G70" s="18" cm="1">
        <f t="array" ref="G70">Tabella33[Rydberg R]*LN((EXP(1)*Tabella1326[[#This Row],[Temperatura]])/(Tabella3[Theta rot]*Tabella619[Simmetry Number]))</f>
        <v>-405.00393857110748</v>
      </c>
      <c r="H70" s="18" cm="1">
        <f t="array" ref="H70">Tabella33[Rydberg R]*(1.5 + LN(SQRT((PI()*POWER(Tabella1326[[#This Row],[Temperatura]],3))/(Tabella619[Simmetry Number]*Tabella619[Simmetry Number]*PRODUCT(Tabella4[])))))</f>
        <v>66.23940860645007</v>
      </c>
      <c r="I70" s="30"/>
      <c r="K70" s="2">
        <f>B19</f>
        <v>91062561447780</v>
      </c>
      <c r="L70" s="6" cm="1">
        <f t="array" ref="L70">(Tabella33[Planck h]*Tabella1023[[#This Row],[Frequencies'[s^-1']]])/Tabella33[Boltzmann k]</f>
        <v>4370.3136727124402</v>
      </c>
      <c r="N70" s="9">
        <v>600</v>
      </c>
      <c r="O70" s="11" cm="1">
        <f t="array" ref="O70" xml:space="preserve">   ((Tabella1225[Theta vib 1]/Tabella1124[[#This Row],[Temperatura]]) /(EXP(Tabella1225[Theta vib 1]/Tabella1124[[#This Row],[Temperatura]])-1) )- LN(1-EXP(-Tabella1225[Theta vib 1]/Tabella1124[[#This Row],[Temperatura]]))</f>
        <v>0.17328155047969093</v>
      </c>
      <c r="P70" s="1" cm="1">
        <f t="array" ref="P70">( (Tabella1225[Theta vib2]/Tabella1124[[#This Row],[Temperatura]]) /(EXP(Tabella1225[Theta vib2]/Tabella1124[[#This Row],[Temperatura]])-1)) - LN(1-EXP(-Tabella1225[Theta vib2]/Tabella1124[[#This Row],[Temperatura]]))</f>
        <v>0.17328111895958256</v>
      </c>
      <c r="Q70" s="1" cm="1">
        <f t="array" ref="Q70">(  (Tabella1225[Theta vib3]/Tabella1124[[#This Row],[Temperatura]]) /(EXP(Tabella1225[Theta vib3]/Tabella1124[[#This Row],[Temperatura]])-1))- LN(1-EXP(-Tabella1225[Theta vib3]/Tabella1124[[#This Row],[Temperatura]]))</f>
        <v>0.17320800791069274</v>
      </c>
      <c r="R70" s="1" cm="1">
        <f t="array" ref="R70" xml:space="preserve"> (  (Tabella1225[Theta vib4]/Tabella1124[[#This Row],[Temperatura]]) /(EXP(Tabella1225[Theta vib4]/Tabella1124[[#This Row],[Temperatura]])-1) )- LN(1-EXP(-Tabella1225[Theta vib4]/Tabella1124[[#This Row],[Temperatura]]))</f>
        <v>0.11413406889112566</v>
      </c>
      <c r="S70" s="1" cm="1">
        <f t="array" ref="S70">(    (Tabella1225[Theta vib5]/Tabella1124[[#This Row],[Temperatura]]) /(EXP(Tabella1225[Theta vib5]/Tabella1124[[#This Row],[Temperatura]])-1)) - LN(1-EXP(-Tabella1225[Theta vib5]/Tabella1124[[#This Row],[Temperatura]]))</f>
        <v>0.11413378051671806</v>
      </c>
      <c r="T70" s="1" cm="1">
        <f t="array" ref="T70">(    (Tabella1225[Theta vib6]/Tabella1124[[#This Row],[Temperatura]]) /(EXP(Tabella1225[Theta vib6]/Tabella1124[[#This Row],[Temperatura]])-1)) - LN(1-EXP(-Tabella1225[Theta vib6]/Tabella1124[[#This Row],[Temperatura]]))</f>
        <v>5.6908126200174644E-3</v>
      </c>
      <c r="U70" s="1" cm="1">
        <f t="array" ref="U70">(    (Tabella1225[Theta vib7]/Tabella1124[[#This Row],[Temperatura]]) /(EXP(Tabella1225[Theta vib7]/Tabella1124[[#This Row],[Temperatura]])-1)) - LN(1-EXP(-Tabella1225[Theta vib7]/Tabella1124[[#This Row],[Temperatura]]))</f>
        <v>4.4833147905904173E-3</v>
      </c>
      <c r="V70" s="1" cm="1">
        <f t="array" ref="V70">(    (Tabella1225[Theta vib8]/Tabella1124[[#This Row],[Temperatura]]) /(EXP(Tabella1225[Theta vib8]/Tabella1124[[#This Row],[Temperatura]])-1)) - LN(1-EXP(-Tabella1225[Theta vib8]/Tabella1124[[#This Row],[Temperatura]]))</f>
        <v>4.4833119407921796E-3</v>
      </c>
      <c r="W70" s="1" cm="1">
        <f t="array" ref="W70">((Tabella1225[Theta vib9]/Tabella1124[[#This Row],[Temperatura]]) /(EXP(Tabella1225[Theta vib9]/Tabella1124[[#This Row],[Temperatura]])-1) )- LN(1-EXP(-Tabella1225[Theta vib9]/Tabella1124[[#This Row],[Temperatura]]))</f>
        <v>4.4813317617376832E-3</v>
      </c>
      <c r="X70" s="1" cm="1">
        <f t="array" ref="X70">Tabella33[Rydberg R]*SUM(Tabella1124[[#This Row],[S vib 1]:[S vib 9]])</f>
        <v>6.3786664904106756</v>
      </c>
    </row>
    <row r="71" spans="1:24" x14ac:dyDescent="0.3">
      <c r="A71" s="3">
        <v>900</v>
      </c>
      <c r="B71" cm="1">
        <f t="array" ref="B71">POWER((2*Tabella33[Pi Greco]*Tabella33[Massa]*Tabella33[Boltzmann k]*Tabella122[[#This Row],[Temperatura]])/(POWER(Tabella33[Planck h],2)),1.5)</f>
        <v>3.2597208790895003E+32</v>
      </c>
      <c r="C71" s="1" cm="1">
        <f t="array" ref="C71">(Tabella122[[#This Row],[Temperatura]]*Tabella33[Rydberg R])/101325</f>
        <v>7.3851623982235395E-2</v>
      </c>
      <c r="D71" s="1" cm="1">
        <f t="array" ref="D71">Tabella33[Rydberg R]*LN((Tabella122[[#This Row],[Volume]]/Tabella33[Avogadro N])*EXP(2.5)*Tabella122[[#This Row],[Translational Factor]])</f>
        <v>166.32056294671958</v>
      </c>
      <c r="F71" s="3">
        <v>900</v>
      </c>
      <c r="G71" s="18" cm="1">
        <f t="array" ref="G71">Tabella33[Rydberg R]*LN((EXP(1)*Tabella1326[[#This Row],[Temperatura]])/(Tabella3[Theta rot]*Tabella619[Simmetry Number]))</f>
        <v>-404.02463599689781</v>
      </c>
      <c r="H71" s="18" cm="1">
        <f t="array" ref="H71">Tabella33[Rydberg R]*(1.5 + LN(SQRT((PI()*POWER(Tabella1326[[#This Row],[Temperatura]],3))/(Tabella619[Simmetry Number]*Tabella619[Simmetry Number]*PRODUCT(Tabella4[])))))</f>
        <v>67.708362467764545</v>
      </c>
      <c r="I71" s="30"/>
      <c r="K71" s="2">
        <f>B20</f>
        <v>94443926694780</v>
      </c>
      <c r="L71" s="6" cm="1">
        <f t="array" ref="L71">(Tabella33[Planck h]*Tabella1023[[#This Row],[Frequencies'[s^-1']]])/Tabella33[Boltzmann k]</f>
        <v>4532.5936101142997</v>
      </c>
      <c r="N71" s="9">
        <v>700</v>
      </c>
      <c r="O71" s="11" cm="1">
        <f t="array" ref="O71" xml:space="preserve">   ((Tabella1225[Theta vib 1]/Tabella1124[[#This Row],[Temperatura]]) /(EXP(Tabella1225[Theta vib 1]/Tabella1124[[#This Row],[Temperatura]])-1) )- LN(1-EXP(-Tabella1225[Theta vib 1]/Tabella1124[[#This Row],[Temperatura]]))</f>
        <v>0.25003300734775002</v>
      </c>
      <c r="P71" s="1" cm="1">
        <f t="array" ref="P71">( (Tabella1225[Theta vib2]/Tabella1124[[#This Row],[Temperatura]]) /(EXP(Tabella1225[Theta vib2]/Tabella1124[[#This Row],[Temperatura]])-1)) - LN(1-EXP(-Tabella1225[Theta vib2]/Tabella1124[[#This Row],[Temperatura]]))</f>
        <v>0.25003247917522592</v>
      </c>
      <c r="Q71" s="1" cm="1">
        <f t="array" ref="Q71">(  (Tabella1225[Theta vib3]/Tabella1124[[#This Row],[Temperatura]]) /(EXP(Tabella1225[Theta vib3]/Tabella1124[[#This Row],[Temperatura]])-1))- LN(1-EXP(-Tabella1225[Theta vib3]/Tabella1124[[#This Row],[Temperatura]]))</f>
        <v>0.24994298999533016</v>
      </c>
      <c r="R71" s="1" cm="1">
        <f t="array" ref="R71" xml:space="preserve"> (  (Tabella1225[Theta vib4]/Tabella1124[[#This Row],[Temperatura]]) /(EXP(Tabella1225[Theta vib4]/Tabella1124[[#This Row],[Temperatura]])-1) )- LN(1-EXP(-Tabella1225[Theta vib4]/Tabella1124[[#This Row],[Temperatura]]))</f>
        <v>0.17560996334894097</v>
      </c>
      <c r="S71" s="1" cm="1">
        <f t="array" ref="S71">(    (Tabella1225[Theta vib5]/Tabella1124[[#This Row],[Temperatura]]) /(EXP(Tabella1225[Theta vib5]/Tabella1124[[#This Row],[Temperatura]])-1)) - LN(1-EXP(-Tabella1225[Theta vib5]/Tabella1124[[#This Row],[Temperatura]]))</f>
        <v>0.17560958866709472</v>
      </c>
      <c r="T71" s="1" cm="1">
        <f t="array" ref="T71">(    (Tabella1225[Theta vib6]/Tabella1124[[#This Row],[Temperatura]]) /(EXP(Tabella1225[Theta vib6]/Tabella1124[[#This Row],[Temperatura]])-1)) - LN(1-EXP(-Tabella1225[Theta vib6]/Tabella1124[[#This Row],[Temperatura]]))</f>
        <v>1.4102311549425026E-2</v>
      </c>
      <c r="U71" s="1" cm="1">
        <f t="array" ref="U71">(    (Tabella1225[Theta vib7]/Tabella1124[[#This Row],[Temperatura]]) /(EXP(Tabella1225[Theta vib7]/Tabella1124[[#This Row],[Temperatura]])-1)) - LN(1-EXP(-Tabella1225[Theta vib7]/Tabella1124[[#This Row],[Temperatura]]))</f>
        <v>1.1537964837899733E-2</v>
      </c>
      <c r="V71" s="1" cm="1">
        <f t="array" ref="V71">(    (Tabella1225[Theta vib8]/Tabella1124[[#This Row],[Temperatura]]) /(EXP(Tabella1225[Theta vib8]/Tabella1124[[#This Row],[Temperatura]])-1)) - LN(1-EXP(-Tabella1225[Theta vib8]/Tabella1124[[#This Row],[Temperatura]]))</f>
        <v>1.1537958664974571E-2</v>
      </c>
      <c r="W71" s="1" cm="1">
        <f t="array" ref="W71">((Tabella1225[Theta vib9]/Tabella1124[[#This Row],[Temperatura]]) /(EXP(Tabella1225[Theta vib9]/Tabella1124[[#This Row],[Temperatura]])-1) )- LN(1-EXP(-Tabella1225[Theta vib9]/Tabella1124[[#This Row],[Temperatura]]))</f>
        <v>1.1533669263155008E-2</v>
      </c>
      <c r="X71" s="1" cm="1">
        <f t="array" ref="X71">Tabella33[Rydberg R]*SUM(Tabella1124[[#This Row],[S vib 1]:[S vib 9]])</f>
        <v>9.5611318739621804</v>
      </c>
    </row>
    <row r="72" spans="1:24" x14ac:dyDescent="0.3">
      <c r="A72" s="3">
        <v>1000</v>
      </c>
      <c r="B72" cm="1">
        <f t="array" ref="B72">POWER((2*Tabella33[Pi Greco]*Tabella33[Massa]*Tabella33[Boltzmann k]*Tabella122[[#This Row],[Temperatura]])/(POWER(Tabella33[Planck h],2)),1.5)</f>
        <v>3.8178305608626231E+32</v>
      </c>
      <c r="C72" s="1" cm="1">
        <f t="array" ref="C72">(Tabella122[[#This Row],[Temperatura]]*Tabella33[Rydberg R])/101325</f>
        <v>8.2057359980261549E-2</v>
      </c>
      <c r="D72" s="1" cm="1">
        <f t="array" ref="D72">Tabella33[Rydberg R]*LN((Tabella122[[#This Row],[Volume]]/Tabella33[Avogadro N])*EXP(2.5)*Tabella122[[#This Row],[Translational Factor]])</f>
        <v>168.51060295606302</v>
      </c>
      <c r="F72" s="3">
        <v>1000</v>
      </c>
      <c r="G72" s="18" cm="1">
        <f t="array" ref="G72">Tabella33[Rydberg R]*LN((EXP(1)*Tabella1326[[#This Row],[Temperatura]])/(Tabella3[Theta rot]*Tabella619[Simmetry Number]))</f>
        <v>-403.14861999316037</v>
      </c>
      <c r="H72" s="18" cm="1">
        <f t="array" ref="H72">Tabella33[Rydberg R]*(1.5 + LN(SQRT((PI()*POWER(Tabella1326[[#This Row],[Temperatura]],3))/(Tabella619[Simmetry Number]*Tabella619[Simmetry Number]*PRODUCT(Tabella4[])))))</f>
        <v>69.022386473370645</v>
      </c>
      <c r="I72" s="30"/>
      <c r="K72" s="2">
        <f>B21</f>
        <v>94443935688570</v>
      </c>
      <c r="L72" s="6" cm="1">
        <f t="array" ref="L72">(Tabella33[Planck h]*Tabella1023[[#This Row],[Frequencies'[s^-1']]])/Tabella33[Boltzmann k]</f>
        <v>4532.5940417481434</v>
      </c>
      <c r="N72" s="9">
        <v>800</v>
      </c>
      <c r="O72" s="11" cm="1">
        <f t="array" ref="O72" xml:space="preserve">   ((Tabella1225[Theta vib 1]/Tabella1124[[#This Row],[Temperatura]]) /(EXP(Tabella1225[Theta vib 1]/Tabella1124[[#This Row],[Temperatura]])-1) )- LN(1-EXP(-Tabella1225[Theta vib 1]/Tabella1124[[#This Row],[Temperatura]]))</f>
        <v>0.32851380723714674</v>
      </c>
      <c r="P72" s="1" cm="1">
        <f t="array" ref="P72">( (Tabella1225[Theta vib2]/Tabella1124[[#This Row],[Temperatura]]) /(EXP(Tabella1225[Theta vib2]/Tabella1124[[#This Row],[Temperatura]])-1)) - LN(1-EXP(-Tabella1225[Theta vib2]/Tabella1124[[#This Row],[Temperatura]]))</f>
        <v>0.32851320258996586</v>
      </c>
      <c r="Q72" s="1" cm="1">
        <f t="array" ref="Q72">(  (Tabella1225[Theta vib3]/Tabella1124[[#This Row],[Temperatura]]) /(EXP(Tabella1225[Theta vib3]/Tabella1124[[#This Row],[Temperatura]])-1))- LN(1-EXP(-Tabella1225[Theta vib3]/Tabella1124[[#This Row],[Temperatura]]))</f>
        <v>0.32841075411050324</v>
      </c>
      <c r="R72" s="1" cm="1">
        <f t="array" ref="R72" xml:space="preserve"> (  (Tabella1225[Theta vib4]/Tabella1124[[#This Row],[Temperatura]]) /(EXP(Tabella1225[Theta vib4]/Tabella1124[[#This Row],[Temperatura]])-1) )- LN(1-EXP(-Tabella1225[Theta vib4]/Tabella1124[[#This Row],[Temperatura]]))</f>
        <v>0.24165955398628128</v>
      </c>
      <c r="S72" s="1" cm="1">
        <f t="array" ref="S72">(    (Tabella1225[Theta vib5]/Tabella1124[[#This Row],[Temperatura]]) /(EXP(Tabella1225[Theta vib5]/Tabella1124[[#This Row],[Temperatura]])-1)) - LN(1-EXP(-Tabella1225[Theta vib5]/Tabella1124[[#This Row],[Temperatura]]))</f>
        <v>0.2416591069578303</v>
      </c>
      <c r="T72" s="1" cm="1">
        <f t="array" ref="T72">(    (Tabella1225[Theta vib6]/Tabella1124[[#This Row],[Temperatura]]) /(EXP(Tabella1225[Theta vib6]/Tabella1124[[#This Row],[Temperatura]])-1)) - LN(1-EXP(-Tabella1225[Theta vib6]/Tabella1124[[#This Row],[Temperatura]]))</f>
        <v>2.7518589154262953E-2</v>
      </c>
      <c r="U72" s="1" cm="1">
        <f t="array" ref="U72">(    (Tabella1225[Theta vib7]/Tabella1124[[#This Row],[Temperatura]]) /(EXP(Tabella1225[Theta vib7]/Tabella1124[[#This Row],[Temperatura]])-1)) - LN(1-EXP(-Tabella1225[Theta vib7]/Tabella1124[[#This Row],[Temperatura]]))</f>
        <v>2.3154822315165503E-2</v>
      </c>
      <c r="V72" s="1" cm="1">
        <f t="array" ref="V72">(    (Tabella1225[Theta vib8]/Tabella1124[[#This Row],[Temperatura]]) /(EXP(Tabella1225[Theta vib8]/Tabella1124[[#This Row],[Temperatura]])-1)) - LN(1-EXP(-Tabella1225[Theta vib8]/Tabella1124[[#This Row],[Temperatura]]))</f>
        <v>2.3154811656704882E-2</v>
      </c>
      <c r="W72" s="1" cm="1">
        <f t="array" ref="W72">((Tabella1225[Theta vib9]/Tabella1124[[#This Row],[Temperatura]]) /(EXP(Tabella1225[Theta vib9]/Tabella1124[[#This Row],[Temperatura]])-1) )- LN(1-EXP(-Tabella1225[Theta vib9]/Tabella1124[[#This Row],[Temperatura]]))</f>
        <v>2.3147405181512828E-2</v>
      </c>
      <c r="X72" s="1" cm="1">
        <f t="array" ref="X72">Tabella33[Rydberg R]*SUM(Tabella1124[[#This Row],[S vib 1]:[S vib 9]])</f>
        <v>13.018219658425023</v>
      </c>
    </row>
    <row r="73" spans="1:24" x14ac:dyDescent="0.3">
      <c r="A73" s="3">
        <v>1100</v>
      </c>
      <c r="B73" cm="1">
        <f t="array" ref="B73">POWER((2*Tabella33[Pi Greco]*Tabella33[Massa]*Tabella33[Boltzmann k]*Tabella122[[#This Row],[Temperatura]])/(POWER(Tabella33[Planck h],2)),1.5)</f>
        <v>4.4045919203518732E+32</v>
      </c>
      <c r="C73" s="1" cm="1">
        <f t="array" ref="C73">(Tabella122[[#This Row],[Temperatura]]*Tabella33[Rydberg R])/101325</f>
        <v>9.0263095978287688E-2</v>
      </c>
      <c r="D73" s="1" cm="1">
        <f t="array" ref="D73">Tabella33[Rydberg R]*LN((Tabella122[[#This Row],[Volume]]/Tabella33[Avogadro N])*EXP(2.5)*Tabella122[[#This Row],[Translational Factor]])</f>
        <v>170.49173512655366</v>
      </c>
      <c r="F73" s="3">
        <v>1100</v>
      </c>
      <c r="G73" s="18" cm="1">
        <f t="array" ref="G73">Tabella33[Rydberg R]*LN((EXP(1)*Tabella1326[[#This Row],[Temperatura]])/(Tabella3[Theta rot]*Tabella619[Simmetry Number]))</f>
        <v>-402.3561671249642</v>
      </c>
      <c r="H73" s="18" cm="1">
        <f t="array" ref="H73">Tabella33[Rydberg R]*(1.5 + LN(SQRT((PI()*POWER(Tabella1326[[#This Row],[Temperatura]],3))/(Tabella619[Simmetry Number]*Tabella619[Simmetry Number]*PRODUCT(Tabella4[])))))</f>
        <v>70.211065775664991</v>
      </c>
      <c r="I73" s="30"/>
      <c r="K73" s="2">
        <f>B22</f>
        <v>94450186372620</v>
      </c>
      <c r="L73" s="7" cm="1">
        <f t="array" ref="L73">(Tabella33[Planck h]*Tabella1023[[#This Row],[Frequencies'[s^-1']]])/Tabella33[Boltzmann k]</f>
        <v>4532.8940272694517</v>
      </c>
      <c r="N73" s="9">
        <v>900</v>
      </c>
      <c r="O73" s="11" cm="1">
        <f t="array" ref="O73" xml:space="preserve">   ((Tabella1225[Theta vib 1]/Tabella1124[[#This Row],[Temperatura]]) /(EXP(Tabella1225[Theta vib 1]/Tabella1124[[#This Row],[Temperatura]])-1) )- LN(1-EXP(-Tabella1225[Theta vib 1]/Tabella1124[[#This Row],[Temperatura]]))</f>
        <v>0.40606379291036732</v>
      </c>
      <c r="P73" s="1" cm="1">
        <f t="array" ref="P73">( (Tabella1225[Theta vib2]/Tabella1124[[#This Row],[Temperatura]]) /(EXP(Tabella1225[Theta vib2]/Tabella1124[[#This Row],[Temperatura]])-1)) - LN(1-EXP(-Tabella1225[Theta vib2]/Tabella1124[[#This Row],[Temperatura]]))</f>
        <v>0.40606312820796797</v>
      </c>
      <c r="Q73" s="1" cm="1">
        <f t="array" ref="Q73">(  (Tabella1225[Theta vib3]/Tabella1124[[#This Row],[Temperatura]]) /(EXP(Tabella1225[Theta vib3]/Tabella1124[[#This Row],[Temperatura]])-1))- LN(1-EXP(-Tabella1225[Theta vib3]/Tabella1124[[#This Row],[Temperatura]]))</f>
        <v>0.40595050264189037</v>
      </c>
      <c r="R73" s="1" cm="1">
        <f t="array" ref="R73" xml:space="preserve"> (  (Tabella1225[Theta vib4]/Tabella1124[[#This Row],[Temperatura]]) /(EXP(Tabella1225[Theta vib4]/Tabella1124[[#This Row],[Temperatura]])-1) )- LN(1-EXP(-Tabella1225[Theta vib4]/Tabella1124[[#This Row],[Temperatura]]))</f>
        <v>0.30924896985654382</v>
      </c>
      <c r="S73" s="1" cm="1">
        <f t="array" ref="S73">(    (Tabella1225[Theta vib5]/Tabella1124[[#This Row],[Temperatura]]) /(EXP(Tabella1225[Theta vib5]/Tabella1124[[#This Row],[Temperatura]])-1)) - LN(1-EXP(-Tabella1225[Theta vib5]/Tabella1124[[#This Row],[Temperatura]]))</f>
        <v>0.30924846363354835</v>
      </c>
      <c r="T73" s="1" cm="1">
        <f t="array" ref="T73">(    (Tabella1225[Theta vib6]/Tabella1124[[#This Row],[Temperatura]]) /(EXP(Tabella1225[Theta vib6]/Tabella1124[[#This Row],[Temperatura]])-1)) - LN(1-EXP(-Tabella1225[Theta vib6]/Tabella1124[[#This Row],[Temperatura]]))</f>
        <v>4.5899209480652278E-2</v>
      </c>
      <c r="U73" s="1" cm="1">
        <f t="array" ref="U73">(    (Tabella1225[Theta vib7]/Tabella1124[[#This Row],[Temperatura]]) /(EXP(Tabella1225[Theta vib7]/Tabella1124[[#This Row],[Temperatura]])-1)) - LN(1-EXP(-Tabella1225[Theta vib7]/Tabella1124[[#This Row],[Temperatura]]))</f>
        <v>3.9460384658652495E-2</v>
      </c>
      <c r="V73" s="1" cm="1">
        <f t="array" ref="V73">(    (Tabella1225[Theta vib8]/Tabella1124[[#This Row],[Temperatura]]) /(EXP(Tabella1225[Theta vib8]/Tabella1124[[#This Row],[Temperatura]])-1)) - LN(1-EXP(-Tabella1225[Theta vib8]/Tabella1124[[#This Row],[Temperatura]]))</f>
        <v>3.9460368757101093E-2</v>
      </c>
      <c r="W73" s="1" cm="1">
        <f t="array" ref="W73">((Tabella1225[Theta vib9]/Tabella1124[[#This Row],[Temperatura]]) /(EXP(Tabella1225[Theta vib9]/Tabella1124[[#This Row],[Temperatura]])-1) )- LN(1-EXP(-Tabella1225[Theta vib9]/Tabella1124[[#This Row],[Temperatura]]))</f>
        <v>3.9449318681079044E-2</v>
      </c>
      <c r="X73" s="1" cm="1">
        <f t="array" ref="X73">Tabella33[Rydberg R]*SUM(Tabella1124[[#This Row],[S vib 1]:[S vib 9]])</f>
        <v>16.635942560206495</v>
      </c>
    </row>
    <row r="74" spans="1:24" x14ac:dyDescent="0.3">
      <c r="A74" s="3">
        <v>1200</v>
      </c>
      <c r="B74" cm="1">
        <f t="array" ref="B74">POWER((2*Tabella33[Pi Greco]*Tabella33[Massa]*Tabella33[Boltzmann k]*Tabella122[[#This Row],[Temperatura]])/(POWER(Tabella33[Planck h],2)),1.5)</f>
        <v>5.0186686054009517E+32</v>
      </c>
      <c r="C74" s="1" cm="1">
        <f t="array" ref="C74">(Tabella122[[#This Row],[Temperatura]]*Tabella33[Rydberg R])/101325</f>
        <v>9.8468831976313842E-2</v>
      </c>
      <c r="D74" s="1" cm="1">
        <f t="array" ref="D74">Tabella33[Rydberg R]*LN((Tabella122[[#This Row],[Volume]]/Tabella33[Avogadro N])*EXP(2.5)*Tabella122[[#This Row],[Translational Factor]])</f>
        <v>172.3003670954235</v>
      </c>
      <c r="F74" s="3">
        <v>1200</v>
      </c>
      <c r="G74" s="18" cm="1">
        <f t="array" ref="G74">Tabella33[Rydberg R]*LN((EXP(1)*Tabella1326[[#This Row],[Temperatura]])/(Tabella3[Theta rot]*Tabella619[Simmetry Number]))</f>
        <v>-401.63271433741625</v>
      </c>
      <c r="H74" s="18" cm="1">
        <f t="array" ref="H74">Tabella33[Rydberg R]*(1.5 + LN(SQRT((PI()*POWER(Tabella1326[[#This Row],[Temperatura]],3))/(Tabella619[Simmetry Number]*Tabella619[Simmetry Number]*PRODUCT(Tabella4[])))))</f>
        <v>71.296244956986925</v>
      </c>
      <c r="I74" s="30"/>
      <c r="N74" s="9">
        <v>1000</v>
      </c>
      <c r="O74" s="11" cm="1">
        <f t="array" ref="O74" xml:space="preserve">   ((Tabella1225[Theta vib 1]/Tabella1124[[#This Row],[Temperatura]]) /(EXP(Tabella1225[Theta vib 1]/Tabella1124[[#This Row],[Temperatura]])-1) )- LN(1-EXP(-Tabella1225[Theta vib 1]/Tabella1124[[#This Row],[Temperatura]]))</f>
        <v>0.48128564538192786</v>
      </c>
      <c r="P74" s="1" cm="1">
        <f t="array" ref="P74">( (Tabella1225[Theta vib2]/Tabella1124[[#This Row],[Temperatura]]) /(EXP(Tabella1225[Theta vib2]/Tabella1124[[#This Row],[Temperatura]])-1)) - LN(1-EXP(-Tabella1225[Theta vib2]/Tabella1124[[#This Row],[Temperatura]]))</f>
        <v>0.48128493335211542</v>
      </c>
      <c r="Q74" s="1" cm="1">
        <f t="array" ref="Q74">(  (Tabella1225[Theta vib3]/Tabella1124[[#This Row],[Temperatura]]) /(EXP(Tabella1225[Theta vib3]/Tabella1124[[#This Row],[Temperatura]])-1))- LN(1-EXP(-Tabella1225[Theta vib3]/Tabella1124[[#This Row],[Temperatura]]))</f>
        <v>0.48116428746322903</v>
      </c>
      <c r="R74" s="1" cm="1">
        <f t="array" ref="R74" xml:space="preserve"> (  (Tabella1225[Theta vib4]/Tabella1124[[#This Row],[Temperatura]]) /(EXP(Tabella1225[Theta vib4]/Tabella1124[[#This Row],[Temperatura]])-1) )- LN(1-EXP(-Tabella1225[Theta vib4]/Tabella1124[[#This Row],[Temperatura]]))</f>
        <v>0.37650414726677878</v>
      </c>
      <c r="S74" s="1" cm="1">
        <f t="array" ref="S74">(    (Tabella1225[Theta vib5]/Tabella1124[[#This Row],[Temperatura]]) /(EXP(Tabella1225[Theta vib5]/Tabella1124[[#This Row],[Temperatura]])-1)) - LN(1-EXP(-Tabella1225[Theta vib5]/Tabella1124[[#This Row],[Temperatura]]))</f>
        <v>0.37650359296943914</v>
      </c>
      <c r="T74" s="1" cm="1">
        <f t="array" ref="T74">(    (Tabella1225[Theta vib6]/Tabella1124[[#This Row],[Temperatura]]) /(EXP(Tabella1225[Theta vib6]/Tabella1124[[#This Row],[Temperatura]])-1)) - LN(1-EXP(-Tabella1225[Theta vib6]/Tabella1124[[#This Row],[Temperatura]]))</f>
        <v>6.8708481103415528E-2</v>
      </c>
      <c r="U74" s="1" cm="1">
        <f t="array" ref="U74">(    (Tabella1225[Theta vib7]/Tabella1124[[#This Row],[Temperatura]]) /(EXP(Tabella1225[Theta vib7]/Tabella1124[[#This Row],[Temperatura]])-1)) - LN(1-EXP(-Tabella1225[Theta vib7]/Tabella1124[[#This Row],[Temperatura]]))</f>
        <v>6.0078594892456066E-2</v>
      </c>
      <c r="V74" s="1" cm="1">
        <f t="array" ref="V74">(    (Tabella1225[Theta vib8]/Tabella1124[[#This Row],[Temperatura]]) /(EXP(Tabella1225[Theta vib8]/Tabella1124[[#This Row],[Temperatura]])-1)) - LN(1-EXP(-Tabella1225[Theta vib8]/Tabella1124[[#This Row],[Temperatura]]))</f>
        <v>6.0078573395740888E-2</v>
      </c>
      <c r="W74" s="1" cm="1">
        <f t="array" ref="W74">((Tabella1225[Theta vib9]/Tabella1124[[#This Row],[Temperatura]]) /(EXP(Tabella1225[Theta vib9]/Tabella1124[[#This Row],[Temperatura]])-1) )- LN(1-EXP(-Tabella1225[Theta vib9]/Tabella1124[[#This Row],[Temperatura]]))</f>
        <v>6.0063634976417569E-2</v>
      </c>
      <c r="X74" s="1" cm="1">
        <f t="array" ref="X74">Tabella33[Rydberg R]*SUM(Tabella1124[[#This Row],[S vib 1]:[S vib 9]])</f>
        <v>20.33444600053739</v>
      </c>
    </row>
    <row r="75" spans="1:24" x14ac:dyDescent="0.3">
      <c r="A75" s="3">
        <v>1300</v>
      </c>
      <c r="B75" cm="1">
        <f t="array" ref="B75">POWER((2*Tabella33[Pi Greco]*Tabella33[Massa]*Tabella33[Boltzmann k]*Tabella122[[#This Row],[Temperatura]])/(POWER(Tabella33[Planck h],2)),1.5)</f>
        <v>5.6588955574944449E+32</v>
      </c>
      <c r="C75" s="1" cm="1">
        <f t="array" ref="C75">(Tabella122[[#This Row],[Temperatura]]*Tabella33[Rydberg R])/101325</f>
        <v>0.10667456797434</v>
      </c>
      <c r="D75" s="1" cm="1">
        <f t="array" ref="D75">Tabella33[Rydberg R]*LN((Tabella122[[#This Row],[Volume]]/Tabella33[Avogadro N])*EXP(2.5)*Tabella122[[#This Row],[Translational Factor]])</f>
        <v>173.9641472237453</v>
      </c>
      <c r="F75" s="3">
        <v>1300</v>
      </c>
      <c r="G75" s="18" cm="1">
        <f t="array" ref="G75">Tabella33[Rydberg R]*LN((EXP(1)*Tabella1326[[#This Row],[Temperatura]])/(Tabella3[Theta rot]*Tabella619[Simmetry Number]))</f>
        <v>-400.96720228608751</v>
      </c>
      <c r="H75" s="18" cm="1">
        <f t="array" ref="H75">Tabella33[Rydberg R]*(1.5 + LN(SQRT((PI()*POWER(Tabella1326[[#This Row],[Temperatura]],3))/(Tabella619[Simmetry Number]*Tabella619[Simmetry Number]*PRODUCT(Tabella4[])))))</f>
        <v>72.29451303398001</v>
      </c>
      <c r="I75" s="30"/>
      <c r="N75" s="9">
        <v>1100</v>
      </c>
      <c r="O75" s="11" cm="1">
        <f t="array" ref="O75" xml:space="preserve">   ((Tabella1225[Theta vib 1]/Tabella1124[[#This Row],[Temperatura]]) /(EXP(Tabella1225[Theta vib 1]/Tabella1124[[#This Row],[Temperatura]])-1) )- LN(1-EXP(-Tabella1225[Theta vib 1]/Tabella1124[[#This Row],[Temperatura]]))</f>
        <v>0.55351693633877053</v>
      </c>
      <c r="P75" s="1" cm="1">
        <f t="array" ref="P75">( (Tabella1225[Theta vib2]/Tabella1124[[#This Row],[Temperatura]]) /(EXP(Tabella1225[Theta vib2]/Tabella1124[[#This Row],[Temperatura]])-1)) - LN(1-EXP(-Tabella1225[Theta vib2]/Tabella1124[[#This Row],[Temperatura]]))</f>
        <v>0.55351618669850522</v>
      </c>
      <c r="Q75" s="1" cm="1">
        <f t="array" ref="Q75">(  (Tabella1225[Theta vib3]/Tabella1124[[#This Row],[Temperatura]]) /(EXP(Tabella1225[Theta vib3]/Tabella1124[[#This Row],[Temperatura]])-1))- LN(1-EXP(-Tabella1225[Theta vib3]/Tabella1124[[#This Row],[Temperatura]]))</f>
        <v>0.55338916709804864</v>
      </c>
      <c r="R75" s="1" cm="1">
        <f t="array" ref="R75" xml:space="preserve"> (  (Tabella1225[Theta vib4]/Tabella1124[[#This Row],[Temperatura]]) /(EXP(Tabella1225[Theta vib4]/Tabella1124[[#This Row],[Temperatura]])-1) )- LN(1-EXP(-Tabella1225[Theta vib4]/Tabella1124[[#This Row],[Temperatura]]))</f>
        <v>0.44233330217980493</v>
      </c>
      <c r="S75" s="1" cm="1">
        <f t="array" ref="S75">(    (Tabella1225[Theta vib5]/Tabella1124[[#This Row],[Temperatura]]) /(EXP(Tabella1225[Theta vib5]/Tabella1124[[#This Row],[Temperatura]])-1)) - LN(1-EXP(-Tabella1225[Theta vib5]/Tabella1124[[#This Row],[Temperatura]]))</f>
        <v>0.44233270880370168</v>
      </c>
      <c r="T75" s="1" cm="1">
        <f t="array" ref="T75">(    (Tabella1225[Theta vib6]/Tabella1124[[#This Row],[Temperatura]]) /(EXP(Tabella1225[Theta vib6]/Tabella1124[[#This Row],[Temperatura]])-1)) - LN(1-EXP(-Tabella1225[Theta vib6]/Tabella1124[[#This Row],[Temperatura]]))</f>
        <v>9.518847814506208E-2</v>
      </c>
      <c r="U75" s="1" cm="1">
        <f t="array" ref="U75">(    (Tabella1225[Theta vib7]/Tabella1124[[#This Row],[Temperatura]]) /(EXP(Tabella1225[Theta vib7]/Tabella1124[[#This Row],[Temperatura]])-1)) - LN(1-EXP(-Tabella1225[Theta vib7]/Tabella1124[[#This Row],[Temperatura]]))</f>
        <v>8.4373146673878407E-2</v>
      </c>
      <c r="V75" s="1" cm="1">
        <f t="array" ref="V75">(    (Tabella1225[Theta vib8]/Tabella1124[[#This Row],[Temperatura]]) /(EXP(Tabella1225[Theta vib8]/Tabella1124[[#This Row],[Temperatura]])-1)) - LN(1-EXP(-Tabella1225[Theta vib8]/Tabella1124[[#This Row],[Temperatura]]))</f>
        <v>8.4373119549041836E-2</v>
      </c>
      <c r="W75" s="1" cm="1">
        <f t="array" ref="W75">((Tabella1225[Theta vib9]/Tabella1124[[#This Row],[Temperatura]]) /(EXP(Tabella1225[Theta vib9]/Tabella1124[[#This Row],[Temperatura]])-1) )- LN(1-EXP(-Tabella1225[Theta vib9]/Tabella1124[[#This Row],[Temperatura]]))</f>
        <v>8.4354269821924746E-2</v>
      </c>
      <c r="X75" s="1" cm="1">
        <f t="array" ref="X75">Tabella33[Rydberg R]*SUM(Tabella1124[[#This Row],[S vib 1]:[S vib 9]])</f>
        <v>24.056875739796521</v>
      </c>
    </row>
    <row r="76" spans="1:24" x14ac:dyDescent="0.3">
      <c r="A76" s="3">
        <v>1400</v>
      </c>
      <c r="B76" cm="1">
        <f t="array" ref="B76">POWER((2*Tabella33[Pi Greco]*Tabella33[Massa]*Tabella33[Boltzmann k]*Tabella122[[#This Row],[Temperatura]])/(POWER(Tabella33[Planck h],2)),1.5)</f>
        <v>6.3242452549973987E+32</v>
      </c>
      <c r="C76" s="1" cm="1">
        <f t="array" ref="C76">(Tabella122[[#This Row],[Temperatura]]*Tabella33[Rydberg R])/101325</f>
        <v>0.11488030397236616</v>
      </c>
      <c r="D76" s="1" cm="1">
        <f t="array" ref="D76">Tabella33[Rydberg R]*LN((Tabella122[[#This Row],[Volume]]/Tabella33[Avogadro N])*EXP(2.5)*Tabella122[[#This Row],[Translational Factor]])</f>
        <v>175.50456701966823</v>
      </c>
      <c r="F76" s="3">
        <v>1400</v>
      </c>
      <c r="G76" s="18" cm="1">
        <f t="array" ref="G76">Tabella33[Rydberg R]*LN((EXP(1)*Tabella1326[[#This Row],[Temperatura]])/(Tabella3[Theta rot]*Tabella619[Simmetry Number]))</f>
        <v>-400.35103436771828</v>
      </c>
      <c r="H76" s="18" cm="1">
        <f t="array" ref="H76">Tabella33[Rydberg R]*(1.5 + LN(SQRT((PI()*POWER(Tabella1326[[#This Row],[Temperatura]],3))/(Tabella619[Simmetry Number]*Tabella619[Simmetry Number]*PRODUCT(Tabella4[])))))</f>
        <v>73.218764911533768</v>
      </c>
      <c r="I76" s="30"/>
      <c r="N76" s="9">
        <v>1200</v>
      </c>
      <c r="O76" s="11" cm="1">
        <f t="array" ref="O76" xml:space="preserve">   ((Tabella1225[Theta vib 1]/Tabella1124[[#This Row],[Temperatura]]) /(EXP(Tabella1225[Theta vib 1]/Tabella1124[[#This Row],[Temperatura]])-1) )- LN(1-EXP(-Tabella1225[Theta vib 1]/Tabella1124[[#This Row],[Temperatura]]))</f>
        <v>0.62250859315918172</v>
      </c>
      <c r="P76" s="1" cm="1">
        <f t="array" ref="P76">( (Tabella1225[Theta vib2]/Tabella1124[[#This Row],[Temperatura]]) /(EXP(Tabella1225[Theta vib2]/Tabella1124[[#This Row],[Temperatura]])-1)) - LN(1-EXP(-Tabella1225[Theta vib2]/Tabella1124[[#This Row],[Temperatura]]))</f>
        <v>0.62250781332148197</v>
      </c>
      <c r="Q76" s="1" cm="1">
        <f t="array" ref="Q76">(  (Tabella1225[Theta vib3]/Tabella1124[[#This Row],[Temperatura]]) /(EXP(Tabella1225[Theta vib3]/Tabella1124[[#This Row],[Temperatura]])-1))- LN(1-EXP(-Tabella1225[Theta vib3]/Tabella1124[[#This Row],[Temperatura]]))</f>
        <v>0.62237567622464074</v>
      </c>
      <c r="R76" s="1" cm="1">
        <f t="array" ref="R76" xml:space="preserve"> (  (Tabella1225[Theta vib4]/Tabella1124[[#This Row],[Temperatura]]) /(EXP(Tabella1225[Theta vib4]/Tabella1124[[#This Row],[Temperatura]])-1) )- LN(1-EXP(-Tabella1225[Theta vib4]/Tabella1124[[#This Row],[Temperatura]]))</f>
        <v>0.50614021428830691</v>
      </c>
      <c r="S76" s="1" cm="1">
        <f t="array" ref="S76">(    (Tabella1225[Theta vib5]/Tabella1124[[#This Row],[Temperatura]]) /(EXP(Tabella1225[Theta vib5]/Tabella1124[[#This Row],[Temperatura]])-1)) - LN(1-EXP(-Tabella1225[Theta vib5]/Tabella1124[[#This Row],[Temperatura]]))</f>
        <v>0.50613958898462896</v>
      </c>
      <c r="T76" s="1" cm="1">
        <f t="array" ref="T76">(    (Tabella1225[Theta vib6]/Tabella1124[[#This Row],[Temperatura]]) /(EXP(Tabella1225[Theta vib6]/Tabella1124[[#This Row],[Temperatura]])-1)) - LN(1-EXP(-Tabella1225[Theta vib6]/Tabella1124[[#This Row],[Temperatura]]))</f>
        <v>0.12454372445775974</v>
      </c>
      <c r="U76" s="1" cm="1">
        <f t="array" ref="U76">(    (Tabella1225[Theta vib7]/Tabella1124[[#This Row],[Temperatura]]) /(EXP(Tabella1225[Theta vib7]/Tabella1124[[#This Row],[Temperatura]])-1)) - LN(1-EXP(-Tabella1225[Theta vib7]/Tabella1124[[#This Row],[Temperatura]]))</f>
        <v>0.11162857612763169</v>
      </c>
      <c r="V76" s="1" cm="1">
        <f t="array" ref="V76">(    (Tabella1225[Theta vib8]/Tabella1124[[#This Row],[Temperatura]]) /(EXP(Tabella1225[Theta vib8]/Tabella1124[[#This Row],[Temperatura]])-1)) - LN(1-EXP(-Tabella1225[Theta vib8]/Tabella1124[[#This Row],[Temperatura]]))</f>
        <v>0.11162854355818991</v>
      </c>
      <c r="W76" s="1" cm="1">
        <f t="array" ref="W76">((Tabella1225[Theta vib9]/Tabella1124[[#This Row],[Temperatura]]) /(EXP(Tabella1225[Theta vib9]/Tabella1124[[#This Row],[Temperatura]])-1) )- LN(1-EXP(-Tabella1225[Theta vib9]/Tabella1124[[#This Row],[Temperatura]]))</f>
        <v>0.11160591001207816</v>
      </c>
      <c r="X76" s="1" cm="1">
        <f t="array" ref="X76">Tabella33[Rydberg R]*SUM(Tabella1124[[#This Row],[S vib 1]:[S vib 9]])</f>
        <v>27.762642468404987</v>
      </c>
    </row>
    <row r="77" spans="1:24" x14ac:dyDescent="0.3">
      <c r="A77" s="3">
        <v>1500</v>
      </c>
      <c r="B77" cm="1">
        <f t="array" ref="B77">POWER((2*Tabella33[Pi Greco]*Tabella33[Massa]*Tabella33[Boltzmann k]*Tabella122[[#This Row],[Temperatura]])/(POWER(Tabella33[Planck h],2)),1.5)</f>
        <v>7.0138025988879123E+32</v>
      </c>
      <c r="C77" s="1" cm="1">
        <f t="array" ref="C77">(Tabella122[[#This Row],[Temperatura]]*Tabella33[Rydberg R])/101325</f>
        <v>0.12308603997039232</v>
      </c>
      <c r="D77" s="1" cm="1">
        <f t="array" ref="D77">Tabella33[Rydberg R]*LN((Tabella122[[#This Row],[Volume]]/Tabella33[Avogadro N])*EXP(2.5)*Tabella122[[#This Row],[Translational Factor]])</f>
        <v>176.93866354029115</v>
      </c>
      <c r="F77" s="3">
        <v>1500</v>
      </c>
      <c r="G77" s="18" cm="1">
        <f t="array" ref="G77">Tabella33[Rydberg R]*LN((EXP(1)*Tabella1326[[#This Row],[Temperatura]])/(Tabella3[Theta rot]*Tabella619[Simmetry Number]))</f>
        <v>-399.77739575946919</v>
      </c>
      <c r="H77" s="18" cm="1">
        <f t="array" ref="H77">Tabella33[Rydberg R]*(1.5 + LN(SQRT((PI()*POWER(Tabella1326[[#This Row],[Temperatura]],3))/(Tabella619[Simmetry Number]*Tabella619[Simmetry Number]*PRODUCT(Tabella4[])))))</f>
        <v>74.079222823907486</v>
      </c>
      <c r="I77" s="30"/>
      <c r="N77" s="9">
        <v>1300</v>
      </c>
      <c r="O77" s="11" cm="1">
        <f t="array" ref="O77" xml:space="preserve">   ((Tabella1225[Theta vib 1]/Tabella1124[[#This Row],[Temperatura]]) /(EXP(Tabella1225[Theta vib 1]/Tabella1124[[#This Row],[Temperatura]])-1) )- LN(1-EXP(-Tabella1225[Theta vib 1]/Tabella1124[[#This Row],[Temperatura]]))</f>
        <v>0.68823821835968324</v>
      </c>
      <c r="P77" s="1" cm="1">
        <f t="array" ref="P77">( (Tabella1225[Theta vib2]/Tabella1124[[#This Row],[Temperatura]]) /(EXP(Tabella1225[Theta vib2]/Tabella1124[[#This Row],[Temperatura]])-1)) - LN(1-EXP(-Tabella1225[Theta vib2]/Tabella1124[[#This Row],[Temperatura]]))</f>
        <v>0.6882374140136549</v>
      </c>
      <c r="Q77" s="1" cm="1">
        <f t="array" ref="Q77">(  (Tabella1225[Theta vib3]/Tabella1124[[#This Row],[Temperatura]]) /(EXP(Tabella1225[Theta vib3]/Tabella1124[[#This Row],[Temperatura]])-1))- LN(1-EXP(-Tabella1225[Theta vib3]/Tabella1124[[#This Row],[Temperatura]]))</f>
        <v>0.68810112351399999</v>
      </c>
      <c r="R77" s="1" cm="1">
        <f t="array" ref="R77" xml:space="preserve"> (  (Tabella1225[Theta vib4]/Tabella1124[[#This Row],[Temperatura]]) /(EXP(Tabella1225[Theta vib4]/Tabella1124[[#This Row],[Temperatura]])-1) )- LN(1-EXP(-Tabella1225[Theta vib4]/Tabella1124[[#This Row],[Temperatura]]))</f>
        <v>0.56763330600211703</v>
      </c>
      <c r="S77" s="1" cm="1">
        <f t="array" ref="S77">(    (Tabella1225[Theta vib5]/Tabella1124[[#This Row],[Temperatura]]) /(EXP(Tabella1225[Theta vib5]/Tabella1124[[#This Row],[Temperatura]])-1)) - LN(1-EXP(-Tabella1225[Theta vib5]/Tabella1124[[#This Row],[Temperatura]]))</f>
        <v>0.56763265442947919</v>
      </c>
      <c r="T77" s="1" cm="1">
        <f t="array" ref="T77">(    (Tabella1225[Theta vib6]/Tabella1124[[#This Row],[Temperatura]]) /(EXP(Tabella1225[Theta vib6]/Tabella1124[[#This Row],[Temperatura]])-1)) - LN(1-EXP(-Tabella1225[Theta vib6]/Tabella1124[[#This Row],[Temperatura]]))</f>
        <v>0.15604041354382536</v>
      </c>
      <c r="U77" s="1" cm="1">
        <f t="array" ref="U77">(    (Tabella1225[Theta vib7]/Tabella1124[[#This Row],[Temperatura]]) /(EXP(Tabella1225[Theta vib7]/Tabella1124[[#This Row],[Temperatura]])-1)) - LN(1-EXP(-Tabella1225[Theta vib7]/Tabella1124[[#This Row],[Temperatura]]))</f>
        <v>0.14115702438108274</v>
      </c>
      <c r="V77" s="1" cm="1">
        <f t="array" ref="V77">(    (Tabella1225[Theta vib8]/Tabella1124[[#This Row],[Temperatura]]) /(EXP(Tabella1225[Theta vib8]/Tabella1124[[#This Row],[Temperatura]])-1)) - LN(1-EXP(-Tabella1225[Theta vib8]/Tabella1124[[#This Row],[Temperatura]]))</f>
        <v>0.14115698667965793</v>
      </c>
      <c r="W77" s="1" cm="1">
        <f t="array" ref="W77">((Tabella1225[Theta vib9]/Tabella1124[[#This Row],[Temperatura]]) /(EXP(Tabella1225[Theta vib9]/Tabella1124[[#This Row],[Temperatura]])-1) )- LN(1-EXP(-Tabella1225[Theta vib9]/Tabella1124[[#This Row],[Temperatura]]))</f>
        <v>0.1411307865396636</v>
      </c>
      <c r="X77" s="1" cm="1">
        <f t="array" ref="X77">Tabella33[Rydberg R]*SUM(Tabella1124[[#This Row],[S vib 1]:[S vib 9]])</f>
        <v>31.423078438431236</v>
      </c>
    </row>
    <row r="78" spans="1:24" x14ac:dyDescent="0.3">
      <c r="A78" s="3">
        <v>1600</v>
      </c>
      <c r="B78" cm="1">
        <f t="array" ref="B78">POWER((2*Tabella33[Pi Greco]*Tabella33[Massa]*Tabella33[Boltzmann k]*Tabella122[[#This Row],[Temperatura]])/(POWER(Tabella33[Planck h],2)),1.5)</f>
        <v>7.7267457874714383E+32</v>
      </c>
      <c r="C78" s="1" cm="1">
        <f t="array" ref="C78">(Tabella122[[#This Row],[Temperatura]]*Tabella33[Rydberg R])/101325</f>
        <v>0.13129177596841846</v>
      </c>
      <c r="D78" s="1" cm="1">
        <f t="array" ref="D78">Tabella33[Rydberg R]*LN((Tabella122[[#This Row],[Volume]]/Tabella33[Avogadro N])*EXP(2.5)*Tabella122[[#This Row],[Translational Factor]])</f>
        <v>178.2801712441275</v>
      </c>
      <c r="F78" s="3">
        <v>1600</v>
      </c>
      <c r="G78" s="18" cm="1">
        <f t="array" ref="G78">Tabella33[Rydberg R]*LN((EXP(1)*Tabella1326[[#This Row],[Temperatura]])/(Tabella3[Theta rot]*Tabella619[Simmetry Number]))</f>
        <v>-399.24079267793468</v>
      </c>
      <c r="H78" s="18" cm="1">
        <f t="array" ref="H78">Tabella33[Rydberg R]*(1.5 + LN(SQRT((PI()*POWER(Tabella1326[[#This Row],[Temperatura]],3))/(Tabella619[Simmetry Number]*Tabella619[Simmetry Number]*PRODUCT(Tabella4[])))))</f>
        <v>74.884127446209291</v>
      </c>
      <c r="I78" s="30"/>
      <c r="N78" s="9">
        <v>1400</v>
      </c>
      <c r="O78" s="11" cm="1">
        <f t="array" ref="O78" xml:space="preserve">   ((Tabella1225[Theta vib 1]/Tabella1124[[#This Row],[Temperatura]]) /(EXP(Tabella1225[Theta vib 1]/Tabella1124[[#This Row],[Temperatura]])-1) )- LN(1-EXP(-Tabella1225[Theta vib 1]/Tabella1124[[#This Row],[Temperatura]]))</f>
        <v>0.75080349267939572</v>
      </c>
      <c r="P78" s="1" cm="1">
        <f t="array" ref="P78">( (Tabella1225[Theta vib2]/Tabella1124[[#This Row],[Temperatura]]) /(EXP(Tabella1225[Theta vib2]/Tabella1124[[#This Row],[Temperatura]])-1)) - LN(1-EXP(-Tabella1225[Theta vib2]/Tabella1124[[#This Row],[Temperatura]]))</f>
        <v>0.75080266823046782</v>
      </c>
      <c r="Q78" s="1" cm="1">
        <f t="array" ref="Q78">(  (Tabella1225[Theta vib3]/Tabella1124[[#This Row],[Temperatura]]) /(EXP(Tabella1225[Theta vib3]/Tabella1124[[#This Row],[Temperatura]])-1))- LN(1-EXP(-Tabella1225[Theta vib3]/Tabella1124[[#This Row],[Temperatura]]))</f>
        <v>0.75066297089399592</v>
      </c>
      <c r="R78" s="1" cm="1">
        <f t="array" ref="R78" xml:space="preserve"> (  (Tabella1225[Theta vib4]/Tabella1124[[#This Row],[Temperatura]]) /(EXP(Tabella1225[Theta vib4]/Tabella1124[[#This Row],[Temperatura]])-1) )- LN(1-EXP(-Tabella1225[Theta vib4]/Tabella1124[[#This Row],[Temperatura]]))</f>
        <v>0.62670472985135639</v>
      </c>
      <c r="S78" s="1" cm="1">
        <f t="array" ref="S78">(    (Tabella1225[Theta vib5]/Tabella1124[[#This Row],[Temperatura]]) /(EXP(Tabella1225[Theta vib5]/Tabella1124[[#This Row],[Temperatura]])-1)) - LN(1-EXP(-Tabella1225[Theta vib5]/Tabella1124[[#This Row],[Temperatura]]))</f>
        <v>0.62670405649549676</v>
      </c>
      <c r="T78" s="1" cm="1">
        <f t="array" ref="T78">(    (Tabella1225[Theta vib6]/Tabella1124[[#This Row],[Temperatura]]) /(EXP(Tabella1225[Theta vib6]/Tabella1124[[#This Row],[Temperatura]])-1)) - LN(1-EXP(-Tabella1225[Theta vib6]/Tabella1124[[#This Row],[Temperatura]]))</f>
        <v>0.18904769249700631</v>
      </c>
      <c r="U78" s="1" cm="1">
        <f t="array" ref="U78">(    (Tabella1225[Theta vib7]/Tabella1124[[#This Row],[Temperatura]]) /(EXP(Tabella1225[Theta vib7]/Tabella1124[[#This Row],[Temperatura]])-1)) - LN(1-EXP(-Tabella1225[Theta vib7]/Tabella1124[[#This Row],[Temperatura]]))</f>
        <v>0.17234929704074636</v>
      </c>
      <c r="V78" s="1" cm="1">
        <f t="array" ref="V78">(    (Tabella1225[Theta vib8]/Tabella1124[[#This Row],[Temperatura]]) /(EXP(Tabella1225[Theta vib8]/Tabella1124[[#This Row],[Temperatura]])-1)) - LN(1-EXP(-Tabella1225[Theta vib8]/Tabella1124[[#This Row],[Temperatura]]))</f>
        <v>0.17234925458501299</v>
      </c>
      <c r="W78" s="1" cm="1">
        <f t="array" ref="W78">((Tabella1225[Theta vib9]/Tabella1124[[#This Row],[Temperatura]]) /(EXP(Tabella1225[Theta vib9]/Tabella1124[[#This Row],[Temperatura]])-1) )- LN(1-EXP(-Tabella1225[Theta vib9]/Tabella1124[[#This Row],[Temperatura]]))</f>
        <v>0.17231975029683411</v>
      </c>
      <c r="X78" s="1" cm="1">
        <f t="array" ref="X78">Tabella33[Rydberg R]*SUM(Tabella1124[[#This Row],[S vib 1]:[S vib 9]])</f>
        <v>35.018384714797193</v>
      </c>
    </row>
    <row r="79" spans="1:24" x14ac:dyDescent="0.3">
      <c r="A79" s="3">
        <v>1700</v>
      </c>
      <c r="B79" cm="1">
        <f t="array" ref="B79">POWER((2*Tabella33[Pi Greco]*Tabella33[Massa]*Tabella33[Boltzmann k]*Tabella122[[#This Row],[Temperatura]])/(POWER(Tabella33[Planck h],2)),1.5)</f>
        <v>8.4623314595108434E+32</v>
      </c>
      <c r="C79" s="1" cm="1">
        <f t="array" ref="C79">(Tabella122[[#This Row],[Temperatura]]*Tabella33[Rydberg R])/101325</f>
        <v>0.13949751196644464</v>
      </c>
      <c r="D79" s="1" cm="1">
        <f t="array" ref="D79">Tabella33[Rydberg R]*LN((Tabella122[[#This Row],[Volume]]/Tabella33[Avogadro N])*EXP(2.5)*Tabella122[[#This Row],[Translational Factor]])</f>
        <v>179.54032403002023</v>
      </c>
      <c r="F79" s="3">
        <v>1700</v>
      </c>
      <c r="G79" s="18" cm="1">
        <f t="array" ref="G79">Tabella33[Rydberg R]*LN((EXP(1)*Tabella1326[[#This Row],[Temperatura]])/(Tabella3[Theta rot]*Tabella619[Simmetry Number]))</f>
        <v>-398.73673156357751</v>
      </c>
      <c r="H79" s="18" cm="1">
        <f t="array" ref="H79">Tabella33[Rydberg R]*(1.5 + LN(SQRT((PI()*POWER(Tabella1326[[#This Row],[Temperatura]],3))/(Tabella619[Simmetry Number]*Tabella619[Simmetry Number]*PRODUCT(Tabella4[])))))</f>
        <v>75.640219117744962</v>
      </c>
      <c r="I79" s="30"/>
      <c r="N79" s="9">
        <v>1500</v>
      </c>
      <c r="O79" s="11" cm="1">
        <f t="array" ref="O79" xml:space="preserve">   ((Tabella1225[Theta vib 1]/Tabella1124[[#This Row],[Temperatura]]) /(EXP(Tabella1225[Theta vib 1]/Tabella1124[[#This Row],[Temperatura]])-1) )- LN(1-EXP(-Tabella1225[Theta vib 1]/Tabella1124[[#This Row],[Temperatura]]))</f>
        <v>0.81036169433934613</v>
      </c>
      <c r="P79" s="1" cm="1">
        <f t="array" ref="P79">( (Tabella1225[Theta vib2]/Tabella1124[[#This Row],[Temperatura]]) /(EXP(Tabella1225[Theta vib2]/Tabella1124[[#This Row],[Temperatura]])-1)) - LN(1-EXP(-Tabella1225[Theta vib2]/Tabella1124[[#This Row],[Temperatura]]))</f>
        <v>0.81036085323383167</v>
      </c>
      <c r="Q79" s="1" cm="1">
        <f t="array" ref="Q79">(  (Tabella1225[Theta vib3]/Tabella1124[[#This Row],[Temperatura]]) /(EXP(Tabella1225[Theta vib3]/Tabella1124[[#This Row],[Temperatura]])-1))- LN(1-EXP(-Tabella1225[Theta vib3]/Tabella1124[[#This Row],[Temperatura]]))</f>
        <v>0.81021833309499613</v>
      </c>
      <c r="R79" s="1" cm="1">
        <f t="array" ref="R79" xml:space="preserve"> (  (Tabella1225[Theta vib4]/Tabella1124[[#This Row],[Temperatura]]) /(EXP(Tabella1225[Theta vib4]/Tabella1124[[#This Row],[Temperatura]])-1) )- LN(1-EXP(-Tabella1225[Theta vib4]/Tabella1124[[#This Row],[Temperatura]]))</f>
        <v>0.68335532354556228</v>
      </c>
      <c r="S79" s="1" cm="1">
        <f t="array" ref="S79">(    (Tabella1225[Theta vib5]/Tabella1124[[#This Row],[Temperatura]]) /(EXP(Tabella1225[Theta vib5]/Tabella1124[[#This Row],[Temperatura]])-1)) - LN(1-EXP(-Tabella1225[Theta vib5]/Tabella1124[[#This Row],[Temperatura]]))</f>
        <v>0.68335463198080193</v>
      </c>
      <c r="T79" s="1" cm="1">
        <f t="array" ref="T79">(    (Tabella1225[Theta vib6]/Tabella1124[[#This Row],[Temperatura]]) /(EXP(Tabella1225[Theta vib6]/Tabella1124[[#This Row],[Temperatura]])-1)) - LN(1-EXP(-Tabella1225[Theta vib6]/Tabella1124[[#This Row],[Temperatura]]))</f>
        <v>0.22304608957529071</v>
      </c>
      <c r="U79" s="1" cm="1">
        <f t="array" ref="U79">(    (Tabella1225[Theta vib7]/Tabella1124[[#This Row],[Temperatura]]) /(EXP(Tabella1225[Theta vib7]/Tabella1124[[#This Row],[Temperatura]])-1)) - LN(1-EXP(-Tabella1225[Theta vib7]/Tabella1124[[#This Row],[Temperatura]]))</f>
        <v>0.20469174154377939</v>
      </c>
      <c r="V79" s="1" cm="1">
        <f t="array" ref="V79">(    (Tabella1225[Theta vib8]/Tabella1124[[#This Row],[Temperatura]]) /(EXP(Tabella1225[Theta vib8]/Tabella1124[[#This Row],[Temperatura]])-1)) - LN(1-EXP(-Tabella1225[Theta vib8]/Tabella1124[[#This Row],[Temperatura]]))</f>
        <v>0.2046916947336449</v>
      </c>
      <c r="W79" s="1" cm="1">
        <f t="array" ref="W79">((Tabella1225[Theta vib9]/Tabella1124[[#This Row],[Temperatura]]) /(EXP(Tabella1225[Theta vib9]/Tabella1124[[#This Row],[Temperatura]])-1) )- LN(1-EXP(-Tabella1225[Theta vib9]/Tabella1124[[#This Row],[Temperatura]]))</f>
        <v>0.20465916420335006</v>
      </c>
      <c r="X79" s="1" cm="1">
        <f t="array" ref="X79">Tabella33[Rydberg R]*SUM(Tabella1124[[#This Row],[S vib 1]:[S vib 9]])</f>
        <v>38.535365670908654</v>
      </c>
    </row>
    <row r="80" spans="1:24" x14ac:dyDescent="0.3">
      <c r="A80" s="3">
        <v>1800</v>
      </c>
      <c r="B80" cm="1">
        <f t="array" ref="B80">POWER((2*Tabella33[Pi Greco]*Tabella33[Massa]*Tabella33[Boltzmann k]*Tabella122[[#This Row],[Temperatura]])/(POWER(Tabella33[Planck h],2)),1.5)</f>
        <v>9.2198829535181323E+32</v>
      </c>
      <c r="C80" s="1" cm="1">
        <f t="array" ref="C80">(Tabella122[[#This Row],[Temperatura]]*Tabella33[Rydberg R])/101325</f>
        <v>0.14770324796447079</v>
      </c>
      <c r="D80" s="1" cm="1">
        <f t="array" ref="D80">Tabella33[Rydberg R]*LN((Tabella122[[#This Row],[Volume]]/Tabella33[Avogadro N])*EXP(2.5)*Tabella122[[#This Row],[Translational Factor]])</f>
        <v>180.7284276796515</v>
      </c>
      <c r="F80" s="3">
        <v>1800</v>
      </c>
      <c r="G80" s="18" cm="1">
        <f t="array" ref="G80">Tabella33[Rydberg R]*LN((EXP(1)*Tabella1326[[#This Row],[Temperatura]])/(Tabella3[Theta rot]*Tabella619[Simmetry Number]))</f>
        <v>-398.26149010372501</v>
      </c>
      <c r="H80" s="18" cm="1">
        <f t="array" ref="H80">Tabella33[Rydberg R]*(1.5 + LN(SQRT((PI()*POWER(Tabella1326[[#This Row],[Temperatura]],3))/(Tabella619[Simmetry Number]*Tabella619[Simmetry Number]*PRODUCT(Tabella4[])))))</f>
        <v>76.353081307523752</v>
      </c>
      <c r="I80" s="30"/>
      <c r="N80" s="9">
        <v>1600</v>
      </c>
      <c r="O80" s="11" cm="1">
        <f t="array" ref="O80" xml:space="preserve">   ((Tabella1225[Theta vib 1]/Tabella1124[[#This Row],[Temperatura]]) /(EXP(Tabella1225[Theta vib 1]/Tabella1124[[#This Row],[Temperatura]])-1) )- LN(1-EXP(-Tabella1225[Theta vib 1]/Tabella1124[[#This Row],[Temperatura]]))</f>
        <v>0.86709558111127616</v>
      </c>
      <c r="P80" s="1" cm="1">
        <f t="array" ref="P80">( (Tabella1225[Theta vib2]/Tabella1124[[#This Row],[Temperatura]]) /(EXP(Tabella1225[Theta vib2]/Tabella1124[[#This Row],[Temperatura]])-1)) - LN(1-EXP(-Tabella1225[Theta vib2]/Tabella1124[[#This Row],[Temperatura]]))</f>
        <v>0.86709472607357141</v>
      </c>
      <c r="Q80" s="1" cm="1">
        <f t="array" ref="Q80">(  (Tabella1225[Theta vib3]/Tabella1124[[#This Row],[Temperatura]]) /(EXP(Tabella1225[Theta vib3]/Tabella1124[[#This Row],[Temperatura]])-1))- LN(1-EXP(-Tabella1225[Theta vib3]/Tabella1124[[#This Row],[Temperatura]]))</f>
        <v>0.86694984482929438</v>
      </c>
      <c r="R80" s="1" cm="1">
        <f t="array" ref="R80" xml:space="preserve"> (  (Tabella1225[Theta vib4]/Tabella1124[[#This Row],[Temperatura]]) /(EXP(Tabella1225[Theta vib4]/Tabella1124[[#This Row],[Temperatura]])-1) )- LN(1-EXP(-Tabella1225[Theta vib4]/Tabella1124[[#This Row],[Temperatura]]))</f>
        <v>0.7376484039323189</v>
      </c>
      <c r="S80" s="1" cm="1">
        <f t="array" ref="S80">(    (Tabella1225[Theta vib5]/Tabella1124[[#This Row],[Temperatura]]) /(EXP(Tabella1225[Theta vib5]/Tabella1124[[#This Row],[Temperatura]])-1)) - LN(1-EXP(-Tabella1225[Theta vib5]/Tabella1124[[#This Row],[Temperatura]]))</f>
        <v>0.73764769702620059</v>
      </c>
      <c r="T80" s="1" cm="1">
        <f t="array" ref="T80">(    (Tabella1225[Theta vib6]/Tabella1124[[#This Row],[Temperatura]]) /(EXP(Tabella1225[Theta vib6]/Tabella1124[[#This Row],[Temperatura]])-1)) - LN(1-EXP(-Tabella1225[Theta vib6]/Tabella1124[[#This Row],[Temperatura]]))</f>
        <v>0.25761987704403944</v>
      </c>
      <c r="U80" s="1" cm="1">
        <f t="array" ref="U80">(    (Tabella1225[Theta vib7]/Tabella1124[[#This Row],[Temperatura]]) /(EXP(Tabella1225[Theta vib7]/Tabella1124[[#This Row],[Temperatura]])-1)) - LN(1-EXP(-Tabella1225[Theta vib7]/Tabella1124[[#This Row],[Temperatura]]))</f>
        <v>0.23776487280592071</v>
      </c>
      <c r="V80" s="1" cm="1">
        <f t="array" ref="V80">(    (Tabella1225[Theta vib8]/Tabella1124[[#This Row],[Temperatura]]) /(EXP(Tabella1225[Theta vib8]/Tabella1124[[#This Row],[Temperatura]])-1)) - LN(1-EXP(-Tabella1225[Theta vib8]/Tabella1124[[#This Row],[Temperatura]]))</f>
        <v>0.23776482203693589</v>
      </c>
      <c r="W80" s="1" cm="1">
        <f t="array" ref="W80">((Tabella1225[Theta vib9]/Tabella1124[[#This Row],[Temperatura]]) /(EXP(Tabella1225[Theta vib9]/Tabella1124[[#This Row],[Temperatura]])-1) )- LN(1-EXP(-Tabella1225[Theta vib9]/Tabella1124[[#This Row],[Temperatura]]))</f>
        <v>0.23772954014968242</v>
      </c>
      <c r="X80" s="1" cm="1">
        <f t="array" ref="X80">Tabella33[Rydberg R]*SUM(Tabella1124[[#This Row],[S vib 1]:[S vib 9]])</f>
        <v>41.96571180438545</v>
      </c>
    </row>
    <row r="81" spans="1:24" x14ac:dyDescent="0.3">
      <c r="A81" s="3">
        <v>1900</v>
      </c>
      <c r="B81" cm="1">
        <f t="array" ref="B81">POWER((2*Tabella33[Pi Greco]*Tabella33[Massa]*Tabella33[Boltzmann k]*Tabella122[[#This Row],[Temperatura]])/(POWER(Tabella33[Planck h],2)),1.5)</f>
        <v>9.9987808898486976E+32</v>
      </c>
      <c r="C81" s="1" cm="1">
        <f t="array" ref="C81">(Tabella122[[#This Row],[Temperatura]]*Tabella33[Rydberg R])/101325</f>
        <v>0.15590898396249692</v>
      </c>
      <c r="D81" s="1" cm="1">
        <f t="array" ref="D81">Tabella33[Rydberg R]*LN((Tabella122[[#This Row],[Volume]]/Tabella33[Avogadro N])*EXP(2.5)*Tabella122[[#This Row],[Translational Factor]])</f>
        <v>181.85227732139489</v>
      </c>
      <c r="F81" s="3">
        <v>1900</v>
      </c>
      <c r="G81" s="18" cm="1">
        <f t="array" ref="G81">Tabella33[Rydberg R]*LN((EXP(1)*Tabella1326[[#This Row],[Temperatura]])/(Tabella3[Theta rot]*Tabella619[Simmetry Number]))</f>
        <v>-397.81195024702771</v>
      </c>
      <c r="H81" s="18" cm="1">
        <f t="array" ref="H81">Tabella33[Rydberg R]*(1.5 + LN(SQRT((PI()*POWER(Tabella1326[[#This Row],[Temperatura]],3))/(Tabella619[Simmetry Number]*Tabella619[Simmetry Number]*PRODUCT(Tabella4[])))))</f>
        <v>77.027391092569701</v>
      </c>
      <c r="I81" s="30"/>
      <c r="N81" s="9">
        <v>1700</v>
      </c>
      <c r="O81" s="11" cm="1">
        <f t="array" ref="O81" xml:space="preserve">   ((Tabella1225[Theta vib 1]/Tabella1124[[#This Row],[Temperatura]]) /(EXP(Tabella1225[Theta vib 1]/Tabella1124[[#This Row],[Temperatura]])-1) )- LN(1-EXP(-Tabella1225[Theta vib 1]/Tabella1124[[#This Row],[Temperatura]]))</f>
        <v>0.92119436630043272</v>
      </c>
      <c r="P81" s="1" cm="1">
        <f t="array" ref="P81">( (Tabella1225[Theta vib2]/Tabella1124[[#This Row],[Temperatura]]) /(EXP(Tabella1225[Theta vib2]/Tabella1124[[#This Row],[Temperatura]])-1)) - LN(1-EXP(-Tabella1225[Theta vib2]/Tabella1124[[#This Row],[Temperatura]]))</f>
        <v>0.92119349950652274</v>
      </c>
      <c r="Q81" s="1" cm="1">
        <f t="array" ref="Q81">(  (Tabella1225[Theta vib3]/Tabella1124[[#This Row],[Temperatura]]) /(EXP(Tabella1225[Theta vib3]/Tabella1124[[#This Row],[Temperatura]])-1))- LN(1-EXP(-Tabella1225[Theta vib3]/Tabella1124[[#This Row],[Temperatura]]))</f>
        <v>0.92104662591799968</v>
      </c>
      <c r="R81" s="1" cm="1">
        <f t="array" ref="R81" xml:space="preserve"> (  (Tabella1225[Theta vib4]/Tabella1124[[#This Row],[Temperatura]]) /(EXP(Tabella1225[Theta vib4]/Tabella1124[[#This Row],[Temperatura]])-1) )- LN(1-EXP(-Tabella1225[Theta vib4]/Tabella1124[[#This Row],[Temperatura]]))</f>
        <v>0.78968142517142215</v>
      </c>
      <c r="S81" s="1" cm="1">
        <f t="array" ref="S81">(    (Tabella1225[Theta vib5]/Tabella1124[[#This Row],[Temperatura]]) /(EXP(Tabella1225[Theta vib5]/Tabella1124[[#This Row],[Temperatura]])-1)) - LN(1-EXP(-Tabella1225[Theta vib5]/Tabella1124[[#This Row],[Temperatura]]))</f>
        <v>0.78968070524190503</v>
      </c>
      <c r="T81" s="1" cm="1">
        <f t="array" ref="T81">(    (Tabella1225[Theta vib6]/Tabella1124[[#This Row],[Temperatura]]) /(EXP(Tabella1225[Theta vib6]/Tabella1124[[#This Row],[Temperatura]])-1)) - LN(1-EXP(-Tabella1225[Theta vib6]/Tabella1124[[#This Row],[Temperatura]]))</f>
        <v>0.29244308017189213</v>
      </c>
      <c r="U81" s="1" cm="1">
        <f t="array" ref="U81">(    (Tabella1225[Theta vib7]/Tabella1124[[#This Row],[Temperatura]]) /(EXP(Tabella1225[Theta vib7]/Tabella1124[[#This Row],[Temperatura]])-1)) - LN(1-EXP(-Tabella1225[Theta vib7]/Tabella1124[[#This Row],[Temperatura]]))</f>
        <v>0.27123365209633282</v>
      </c>
      <c r="V81" s="1" cm="1">
        <f t="array" ref="V81">(    (Tabella1225[Theta vib8]/Tabella1124[[#This Row],[Temperatura]]) /(EXP(Tabella1225[Theta vib8]/Tabella1124[[#This Row],[Temperatura]])-1)) - LN(1-EXP(-Tabella1225[Theta vib8]/Tabella1124[[#This Row],[Temperatura]]))</f>
        <v>0.27123359774442801</v>
      </c>
      <c r="W81" s="1" cm="1">
        <f t="array" ref="W81">((Tabella1225[Theta vib9]/Tabella1124[[#This Row],[Temperatura]]) /(EXP(Tabella1225[Theta vib9]/Tabella1124[[#This Row],[Temperatura]])-1) )- LN(1-EXP(-Tabella1225[Theta vib9]/Tabella1124[[#This Row],[Temperatura]]))</f>
        <v>0.27119582575496604</v>
      </c>
      <c r="X81" s="1" cm="1">
        <f t="array" ref="X81">Tabella33[Rydberg R]*SUM(Tabella1124[[#This Row],[S vib 1]:[S vib 9]])</f>
        <v>45.304695088593057</v>
      </c>
    </row>
    <row r="82" spans="1:24" x14ac:dyDescent="0.3">
      <c r="A82" s="3">
        <v>2000</v>
      </c>
      <c r="B82" s="3" cm="1">
        <f t="array" ref="B82">POWER((2*Tabella33[Pi Greco]*Tabella33[Massa]*Tabella33[Boltzmann k]*Tabella122[[#This Row],[Temperatura]])/(POWER(Tabella33[Planck h],2)),1.5)</f>
        <v>1.0798455516028833E+33</v>
      </c>
      <c r="C82" s="1" cm="1">
        <f t="array" ref="C82">(Tabella122[[#This Row],[Temperatura]]*Tabella33[Rydberg R])/101325</f>
        <v>0.1641147199605231</v>
      </c>
      <c r="D82" s="1" cm="1">
        <f t="array" ref="D82">Tabella33[Rydberg R]*LN((Tabella122[[#This Row],[Volume]]/Tabella33[Avogadro N])*EXP(2.5)*Tabella122[[#This Row],[Translational Factor]])</f>
        <v>182.91846768899504</v>
      </c>
      <c r="F82" s="3">
        <v>2000</v>
      </c>
      <c r="G82" s="18" cm="1">
        <f t="array" ref="G82">Tabella33[Rydberg R]*LN((EXP(1)*Tabella1326[[#This Row],[Temperatura]])/(Tabella3[Theta rot]*Tabella619[Simmetry Number]))</f>
        <v>-397.38547409998762</v>
      </c>
      <c r="H82" s="18" cm="1">
        <f t="array" ref="H82">Tabella33[Rydberg R]*(1.5 + LN(SQRT((PI()*POWER(Tabella1326[[#This Row],[Temperatura]],3))/(Tabella619[Simmetry Number]*Tabella619[Simmetry Number]*PRODUCT(Tabella4[])))))</f>
        <v>77.667105313129852</v>
      </c>
      <c r="I82" s="30"/>
      <c r="N82" s="9">
        <v>1800</v>
      </c>
      <c r="O82" s="11" cm="1">
        <f t="array" ref="O82" xml:space="preserve">   ((Tabella1225[Theta vib 1]/Tabella1124[[#This Row],[Temperatura]]) /(EXP(Tabella1225[Theta vib 1]/Tabella1124[[#This Row],[Temperatura]])-1) )- LN(1-EXP(-Tabella1225[Theta vib 1]/Tabella1124[[#This Row],[Temperatura]]))</f>
        <v>0.97284336967124729</v>
      </c>
      <c r="P82" s="1" cm="1">
        <f t="array" ref="P82">( (Tabella1225[Theta vib2]/Tabella1124[[#This Row],[Temperatura]]) /(EXP(Tabella1225[Theta vib2]/Tabella1124[[#This Row],[Temperatura]])-1)) - LN(1-EXP(-Tabella1225[Theta vib2]/Tabella1124[[#This Row],[Temperatura]]))</f>
        <v>0.97284249287634883</v>
      </c>
      <c r="Q82" s="1" cm="1">
        <f t="array" ref="Q82">(  (Tabella1225[Theta vib3]/Tabella1124[[#This Row],[Temperatura]]) /(EXP(Tabella1225[Theta vib3]/Tabella1124[[#This Row],[Temperatura]])-1))- LN(1-EXP(-Tabella1225[Theta vib3]/Tabella1124[[#This Row],[Temperatura]]))</f>
        <v>0.97269392439903402</v>
      </c>
      <c r="R82" s="1" cm="1">
        <f t="array" ref="R82" xml:space="preserve"> (  (Tabella1225[Theta vib4]/Tabella1124[[#This Row],[Temperatura]]) /(EXP(Tabella1225[Theta vib4]/Tabella1124[[#This Row],[Temperatura]])-1) )- LN(1-EXP(-Tabella1225[Theta vib4]/Tabella1124[[#This Row],[Temperatura]]))</f>
        <v>0.83956866522673357</v>
      </c>
      <c r="S82" s="1" cm="1">
        <f t="array" ref="S82">(    (Tabella1225[Theta vib5]/Tabella1124[[#This Row],[Temperatura]]) /(EXP(Tabella1225[Theta vib5]/Tabella1124[[#This Row],[Temperatura]])-1)) - LN(1-EXP(-Tabella1225[Theta vib5]/Tabella1124[[#This Row],[Temperatura]]))</f>
        <v>0.83956793416216147</v>
      </c>
      <c r="T82" s="1" cm="1">
        <f t="array" ref="T82">(    (Tabella1225[Theta vib6]/Tabella1124[[#This Row],[Temperatura]]) /(EXP(Tabella1225[Theta vib6]/Tabella1124[[#This Row],[Temperatura]])-1)) - LN(1-EXP(-Tabella1225[Theta vib6]/Tabella1124[[#This Row],[Temperatura]]))</f>
        <v>0.32726418568998139</v>
      </c>
      <c r="U82" s="1" cm="1">
        <f t="array" ref="U82">(    (Tabella1225[Theta vib7]/Tabella1124[[#This Row],[Temperatura]]) /(EXP(Tabella1225[Theta vib7]/Tabella1124[[#This Row],[Temperatura]])-1)) - LN(1-EXP(-Tabella1225[Theta vib7]/Tabella1124[[#This Row],[Temperatura]]))</f>
        <v>0.30483494767612102</v>
      </c>
      <c r="V82" s="1" cm="1">
        <f t="array" ref="V82">(    (Tabella1225[Theta vib8]/Tabella1124[[#This Row],[Temperatura]]) /(EXP(Tabella1225[Theta vib8]/Tabella1124[[#This Row],[Temperatura]])-1)) - LN(1-EXP(-Tabella1225[Theta vib8]/Tabella1124[[#This Row],[Temperatura]]))</f>
        <v>0.30483489008979703</v>
      </c>
      <c r="W82" s="1" cm="1">
        <f t="array" ref="W82">((Tabella1225[Theta vib9]/Tabella1124[[#This Row],[Temperatura]]) /(EXP(Tabella1225[Theta vib9]/Tabella1124[[#This Row],[Temperatura]])-1) )- LN(1-EXP(-Tabella1225[Theta vib9]/Tabella1124[[#This Row],[Temperatura]]))</f>
        <v>0.3047948701937836</v>
      </c>
      <c r="X82" s="1" cm="1">
        <f t="array" ref="X82">Tabella33[Rydberg R]*SUM(Tabella1124[[#This Row],[S vib 1]:[S vib 9]])</f>
        <v>48.550182989116379</v>
      </c>
    </row>
    <row r="83" spans="1:24" x14ac:dyDescent="0.3">
      <c r="N83" s="9">
        <v>1900</v>
      </c>
      <c r="O83" s="11" cm="1">
        <f t="array" ref="O83" xml:space="preserve">   ((Tabella1225[Theta vib 1]/Tabella1124[[#This Row],[Temperatura]]) /(EXP(Tabella1225[Theta vib 1]/Tabella1124[[#This Row],[Temperatura]])-1) )- LN(1-EXP(-Tabella1225[Theta vib 1]/Tabella1124[[#This Row],[Temperatura]]))</f>
        <v>1.0222186660803205</v>
      </c>
      <c r="P83" s="1" cm="1">
        <f t="array" ref="P83">( (Tabella1225[Theta vib2]/Tabella1124[[#This Row],[Temperatura]]) /(EXP(Tabella1225[Theta vib2]/Tabella1124[[#This Row],[Temperatura]])-1)) - LN(1-EXP(-Tabella1225[Theta vib2]/Tabella1124[[#This Row],[Temperatura]]))</f>
        <v>1.022217780713544</v>
      </c>
      <c r="Q83" s="1" cm="1">
        <f t="array" ref="Q83">(  (Tabella1225[Theta vib3]/Tabella1124[[#This Row],[Temperatura]]) /(EXP(Tabella1225[Theta vib3]/Tabella1124[[#This Row],[Temperatura]])-1))- LN(1-EXP(-Tabella1225[Theta vib3]/Tabella1124[[#This Row],[Temperatura]]))</f>
        <v>1.0220677595389001</v>
      </c>
      <c r="R83" s="1" cm="1">
        <f t="array" ref="R83" xml:space="preserve"> (  (Tabella1225[Theta vib4]/Tabella1124[[#This Row],[Temperatura]]) /(EXP(Tabella1225[Theta vib4]/Tabella1124[[#This Row],[Temperatura]])-1) )- LN(1-EXP(-Tabella1225[Theta vib4]/Tabella1124[[#This Row],[Temperatura]]))</f>
        <v>0.88743073082888557</v>
      </c>
      <c r="S83" s="1" cm="1">
        <f t="array" ref="S83">(    (Tabella1225[Theta vib5]/Tabella1124[[#This Row],[Temperatura]]) /(EXP(Tabella1225[Theta vib5]/Tabella1124[[#This Row],[Temperatura]])-1)) - LN(1-EXP(-Tabella1225[Theta vib5]/Tabella1124[[#This Row],[Temperatura]]))</f>
        <v>0.88742999017953261</v>
      </c>
      <c r="T83" s="1" cm="1">
        <f t="array" ref="T83">(    (Tabella1225[Theta vib6]/Tabella1124[[#This Row],[Temperatura]]) /(EXP(Tabella1225[Theta vib6]/Tabella1124[[#This Row],[Temperatura]])-1)) - LN(1-EXP(-Tabella1225[Theta vib6]/Tabella1124[[#This Row],[Temperatura]]))</f>
        <v>0.36189189352094542</v>
      </c>
      <c r="U83" s="1" cm="1">
        <f t="array" ref="U83">(    (Tabella1225[Theta vib7]/Tabella1124[[#This Row],[Temperatura]]) /(EXP(Tabella1225[Theta vib7]/Tabella1124[[#This Row],[Temperatura]])-1)) - LN(1-EXP(-Tabella1225[Theta vib7]/Tabella1124[[#This Row],[Temperatura]]))</f>
        <v>0.33836497938401444</v>
      </c>
      <c r="V83" s="1" cm="1">
        <f t="array" ref="V83">(    (Tabella1225[Theta vib8]/Tabella1124[[#This Row],[Temperatura]]) /(EXP(Tabella1225[Theta vib8]/Tabella1124[[#This Row],[Temperatura]])-1)) - LN(1-EXP(-Tabella1225[Theta vib8]/Tabella1124[[#This Row],[Temperatura]]))</f>
        <v>0.33836491888121772</v>
      </c>
      <c r="W83" s="1" cm="1">
        <f t="array" ref="W83">((Tabella1225[Theta vib9]/Tabella1124[[#This Row],[Temperatura]]) /(EXP(Tabella1225[Theta vib9]/Tabella1124[[#This Row],[Temperatura]])-1) )- LN(1-EXP(-Tabella1225[Theta vib9]/Tabella1124[[#This Row],[Temperatura]]))</f>
        <v>0.33832287204212874</v>
      </c>
      <c r="X83" s="1" cm="1">
        <f t="array" ref="X83">Tabella33[Rydberg R]*SUM(Tabella1124[[#This Row],[S vib 1]:[S vib 9]])</f>
        <v>51.701898800014249</v>
      </c>
    </row>
    <row r="84" spans="1:24" x14ac:dyDescent="0.3">
      <c r="N84" s="9">
        <v>2000</v>
      </c>
      <c r="O84" s="11" cm="1">
        <f t="array" ref="O84" xml:space="preserve">   ((Tabella1225[Theta vib 1]/Tabella1124[[#This Row],[Temperatura]]) /(EXP(Tabella1225[Theta vib 1]/Tabella1124[[#This Row],[Temperatura]])-1) )- LN(1-EXP(-Tabella1225[Theta vib 1]/Tabella1124[[#This Row],[Temperatura]]))</f>
        <v>1.0694846081599678</v>
      </c>
      <c r="P84" s="1" cm="1">
        <f t="array" ref="P84">( (Tabella1225[Theta vib2]/Tabella1124[[#This Row],[Temperatura]]) /(EXP(Tabella1225[Theta vib2]/Tabella1124[[#This Row],[Temperatura]])-1)) - LN(1-EXP(-Tabella1225[Theta vib2]/Tabella1124[[#This Row],[Temperatura]]))</f>
        <v>1.069483715395174</v>
      </c>
      <c r="Q84" s="1" cm="1">
        <f t="array" ref="Q84">(  (Tabella1225[Theta vib3]/Tabella1124[[#This Row],[Temperatura]]) /(EXP(Tabella1225[Theta vib3]/Tabella1124[[#This Row],[Temperatura]])-1))- LN(1-EXP(-Tabella1225[Theta vib3]/Tabella1124[[#This Row],[Temperatura]]))</f>
        <v>1.0693324404580777</v>
      </c>
      <c r="R84" s="1" cm="1">
        <f t="array" ref="R84" xml:space="preserve"> (  (Tabella1225[Theta vib4]/Tabella1124[[#This Row],[Temperatura]]) /(EXP(Tabella1225[Theta vib4]/Tabella1124[[#This Row],[Temperatura]])-1) )- LN(1-EXP(-Tabella1225[Theta vib4]/Tabella1124[[#This Row],[Temperatura]]))</f>
        <v>0.93338829079623764</v>
      </c>
      <c r="S84" s="1" cm="1">
        <f t="array" ref="S84">(    (Tabella1225[Theta vib5]/Tabella1124[[#This Row],[Temperatura]]) /(EXP(Tabella1225[Theta vib5]/Tabella1124[[#This Row],[Temperatura]])-1)) - LN(1-EXP(-Tabella1225[Theta vib5]/Tabella1124[[#This Row],[Temperatura]]))</f>
        <v>0.93338754184441086</v>
      </c>
      <c r="T84" s="1" cm="1">
        <f t="array" ref="T84">(    (Tabella1225[Theta vib6]/Tabella1124[[#This Row],[Temperatura]]) /(EXP(Tabella1225[Theta vib6]/Tabella1124[[#This Row],[Temperatura]])-1)) - LN(1-EXP(-Tabella1225[Theta vib6]/Tabella1124[[#This Row],[Temperatura]]))</f>
        <v>0.39618280318420629</v>
      </c>
      <c r="U84" s="1" cm="1">
        <f t="array" ref="U84">(    (Tabella1225[Theta vib7]/Tabella1124[[#This Row],[Temperatura]]) /(EXP(Tabella1225[Theta vib7]/Tabella1124[[#This Row],[Temperatura]])-1)) - LN(1-EXP(-Tabella1225[Theta vib7]/Tabella1124[[#This Row],[Temperatura]]))</f>
        <v>0.37166799585180726</v>
      </c>
      <c r="V84" s="1" cm="1">
        <f t="array" ref="V84">(    (Tabella1225[Theta vib8]/Tabella1124[[#This Row],[Temperatura]]) /(EXP(Tabella1225[Theta vib8]/Tabella1124[[#This Row],[Temperatura]])-1)) - LN(1-EXP(-Tabella1225[Theta vib8]/Tabella1124[[#This Row],[Temperatura]]))</f>
        <v>0.3716679327196154</v>
      </c>
      <c r="W84" s="1" cm="1">
        <f t="array" ref="W84">((Tabella1225[Theta vib9]/Tabella1124[[#This Row],[Temperatura]]) /(EXP(Tabella1225[Theta vib9]/Tabella1124[[#This Row],[Temperatura]])-1) )- LN(1-EXP(-Tabella1225[Theta vib9]/Tabella1124[[#This Row],[Temperatura]]))</f>
        <v>0.37162405844987478</v>
      </c>
      <c r="X84" s="1" cm="1">
        <f t="array" ref="X84">Tabella33[Rydberg R]*SUM(Tabella1124[[#This Row],[S vib 1]:[S vib 9]])</f>
        <v>54.760870815705566</v>
      </c>
    </row>
    <row r="94" spans="1:24" x14ac:dyDescent="0.3">
      <c r="A94" t="s">
        <v>71</v>
      </c>
      <c r="B94" t="s">
        <v>72</v>
      </c>
      <c r="C94" t="s">
        <v>73</v>
      </c>
      <c r="D94" t="s">
        <v>74</v>
      </c>
    </row>
    <row r="95" spans="1:24" x14ac:dyDescent="0.3">
      <c r="A95" t="s">
        <v>76</v>
      </c>
      <c r="B95" s="1">
        <f>D65</f>
        <v>143.34559928506391</v>
      </c>
      <c r="C95" s="1">
        <f>(34.261*4.184)</f>
        <v>143.34802400000001</v>
      </c>
      <c r="D95" s="17">
        <f>ABS(Tabella2054[[#This Row],[My value]]-Tabella2054[[#This Row],[Gaussian]])/Tabella2054[[#This Row],[Gaussian]]</f>
        <v>1.6914882175825572E-5</v>
      </c>
    </row>
    <row r="96" spans="1:24" x14ac:dyDescent="0.3">
      <c r="A96" t="s">
        <v>77</v>
      </c>
      <c r="B96" s="1">
        <f>X67</f>
        <v>0.35534558394460913</v>
      </c>
      <c r="C96" s="1">
        <f>0.085*4.184</f>
        <v>0.35564000000000007</v>
      </c>
      <c r="D96" s="17">
        <f>ABS(Tabella2054[[#This Row],[My value]]-Tabella2054[[#This Row],[Gaussian]])/Tabella2054[[#This Row],[Gaussian]]</f>
        <v>8.2784854175833303E-4</v>
      </c>
    </row>
    <row r="97" spans="1:16" x14ac:dyDescent="0.3">
      <c r="A97" t="s">
        <v>78</v>
      </c>
      <c r="B97" s="1">
        <f>G65</f>
        <v>-413.21462146156006</v>
      </c>
      <c r="C97" s="1">
        <f>12.89*4.184</f>
        <v>53.931760000000004</v>
      </c>
      <c r="D97" s="17">
        <f>ABS(Tabella2054[[#This Row],[My value]]-Tabella2054[[#This Row],[Gaussian]])/Tabella2054[[#This Row],[Gaussian]]</f>
        <v>8.6618048708508688</v>
      </c>
    </row>
    <row r="98" spans="1:16" x14ac:dyDescent="0.3">
      <c r="A98" t="s">
        <v>97</v>
      </c>
      <c r="B98" s="1">
        <f>H65</f>
        <v>53.92338427077113</v>
      </c>
      <c r="C98">
        <f>12.89*4.184</f>
        <v>53.931760000000004</v>
      </c>
      <c r="D98" s="15">
        <f>ABS(Tabella2054[[#This Row],[My value]]-Tabella2054[[#This Row],[Gaussian]])/Tabella2054[[#This Row],[Gaussian]]</f>
        <v>1.5530235298966233E-4</v>
      </c>
    </row>
    <row r="99" spans="1:16" x14ac:dyDescent="0.3">
      <c r="A99" t="s">
        <v>79</v>
      </c>
      <c r="B99">
        <v>0</v>
      </c>
      <c r="C99">
        <v>0</v>
      </c>
      <c r="D99" s="1">
        <f>0</f>
        <v>0</v>
      </c>
    </row>
    <row r="102" spans="1:16" x14ac:dyDescent="0.3">
      <c r="A102" s="5" t="s">
        <v>4</v>
      </c>
      <c r="B102" s="5" t="s">
        <v>45</v>
      </c>
      <c r="C102" s="5" t="s">
        <v>46</v>
      </c>
      <c r="G102" t="s">
        <v>57</v>
      </c>
      <c r="H102" t="s">
        <v>36</v>
      </c>
      <c r="I102" t="s">
        <v>37</v>
      </c>
      <c r="J102" t="s">
        <v>38</v>
      </c>
      <c r="K102" t="s">
        <v>39</v>
      </c>
      <c r="L102" t="s">
        <v>40</v>
      </c>
      <c r="M102" t="s">
        <v>41</v>
      </c>
      <c r="N102" t="s">
        <v>42</v>
      </c>
      <c r="O102" t="s">
        <v>43</v>
      </c>
    </row>
    <row r="103" spans="1:16" x14ac:dyDescent="0.3">
      <c r="A103" s="3">
        <v>298</v>
      </c>
      <c r="B103" s="1" cm="1">
        <f t="array" ref="B103">(3/2)*Tabella33[Rydberg R]</f>
        <v>12.471693000000002</v>
      </c>
      <c r="C103" s="1" cm="1">
        <f t="array" ref="C103">(3/2)*Tabella33[Rydberg R]</f>
        <v>12.471693000000002</v>
      </c>
      <c r="G103" s="8">
        <f>L65</f>
        <v>1938.488741702331</v>
      </c>
      <c r="H103" s="8">
        <f>L66</f>
        <v>1938.4906121156534</v>
      </c>
      <c r="I103" s="8">
        <f>L67</f>
        <v>1938.8075752348095</v>
      </c>
      <c r="J103" s="8">
        <f>L68</f>
        <v>2249.8715546504354</v>
      </c>
      <c r="K103" s="8">
        <f>L69</f>
        <v>2249.8734250637576</v>
      </c>
      <c r="L103" s="8">
        <f>L70</f>
        <v>4370.3136727124402</v>
      </c>
      <c r="M103" s="8">
        <f>L71</f>
        <v>4532.5936101142997</v>
      </c>
      <c r="N103" s="8">
        <f>L72</f>
        <v>4532.5940417481434</v>
      </c>
      <c r="O103" s="8">
        <f>L73</f>
        <v>4532.8940272694517</v>
      </c>
    </row>
    <row r="104" spans="1:16" x14ac:dyDescent="0.3">
      <c r="A104" s="3">
        <v>400</v>
      </c>
      <c r="B104" s="1" cm="1">
        <f t="array" ref="B104">(3/2)*Tabella33[Rydberg R]</f>
        <v>12.471693000000002</v>
      </c>
      <c r="C104" s="1" cm="1">
        <f t="array" ref="C104">(3/2)*Tabella33[Rydberg R]</f>
        <v>12.471693000000002</v>
      </c>
      <c r="F104" s="5" t="s">
        <v>4</v>
      </c>
      <c r="G104" s="5" t="s">
        <v>47</v>
      </c>
      <c r="H104" s="5" t="s">
        <v>48</v>
      </c>
      <c r="I104" s="5" t="s">
        <v>49</v>
      </c>
      <c r="J104" s="5" t="s">
        <v>50</v>
      </c>
      <c r="K104" s="5" t="s">
        <v>51</v>
      </c>
      <c r="L104" s="5" t="s">
        <v>52</v>
      </c>
      <c r="M104" s="5" t="s">
        <v>53</v>
      </c>
      <c r="N104" s="5" t="s">
        <v>54</v>
      </c>
      <c r="O104" s="5" t="s">
        <v>55</v>
      </c>
      <c r="P104" s="5" t="s">
        <v>56</v>
      </c>
    </row>
    <row r="105" spans="1:16" x14ac:dyDescent="0.3">
      <c r="A105" s="3">
        <v>500</v>
      </c>
      <c r="B105" s="1" cm="1">
        <f t="array" ref="B105">(3/2)*Tabella33[Rydberg R]</f>
        <v>12.471693000000002</v>
      </c>
      <c r="C105" s="1" cm="1">
        <f t="array" ref="C105">(3/2)*Tabella33[Rydberg R]</f>
        <v>12.471693000000002</v>
      </c>
      <c r="F105" s="3">
        <v>298</v>
      </c>
      <c r="G105" s="12" cm="1">
        <f t="array" ref="G105">(    POWER(Tabella31[Theta vib1],2)*EXP(Tabella31[Theta vib1]/Tabella1629[[#This Row],[Temperatura]])    )   /       (   POWER(Tabella1629[[#This Row],[Temperatura]],2)*POWER(EXP(Tabella31[Theta vib1]/Tabella1629[[#This Row],[Temperatura]])-1,2)  )</f>
        <v>6.3490771295281384E-2</v>
      </c>
      <c r="H105" s="12" cm="1">
        <f t="array" ref="H105">(    POWER(Tabella31[Theta vib2],2)*EXP(Tabella31[Theta vib2]/Tabella1629[[#This Row],[Temperatura]])    )   /       (   POWER(Tabella1629[[#This Row],[Temperatura]],2)*POWER(EXP(Tabella31[Theta vib2]/Tabella1629[[#This Row],[Temperatura]])-1,2)  )</f>
        <v>6.3490494120694269E-2</v>
      </c>
      <c r="I105" s="12" cm="1">
        <f t="array" ref="I105">(    POWER(Tabella31[Theta vib2],2)*EXP(Tabella31[Theta vib3]/Tabella1629[[#This Row],[Temperatura]])    )   /       (   POWER(Tabella1629[[#This Row],[Temperatura]],2)*POWER(EXP(Tabella31[Theta vib3]/Tabella1629[[#This Row],[Temperatura]])-1,2)  )</f>
        <v>6.3422797310805024E-2</v>
      </c>
      <c r="J105" s="12" cm="1">
        <f t="array" ref="J105">(    POWER(Tabella31[Theta vib2],2)*EXP(Tabella31[Theta vib4]/Tabella1629[[#This Row],[Temperatura]])    )   /       (   POWER(Tabella1629[[#This Row],[Temperatura]],2)*POWER(EXP(Tabella31[Theta vib4]/Tabella1629[[#This Row],[Temperatura]])-1,2)  )</f>
        <v>2.2287950280988914E-2</v>
      </c>
      <c r="K105" s="12" cm="1">
        <f t="array" ref="K105">(    POWER(Tabella31[Theta vib2],2)*EXP(Tabella31[Theta vib5]/Tabella1629[[#This Row],[Temperatura]])    )   /       (   POWER(Tabella1629[[#This Row],[Temperatura]],2)*POWER(EXP(Tabella31[Theta vib5]/Tabella1629[[#This Row],[Temperatura]])-1,2)  )</f>
        <v>2.2287810242600362E-2</v>
      </c>
      <c r="L105" s="12" cm="1">
        <f t="array" ref="L105">(    POWER(Tabella31[Theta vib6],2)*EXP(Tabella31[Theta vib2]/Tabella1629[[#This Row],[Temperatura]])    )   /       (   POWER(Tabella1629[[#This Row],[Temperatura]],2)*POWER(EXP(Tabella31[Theta vib6]/Tabella1629[[#This Row],[Temperatura]])-1,2)  )</f>
        <v>2.6266586464522037E-8</v>
      </c>
      <c r="M105" s="12" cm="1">
        <f t="array" ref="M105">(    POWER(Tabella31[Theta vib2],2)*EXP(Tabella31[Theta vib7]/Tabella1629[[#This Row],[Temperatura]])    )   /       (   POWER(Tabella1629[[#This Row],[Temperatura]],2)*POWER(EXP(Tabella31[Theta vib7]/Tabella1629[[#This Row],[Temperatura]])-1,2)  )</f>
        <v>1.0491949384607598E-5</v>
      </c>
      <c r="N105" s="12" cm="1">
        <f t="array" ref="N105">(    POWER(Tabella31[Theta vib2],2)*EXP(Tabella31[Theta vib8]/Tabella1629[[#This Row],[Temperatura]])    )   /       (   POWER(Tabella1629[[#This Row],[Temperatura]],2)*POWER(EXP(Tabella31[Theta vib8]/Tabella1629[[#This Row],[Temperatura]])-1,2)  )</f>
        <v>1.0491934187696845E-5</v>
      </c>
      <c r="O105" s="12" cm="1">
        <f t="array" ref="O105">(    POWER(Tabella31[Theta vib2],2)*EXP(Tabella31[Theta vib9]/Tabella1629[[#This Row],[Temperatura]])    )   /       (   POWER(Tabella1629[[#This Row],[Temperatura]],2)*POWER(EXP(Tabella31[Theta vib9]/Tabella1629[[#This Row],[Temperatura]])-1,2)  )</f>
        <v>1.0481377656699623E-5</v>
      </c>
      <c r="P105" s="1" cm="1">
        <f t="array" ref="P105">SUM(Tabella1629[[#This Row],[Cv vib1]:[Cv vib9]])*Tabella33[Rydberg R]</f>
        <v>1.9539926462932609</v>
      </c>
    </row>
    <row r="106" spans="1:16" x14ac:dyDescent="0.3">
      <c r="A106" s="3">
        <v>600</v>
      </c>
      <c r="B106" s="1" cm="1">
        <f t="array" ref="B106">(3/2)*Tabella33[Rydberg R]</f>
        <v>12.471693000000002</v>
      </c>
      <c r="C106" s="1" cm="1">
        <f t="array" ref="C106">(3/2)*Tabella33[Rydberg R]</f>
        <v>12.471693000000002</v>
      </c>
      <c r="F106" s="3">
        <v>400</v>
      </c>
      <c r="G106" s="12" cm="1">
        <f t="array" ref="G106">(    POWER(Tabella31[Theta vib1],2)*EXP(Tabella31[Theta vib1]/Tabella1629[[#This Row],[Temperatura]])    )   /       (   POWER(Tabella1629[[#This Row],[Temperatura]],2)*POWER(EXP(Tabella31[Theta vib1]/Tabella1629[[#This Row],[Temperatura]])-1,2)  )</f>
        <v>0.18748715256979578</v>
      </c>
      <c r="H106" s="1" cm="1">
        <f t="array" ref="H106">(    POWER(Tabella31[Theta vib2],2)*EXP(Tabella31[Theta vib2]/Tabella1629[[#This Row],[Temperatura]])    )   /       (   POWER(Tabella1629[[#This Row],[Temperatura]],2)*POWER(EXP(Tabella31[Theta vib2]/Tabella1629[[#This Row],[Temperatura]])-1,2)  )</f>
        <v>0.18748662379296871</v>
      </c>
      <c r="I106" s="1" cm="1">
        <f t="array" ref="I106">(    POWER(Tabella31[Theta vib2],2)*EXP(Tabella31[Theta vib3]/Tabella1629[[#This Row],[Temperatura]])    )   /       (   POWER(Tabella1629[[#This Row],[Temperatura]],2)*POWER(EXP(Tabella31[Theta vib3]/Tabella1629[[#This Row],[Temperatura]])-1,2)  )</f>
        <v>0.18733576624896231</v>
      </c>
      <c r="J106" s="12" cm="1">
        <f t="array" ref="J106">(    POWER(Tabella31[Theta vib2],2)*EXP(Tabella31[Theta vib4]/Tabella1629[[#This Row],[Temperatura]])    )   /       (   POWER(Tabella1629[[#This Row],[Temperatura]],2)*POWER(EXP(Tabella31[Theta vib4]/Tabella1629[[#This Row],[Temperatura]])-1,2)  )</f>
        <v>8.5345320157075868E-2</v>
      </c>
      <c r="K106" s="12" cm="1">
        <f t="array" ref="K106">(    POWER(Tabella31[Theta vib2],2)*EXP(Tabella31[Theta vib5]/Tabella1629[[#This Row],[Temperatura]])    )   /       (   POWER(Tabella1629[[#This Row],[Temperatura]],2)*POWER(EXP(Tabella31[Theta vib5]/Tabella1629[[#This Row],[Temperatura]])-1,2)  )</f>
        <v>8.534491819052227E-2</v>
      </c>
      <c r="L106" s="12" cm="1">
        <f t="array" ref="L106">(    POWER(Tabella31[Theta vib6],2)*EXP(Tabella31[Theta vib2]/Tabella1629[[#This Row],[Temperatura]])    )   /       (   POWER(Tabella1629[[#This Row],[Temperatura]],2)*POWER(EXP(Tabella31[Theta vib6]/Tabella1629[[#This Row],[Temperatura]])-1,2)  )</f>
        <v>4.9158060391215391E-6</v>
      </c>
      <c r="M106" s="12" cm="1">
        <f t="array" ref="M106">(    POWER(Tabella31[Theta vib2],2)*EXP(Tabella31[Theta vib7]/Tabella1629[[#This Row],[Temperatura]])    )   /       (   POWER(Tabella1629[[#This Row],[Temperatura]],2)*POWER(EXP(Tabella31[Theta vib7]/Tabella1629[[#This Row],[Temperatura]])-1,2)  )</f>
        <v>2.8158975605343774E-4</v>
      </c>
      <c r="N106" s="12" cm="1">
        <f t="array" ref="N106">(    POWER(Tabella31[Theta vib2],2)*EXP(Tabella31[Theta vib8]/Tabella1629[[#This Row],[Temperatura]])    )   /       (   POWER(Tabella1629[[#This Row],[Temperatura]],2)*POWER(EXP(Tabella31[Theta vib8]/Tabella1629[[#This Row],[Temperatura]])-1,2)  )</f>
        <v>2.815894521871438E-4</v>
      </c>
      <c r="O106" s="12" cm="1">
        <f t="array" ref="O106">(    POWER(Tabella31[Theta vib2],2)*EXP(Tabella31[Theta vib9]/Tabella1629[[#This Row],[Temperatura]])    )   /       (   POWER(Tabella1629[[#This Row],[Temperatura]],2)*POWER(EXP(Tabella31[Theta vib9]/Tabella1629[[#This Row],[Temperatura]])-1,2)  )</f>
        <v>2.8137834440194846E-4</v>
      </c>
      <c r="P106" s="1" cm="1">
        <f t="array" ref="P106">SUM(Tabella1629[[#This Row],[Cv vib1]:[Cv vib9]])*Tabella33[Rydberg R]</f>
        <v>6.101561738755402</v>
      </c>
    </row>
    <row r="107" spans="1:16" x14ac:dyDescent="0.3">
      <c r="A107" s="3">
        <v>700</v>
      </c>
      <c r="B107" s="1" cm="1">
        <f t="array" ref="B107">(3/2)*Tabella33[Rydberg R]</f>
        <v>12.471693000000002</v>
      </c>
      <c r="C107" s="1" cm="1">
        <f t="array" ref="C107">(3/2)*Tabella33[Rydberg R]</f>
        <v>12.471693000000002</v>
      </c>
      <c r="F107" s="3">
        <v>500</v>
      </c>
      <c r="G107" s="12" cm="1">
        <f t="array" ref="G107">(    POWER(Tabella31[Theta vib1],2)*EXP(Tabella31[Theta vib1]/Tabella1629[[#This Row],[Temperatura]])    )   /       (   POWER(Tabella1629[[#This Row],[Temperatura]],2)*POWER(EXP(Tabella31[Theta vib1]/Tabella1629[[#This Row],[Temperatura]])-1,2)  )</f>
        <v>0.32465115353235752</v>
      </c>
      <c r="H107" s="1" cm="1">
        <f t="array" ref="H107">(    POWER(Tabella31[Theta vib2],2)*EXP(Tabella31[Theta vib2]/Tabella1629[[#This Row],[Temperatura]])    )   /       (   POWER(Tabella1629[[#This Row],[Temperatura]],2)*POWER(EXP(Tabella31[Theta vib2]/Tabella1629[[#This Row],[Temperatura]])-1,2)  )</f>
        <v>0.32465051419400348</v>
      </c>
      <c r="I107" s="1" cm="1">
        <f t="array" ref="I107">(    POWER(Tabella31[Theta vib2],2)*EXP(Tabella31[Theta vib3]/Tabella1629[[#This Row],[Temperatura]])    )   /       (   POWER(Tabella1629[[#This Row],[Temperatura]],2)*POWER(EXP(Tabella31[Theta vib3]/Tabella1629[[#This Row],[Temperatura]])-1,2)  )</f>
        <v>0.32443607728794727</v>
      </c>
      <c r="J107" s="12" cm="1">
        <f t="array" ref="J107">(    POWER(Tabella31[Theta vib2],2)*EXP(Tabella31[Theta vib4]/Tabella1629[[#This Row],[Temperatura]])    )   /       (   POWER(Tabella1629[[#This Row],[Temperatura]],2)*POWER(EXP(Tabella31[Theta vib4]/Tabella1629[[#This Row],[Temperatura]])-1,2)  )</f>
        <v>0.17079668940897971</v>
      </c>
      <c r="K107" s="12" cm="1">
        <f t="array" ref="K107">(    POWER(Tabella31[Theta vib2],2)*EXP(Tabella31[Theta vib5]/Tabella1629[[#This Row],[Temperatura]])    )   /       (   POWER(Tabella1629[[#This Row],[Temperatura]],2)*POWER(EXP(Tabella31[Theta vib5]/Tabella1629[[#This Row],[Temperatura]])-1,2)  )</f>
        <v>0.17079603613071237</v>
      </c>
      <c r="L107" s="12" cm="1">
        <f t="array" ref="L107">(    POWER(Tabella31[Theta vib6],2)*EXP(Tabella31[Theta vib2]/Tabella1629[[#This Row],[Temperatura]])    )   /       (   POWER(Tabella1629[[#This Row],[Temperatura]],2)*POWER(EXP(Tabella31[Theta vib6]/Tabella1629[[#This Row],[Temperatura]])-1,2)  )</f>
        <v>9.4398100907400884E-5</v>
      </c>
      <c r="M107" s="12" cm="1">
        <f t="array" ref="M107">(    POWER(Tabella31[Theta vib2],2)*EXP(Tabella31[Theta vib7]/Tabella1629[[#This Row],[Temperatura]])    )   /       (   POWER(Tabella1629[[#This Row],[Temperatura]],2)*POWER(EXP(Tabella31[Theta vib7]/Tabella1629[[#This Row],[Temperatura]])-1,2)  )</f>
        <v>1.7383092528879733E-3</v>
      </c>
      <c r="N107" s="12" cm="1">
        <f t="array" ref="N107">(    POWER(Tabella31[Theta vib2],2)*EXP(Tabella31[Theta vib8]/Tabella1629[[#This Row],[Temperatura]])    )   /       (   POWER(Tabella1629[[#This Row],[Temperatura]],2)*POWER(EXP(Tabella31[Theta vib8]/Tabella1629[[#This Row],[Temperatura]])-1,2)  )</f>
        <v>1.7383077519153639E-3</v>
      </c>
      <c r="O107" s="12" cm="1">
        <f t="array" ref="O107">(    POWER(Tabella31[Theta vib2],2)*EXP(Tabella31[Theta vib9]/Tabella1629[[#This Row],[Temperatura]])    )   /       (   POWER(Tabella1629[[#This Row],[Temperatura]],2)*POWER(EXP(Tabella31[Theta vib9]/Tabella1629[[#This Row],[Temperatura]])-1,2)  )</f>
        <v>1.7372648894214053E-3</v>
      </c>
      <c r="P107" s="1" cm="1">
        <f t="array" ref="P107">SUM(Tabella1629[[#This Row],[Cv vib1]:[Cv vib9]])*Tabella33[Rydberg R]</f>
        <v>10.980400707168242</v>
      </c>
    </row>
    <row r="108" spans="1:16" x14ac:dyDescent="0.3">
      <c r="A108" s="3">
        <v>800</v>
      </c>
      <c r="B108" s="1" cm="1">
        <f t="array" ref="B108">(3/2)*Tabella33[Rydberg R]</f>
        <v>12.471693000000002</v>
      </c>
      <c r="C108" s="1" cm="1">
        <f t="array" ref="C108">(3/2)*Tabella33[Rydberg R]</f>
        <v>12.471693000000002</v>
      </c>
      <c r="F108" s="3">
        <v>600</v>
      </c>
      <c r="G108" s="12" cm="1">
        <f t="array" ref="G108">(    POWER(Tabella31[Theta vib1],2)*EXP(Tabella31[Theta vib1]/Tabella1629[[#This Row],[Temperatura]])    )   /       (   POWER(Tabella1629[[#This Row],[Temperatura]],2)*POWER(EXP(Tabella31[Theta vib1]/Tabella1629[[#This Row],[Temperatura]])-1,2)  )</f>
        <v>0.44722621981431732</v>
      </c>
      <c r="H108" s="1" cm="1">
        <f t="array" ref="H108">(    POWER(Tabella31[Theta vib2],2)*EXP(Tabella31[Theta vib2]/Tabella1629[[#This Row],[Temperatura]])    )   /       (   POWER(Tabella1629[[#This Row],[Temperatura]],2)*POWER(EXP(Tabella31[Theta vib2]/Tabella1629[[#This Row],[Temperatura]])-1,2)  )</f>
        <v>0.44722557394795592</v>
      </c>
      <c r="I108" s="1" cm="1">
        <f t="array" ref="I108">(    POWER(Tabella31[Theta vib2],2)*EXP(Tabella31[Theta vib3]/Tabella1629[[#This Row],[Temperatura]])    )   /       (   POWER(Tabella1629[[#This Row],[Temperatura]],2)*POWER(EXP(Tabella31[Theta vib3]/Tabella1629[[#This Row],[Temperatura]])-1,2)  )</f>
        <v>0.44696995096208547</v>
      </c>
      <c r="J108" s="12" cm="1">
        <f t="array" ref="J108">(    POWER(Tabella31[Theta vib2],2)*EXP(Tabella31[Theta vib4]/Tabella1629[[#This Row],[Temperatura]])    )   /       (   POWER(Tabella1629[[#This Row],[Temperatura]],2)*POWER(EXP(Tabella31[Theta vib4]/Tabella1629[[#This Row],[Temperatura]])-1,2)  )</f>
        <v>0.2575071763146754</v>
      </c>
      <c r="K108" s="12" cm="1">
        <f t="array" ref="K108">(    POWER(Tabella31[Theta vib2],2)*EXP(Tabella31[Theta vib5]/Tabella1629[[#This Row],[Temperatura]])    )   /       (   POWER(Tabella1629[[#This Row],[Temperatura]],2)*POWER(EXP(Tabella31[Theta vib5]/Tabella1629[[#This Row],[Temperatura]])-1,2)  )</f>
        <v>0.25750633489952118</v>
      </c>
      <c r="L108" s="12" cm="1">
        <f t="array" ref="L108">(    POWER(Tabella31[Theta vib6],2)*EXP(Tabella31[Theta vib2]/Tabella1629[[#This Row],[Temperatura]])    )   /       (   POWER(Tabella1629[[#This Row],[Temperatura]],2)*POWER(EXP(Tabella31[Theta vib6]/Tabella1629[[#This Row],[Temperatura]])-1,2)  )</f>
        <v>6.3353190280395529E-4</v>
      </c>
      <c r="M108" s="12" cm="1">
        <f t="array" ref="M108">(    POWER(Tabella31[Theta vib2],2)*EXP(Tabella31[Theta vib7]/Tabella1629[[#This Row],[Temperatura]])    )   /       (   POWER(Tabella1629[[#This Row],[Temperatura]],2)*POWER(EXP(Tabella31[Theta vib7]/Tabella1629[[#This Row],[Temperatura]])-1,2)  )</f>
        <v>5.4736795562000734E-3</v>
      </c>
      <c r="N108" s="12" cm="1">
        <f t="array" ref="N108">(    POWER(Tabella31[Theta vib2],2)*EXP(Tabella31[Theta vib8]/Tabella1629[[#This Row],[Temperatura]])    )   /       (   POWER(Tabella1629[[#This Row],[Temperatura]],2)*POWER(EXP(Tabella31[Theta vib8]/Tabella1629[[#This Row],[Temperatura]])-1,2)  )</f>
        <v>5.4736756143649607E-3</v>
      </c>
      <c r="O108" s="12" cm="1">
        <f t="array" ref="O108">(    POWER(Tabella31[Theta vib2],2)*EXP(Tabella31[Theta vib9]/Tabella1629[[#This Row],[Temperatura]])    )   /       (   POWER(Tabella1629[[#This Row],[Temperatura]],2)*POWER(EXP(Tabella31[Theta vib9]/Tabella1629[[#This Row],[Temperatura]])-1,2)  )</f>
        <v>5.4709367261279365E-3</v>
      </c>
      <c r="P108" s="1" cm="1">
        <f t="array" ref="P108">SUM(Tabella1629[[#This Row],[Cv vib1]:[Cv vib9]])*Tabella33[Rydberg R]</f>
        <v>15.577037131973006</v>
      </c>
    </row>
    <row r="109" spans="1:16" x14ac:dyDescent="0.3">
      <c r="A109" s="3">
        <v>900</v>
      </c>
      <c r="B109" s="1" cm="1">
        <f t="array" ref="B109">(3/2)*Tabella33[Rydberg R]</f>
        <v>12.471693000000002</v>
      </c>
      <c r="C109" s="1" cm="1">
        <f t="array" ref="C109">(3/2)*Tabella33[Rydberg R]</f>
        <v>12.471693000000002</v>
      </c>
      <c r="F109" s="3">
        <v>700</v>
      </c>
      <c r="G109" s="12" cm="1">
        <f t="array" ref="G109">(    POWER(Tabella31[Theta vib1],2)*EXP(Tabella31[Theta vib1]/Tabella1629[[#This Row],[Temperatura]])    )   /       (   POWER(Tabella1629[[#This Row],[Temperatura]],2)*POWER(EXP(Tabella31[Theta vib1]/Tabella1629[[#This Row],[Temperatura]])-1,2)  )</f>
        <v>0.54739641571474951</v>
      </c>
      <c r="H109" s="1" cm="1">
        <f t="array" ref="H109">(    POWER(Tabella31[Theta vib2],2)*EXP(Tabella31[Theta vib2]/Tabella1629[[#This Row],[Temperatura]])    )   /       (   POWER(Tabella1629[[#This Row],[Temperatura]],2)*POWER(EXP(Tabella31[Theta vib2]/Tabella1629[[#This Row],[Temperatura]])-1,2)  )</f>
        <v>0.54739581369511825</v>
      </c>
      <c r="I109" s="1" cm="1">
        <f t="array" ref="I109">(    POWER(Tabella31[Theta vib2],2)*EXP(Tabella31[Theta vib3]/Tabella1629[[#This Row],[Temperatura]])    )   /       (   POWER(Tabella1629[[#This Row],[Temperatura]],2)*POWER(EXP(Tabella31[Theta vib3]/Tabella1629[[#This Row],[Temperatura]])-1,2)  )</f>
        <v>0.54711486499937489</v>
      </c>
      <c r="J109" s="12" cm="1">
        <f t="array" ref="J109">(    POWER(Tabella31[Theta vib2],2)*EXP(Tabella31[Theta vib4]/Tabella1629[[#This Row],[Temperatura]])    )   /       (   POWER(Tabella1629[[#This Row],[Temperatura]],2)*POWER(EXP(Tabella31[Theta vib4]/Tabella1629[[#This Row],[Temperatura]])-1,2)  )</f>
        <v>0.33457631383506775</v>
      </c>
      <c r="K109" s="12" cm="1">
        <f t="array" ref="K109">(    POWER(Tabella31[Theta vib2],2)*EXP(Tabella31[Theta vib5]/Tabella1629[[#This Row],[Temperatura]])    )   /       (   POWER(Tabella1629[[#This Row],[Temperatura]],2)*POWER(EXP(Tabella31[Theta vib5]/Tabella1629[[#This Row],[Temperatura]])-1,2)  )</f>
        <v>0.33457534497136476</v>
      </c>
      <c r="L109" s="12" cm="1">
        <f t="array" ref="L109">(    POWER(Tabella31[Theta vib6],2)*EXP(Tabella31[Theta vib2]/Tabella1629[[#This Row],[Temperatura]])    )   /       (   POWER(Tabella1629[[#This Row],[Temperatura]],2)*POWER(EXP(Tabella31[Theta vib6]/Tabella1629[[#This Row],[Temperatura]])-1,2)  )</f>
        <v>2.3568528039036593E-3</v>
      </c>
      <c r="M109" s="12" cm="1">
        <f t="array" ref="M109">(    POWER(Tabella31[Theta vib2],2)*EXP(Tabella31[Theta vib7]/Tabella1629[[#This Row],[Temperatura]])    )   /       (   POWER(Tabella1629[[#This Row],[Temperatura]],2)*POWER(EXP(Tabella31[Theta vib7]/Tabella1629[[#This Row],[Temperatura]])-1,2)  )</f>
        <v>1.1856493264075774E-2</v>
      </c>
      <c r="N109" s="12" cm="1">
        <f t="array" ref="N109">(    POWER(Tabella31[Theta vib2],2)*EXP(Tabella31[Theta vib8]/Tabella1629[[#This Row],[Temperatura]])    )   /       (   POWER(Tabella1629[[#This Row],[Temperatura]],2)*POWER(EXP(Tabella31[Theta vib8]/Tabella1629[[#This Row],[Temperatura]])-1,2)  )</f>
        <v>1.1856485930558412E-2</v>
      </c>
      <c r="O109" s="12" cm="1">
        <f t="array" ref="O109">(    POWER(Tabella31[Theta vib2],2)*EXP(Tabella31[Theta vib9]/Tabella1629[[#This Row],[Temperatura]])    )   /       (   POWER(Tabella1629[[#This Row],[Temperatura]],2)*POWER(EXP(Tabella31[Theta vib9]/Tabella1629[[#This Row],[Temperatura]])-1,2)  )</f>
        <v>1.1851390236266999E-2</v>
      </c>
      <c r="P109" s="1" cm="1">
        <f t="array" ref="P109">SUM(Tabella1629[[#This Row],[Cv vib1]:[Cv vib9]])*Tabella33[Rydberg R]</f>
        <v>19.530504744643949</v>
      </c>
    </row>
    <row r="110" spans="1:16" x14ac:dyDescent="0.3">
      <c r="A110" s="3">
        <v>1000</v>
      </c>
      <c r="B110" s="1" cm="1">
        <f t="array" ref="B110">(3/2)*Tabella33[Rydberg R]</f>
        <v>12.471693000000002</v>
      </c>
      <c r="C110" s="1" cm="1">
        <f t="array" ref="C110">(3/2)*Tabella33[Rydberg R]</f>
        <v>12.471693000000002</v>
      </c>
      <c r="F110" s="3">
        <v>800</v>
      </c>
      <c r="G110" s="12" cm="1">
        <f t="array" ref="G110">(    POWER(Tabella31[Theta vib1],2)*EXP(Tabella31[Theta vib1]/Tabella1629[[#This Row],[Temperatura]])    )   /       (   POWER(Tabella1629[[#This Row],[Temperatura]],2)*POWER(EXP(Tabella31[Theta vib1]/Tabella1629[[#This Row],[Temperatura]])-1,2)  )</f>
        <v>0.62665444596447972</v>
      </c>
      <c r="H110" s="1" cm="1">
        <f t="array" ref="H110">(    POWER(Tabella31[Theta vib2],2)*EXP(Tabella31[Theta vib2]/Tabella1629[[#This Row],[Temperatura]])    )   /       (   POWER(Tabella1629[[#This Row],[Temperatura]],2)*POWER(EXP(Tabella31[Theta vib2]/Tabella1629[[#This Row],[Temperatura]])-1,2)  )</f>
        <v>0.62665390511189223</v>
      </c>
      <c r="I110" s="1" cm="1">
        <f t="array" ref="I110">(    POWER(Tabella31[Theta vib2],2)*EXP(Tabella31[Theta vib3]/Tabella1629[[#This Row],[Temperatura]])    )   /       (   POWER(Tabella1629[[#This Row],[Temperatura]],2)*POWER(EXP(Tabella31[Theta vib3]/Tabella1629[[#This Row],[Temperatura]])-1,2)  )</f>
        <v>0.62635740337163115</v>
      </c>
      <c r="J110" s="12" cm="1">
        <f t="array" ref="J110">(    POWER(Tabella31[Theta vib2],2)*EXP(Tabella31[Theta vib4]/Tabella1629[[#This Row],[Temperatura]])    )   /       (   POWER(Tabella1629[[#This Row],[Temperatura]],2)*POWER(EXP(Tabella31[Theta vib4]/Tabella1629[[#This Row],[Temperatura]])-1,2)  )</f>
        <v>0.39917896594075342</v>
      </c>
      <c r="K110" s="12" cm="1">
        <f t="array" ref="K110">(    POWER(Tabella31[Theta vib2],2)*EXP(Tabella31[Theta vib5]/Tabella1629[[#This Row],[Temperatura]])    )   /       (   POWER(Tabella1629[[#This Row],[Temperatura]],2)*POWER(EXP(Tabella31[Theta vib5]/Tabella1629[[#This Row],[Temperatura]])-1,2)  )</f>
        <v>0.3991779133763258</v>
      </c>
      <c r="L110" s="12" cm="1">
        <f t="array" ref="L110">(    POWER(Tabella31[Theta vib6],2)*EXP(Tabella31[Theta vib2]/Tabella1629[[#This Row],[Temperatura]])    )   /       (   POWER(Tabella1629[[#This Row],[Temperatura]],2)*POWER(EXP(Tabella31[Theta vib6]/Tabella1629[[#This Row],[Temperatura]])-1,2)  )</f>
        <v>6.1076471576960462E-3</v>
      </c>
      <c r="M110" s="12" cm="1">
        <f t="array" ref="M110">(    POWER(Tabella31[Theta vib2],2)*EXP(Tabella31[Theta vib7]/Tabella1629[[#This Row],[Temperatura]])    )   /       (   POWER(Tabella1629[[#This Row],[Temperatura]],2)*POWER(EXP(Tabella31[Theta vib7]/Tabella1629[[#This Row],[Temperatura]])-1,2)  )</f>
        <v>2.0471973650539755E-2</v>
      </c>
      <c r="N110" s="12" cm="1">
        <f t="array" ref="N110">(    POWER(Tabella31[Theta vib2],2)*EXP(Tabella31[Theta vib8]/Tabella1629[[#This Row],[Temperatura]])    )   /       (   POWER(Tabella1629[[#This Row],[Temperatura]],2)*POWER(EXP(Tabella31[Theta vib8]/Tabella1629[[#This Row],[Temperatura]])-1,2)  )</f>
        <v>2.0471962528289412E-2</v>
      </c>
      <c r="O110" s="12" cm="1">
        <f t="array" ref="O110">(    POWER(Tabella31[Theta vib2],2)*EXP(Tabella31[Theta vib9]/Tabella1629[[#This Row],[Temperatura]])    )   /       (   POWER(Tabella1629[[#This Row],[Temperatura]],2)*POWER(EXP(Tabella31[Theta vib9]/Tabella1629[[#This Row],[Temperatura]])-1,2)  )</f>
        <v>2.0464234035627887E-2</v>
      </c>
      <c r="P110" s="1" cm="1">
        <f t="array" ref="P110">SUM(Tabella1629[[#This Row],[Cv vib1]:[Cv vib9]])*Tabella33[Rydberg R]</f>
        <v>22.827675121519402</v>
      </c>
    </row>
    <row r="111" spans="1:16" x14ac:dyDescent="0.3">
      <c r="A111" s="3">
        <v>1100</v>
      </c>
      <c r="B111" s="1" cm="1">
        <f t="array" ref="B111">(3/2)*Tabella33[Rydberg R]</f>
        <v>12.471693000000002</v>
      </c>
      <c r="C111" s="1" cm="1">
        <f t="array" ref="C111">(3/2)*Tabella33[Rydberg R]</f>
        <v>12.471693000000002</v>
      </c>
      <c r="F111" s="3">
        <v>900</v>
      </c>
      <c r="G111" s="12" cm="1">
        <f t="array" ref="G111">(    POWER(Tabella31[Theta vib1],2)*EXP(Tabella31[Theta vib1]/Tabella1629[[#This Row],[Temperatura]])    )   /       (   POWER(Tabella1629[[#This Row],[Temperatura]],2)*POWER(EXP(Tabella31[Theta vib1]/Tabella1629[[#This Row],[Temperatura]])-1,2)  )</f>
        <v>0.68889542807371074</v>
      </c>
      <c r="H111" s="1" cm="1">
        <f t="array" ref="H111">(    POWER(Tabella31[Theta vib2],2)*EXP(Tabella31[Theta vib2]/Tabella1629[[#This Row],[Temperatura]])    )   /       (   POWER(Tabella1629[[#This Row],[Temperatura]],2)*POWER(EXP(Tabella31[Theta vib2]/Tabella1629[[#This Row],[Temperatura]])-1,2)  )</f>
        <v>0.68889494993174016</v>
      </c>
      <c r="I111" s="1" cm="1">
        <f t="array" ref="I111">(    POWER(Tabella31[Theta vib2],2)*EXP(Tabella31[Theta vib3]/Tabella1629[[#This Row],[Temperatura]])    )   /       (   POWER(Tabella1629[[#This Row],[Temperatura]],2)*POWER(EXP(Tabella31[Theta vib3]/Tabella1629[[#This Row],[Temperatura]])-1,2)  )</f>
        <v>0.68858872122555659</v>
      </c>
      <c r="J111" s="12" cm="1">
        <f t="array" ref="J111">(    POWER(Tabella31[Theta vib2],2)*EXP(Tabella31[Theta vib4]/Tabella1629[[#This Row],[Temperatura]])    )   /       (   POWER(Tabella1629[[#This Row],[Temperatura]],2)*POWER(EXP(Tabella31[Theta vib4]/Tabella1629[[#This Row],[Temperatura]])-1,2)  )</f>
        <v>0.45203734243234239</v>
      </c>
      <c r="K111" s="12" cm="1">
        <f t="array" ref="K111">(    POWER(Tabella31[Theta vib2],2)*EXP(Tabella31[Theta vib5]/Tabella1629[[#This Row],[Temperatura]])    )   /       (   POWER(Tabella1629[[#This Row],[Temperatura]],2)*POWER(EXP(Tabella31[Theta vib5]/Tabella1629[[#This Row],[Temperatura]])-1,2)  )</f>
        <v>0.45203623494712486</v>
      </c>
      <c r="L111" s="12" cm="1">
        <f t="array" ref="L111">(    POWER(Tabella31[Theta vib6],2)*EXP(Tabella31[Theta vib2]/Tabella1629[[#This Row],[Temperatura]])    )   /       (   POWER(Tabella1629[[#This Row],[Temperatura]],2)*POWER(EXP(Tabella31[Theta vib6]/Tabella1629[[#This Row],[Temperatura]])-1,2)  )</f>
        <v>1.2501412599168047E-2</v>
      </c>
      <c r="M111" s="12" cm="1">
        <f t="array" ref="M111">(    POWER(Tabella31[Theta vib2],2)*EXP(Tabella31[Theta vib7]/Tabella1629[[#This Row],[Temperatura]])    )   /       (   POWER(Tabella1629[[#This Row],[Temperatura]],2)*POWER(EXP(Tabella31[Theta vib7]/Tabella1629[[#This Row],[Temperatura]])-1,2)  )</f>
        <v>3.054250940861946E-2</v>
      </c>
      <c r="N111" s="12" cm="1">
        <f t="array" ref="N111">(    POWER(Tabella31[Theta vib2],2)*EXP(Tabella31[Theta vib8]/Tabella1629[[#This Row],[Temperatura]])    )   /       (   POWER(Tabella1629[[#This Row],[Temperatura]],2)*POWER(EXP(Tabella31[Theta vib8]/Tabella1629[[#This Row],[Temperatura]])-1,2)  )</f>
        <v>3.0542494569025483E-2</v>
      </c>
      <c r="O111" s="12" cm="1">
        <f t="array" ref="O111">(    POWER(Tabella31[Theta vib2],2)*EXP(Tabella31[Theta vib9]/Tabella1629[[#This Row],[Temperatura]])    )   /       (   POWER(Tabella1629[[#This Row],[Temperatura]],2)*POWER(EXP(Tabella31[Theta vib9]/Tabella1629[[#This Row],[Temperatura]])-1,2)  )</f>
        <v>3.0532182817210804E-2</v>
      </c>
      <c r="P111" s="1" cm="1">
        <f t="array" ref="P111">SUM(Tabella1629[[#This Row],[Cv vib1]:[Cv vib9]])*Tabella33[Rydberg R]</f>
        <v>25.563406040630916</v>
      </c>
    </row>
    <row r="112" spans="1:16" x14ac:dyDescent="0.3">
      <c r="A112" s="3">
        <v>1200</v>
      </c>
      <c r="B112" s="1" cm="1">
        <f t="array" ref="B112">(3/2)*Tabella33[Rydberg R]</f>
        <v>12.471693000000002</v>
      </c>
      <c r="C112" s="1" cm="1">
        <f t="array" ref="C112">(3/2)*Tabella33[Rydberg R]</f>
        <v>12.471693000000002</v>
      </c>
      <c r="F112" s="3">
        <v>1000</v>
      </c>
      <c r="G112" s="12" cm="1">
        <f t="array" ref="G112">(    POWER(Tabella31[Theta vib1],2)*EXP(Tabella31[Theta vib1]/Tabella1629[[#This Row],[Temperatura]])    )   /       (   POWER(Tabella1629[[#This Row],[Temperatura]],2)*POWER(EXP(Tabella31[Theta vib1]/Tabella1629[[#This Row],[Temperatura]])-1,2)  )</f>
        <v>0.73794536082659368</v>
      </c>
      <c r="H112" s="1" cm="1">
        <f t="array" ref="H112">(    POWER(Tabella31[Theta vib2],2)*EXP(Tabella31[Theta vib2]/Tabella1629[[#This Row],[Temperatura]])    )   /       (   POWER(Tabella1629[[#This Row],[Temperatura]],2)*POWER(EXP(Tabella31[Theta vib2]/Tabella1629[[#This Row],[Temperatura]])-1,2)  )</f>
        <v>0.73794494053343596</v>
      </c>
      <c r="I112" s="1" cm="1">
        <f t="array" ref="I112">(    POWER(Tabella31[Theta vib2],2)*EXP(Tabella31[Theta vib3]/Tabella1629[[#This Row],[Temperatura]])    )   /       (   POWER(Tabella1629[[#This Row],[Temperatura]],2)*POWER(EXP(Tabella31[Theta vib3]/Tabella1629[[#This Row],[Temperatura]])-1,2)  )</f>
        <v>0.73763247457751968</v>
      </c>
      <c r="J112" s="12" cm="1">
        <f t="array" ref="J112">(    POWER(Tabella31[Theta vib2],2)*EXP(Tabella31[Theta vib4]/Tabella1629[[#This Row],[Temperatura]])    )   /       (   POWER(Tabella1629[[#This Row],[Temperatura]],2)*POWER(EXP(Tabella31[Theta vib4]/Tabella1629[[#This Row],[Temperatura]])-1,2)  )</f>
        <v>0.49496581792785449</v>
      </c>
      <c r="K112" s="12" cm="1">
        <f t="array" ref="K112">(    POWER(Tabella31[Theta vib2],2)*EXP(Tabella31[Theta vib5]/Tabella1629[[#This Row],[Temperatura]])    )   /       (   POWER(Tabella1629[[#This Row],[Temperatura]],2)*POWER(EXP(Tabella31[Theta vib5]/Tabella1629[[#This Row],[Temperatura]])-1,2)  )</f>
        <v>0.4949646739595715</v>
      </c>
      <c r="L112" s="12" cm="1">
        <f t="array" ref="L112">(    POWER(Tabella31[Theta vib6],2)*EXP(Tabella31[Theta vib2]/Tabella1629[[#This Row],[Temperatura]])    )   /       (   POWER(Tabella1629[[#This Row],[Temperatura]],2)*POWER(EXP(Tabella31[Theta vib6]/Tabella1629[[#This Row],[Temperatura]])-1,2)  )</f>
        <v>2.17745961661144E-2</v>
      </c>
      <c r="M112" s="12" cm="1">
        <f t="array" ref="M112">(    POWER(Tabella31[Theta vib2],2)*EXP(Tabella31[Theta vib7]/Tabella1629[[#This Row],[Temperatura]])    )   /       (   POWER(Tabella1629[[#This Row],[Temperatura]],2)*POWER(EXP(Tabella31[Theta vib7]/Tabella1629[[#This Row],[Temperatura]])-1,2)  )</f>
        <v>4.1289279891535788E-2</v>
      </c>
      <c r="N112" s="12" cm="1">
        <f t="array" ref="N112">(    POWER(Tabella31[Theta vib2],2)*EXP(Tabella31[Theta vib8]/Tabella1629[[#This Row],[Temperatura]])    )   /       (   POWER(Tabella1629[[#This Row],[Temperatura]],2)*POWER(EXP(Tabella31[Theta vib8]/Tabella1629[[#This Row],[Temperatura]])-1,2)  )</f>
        <v>4.1289261682255482E-2</v>
      </c>
      <c r="O112" s="12" cm="1">
        <f t="array" ref="O112">(    POWER(Tabella31[Theta vib2],2)*EXP(Tabella31[Theta vib9]/Tabella1629[[#This Row],[Temperatura]])    )   /       (   POWER(Tabella1629[[#This Row],[Temperatura]],2)*POWER(EXP(Tabella31[Theta vib9]/Tabella1629[[#This Row],[Temperatura]])-1,2)  )</f>
        <v>4.1276608215387457E-2</v>
      </c>
      <c r="P112" s="1" cm="1">
        <f t="array" ref="P112">SUM(Tabella1629[[#This Row],[Cv vib1]:[Cv vib9]])*Tabella33[Rydberg R]</f>
        <v>27.845823452921515</v>
      </c>
    </row>
    <row r="113" spans="1:16" x14ac:dyDescent="0.3">
      <c r="A113" s="3">
        <v>1300</v>
      </c>
      <c r="B113" s="1" cm="1">
        <f t="array" ref="B113">(3/2)*Tabella33[Rydberg R]</f>
        <v>12.471693000000002</v>
      </c>
      <c r="C113" s="1" cm="1">
        <f t="array" ref="C113">(3/2)*Tabella33[Rydberg R]</f>
        <v>12.471693000000002</v>
      </c>
      <c r="F113" s="3">
        <v>1100</v>
      </c>
      <c r="G113" s="12" cm="1">
        <f t="array" ref="G113">(    POWER(Tabella31[Theta vib1],2)*EXP(Tabella31[Theta vib1]/Tabella1629[[#This Row],[Temperatura]])    )   /       (   POWER(Tabella1629[[#This Row],[Temperatura]],2)*POWER(EXP(Tabella31[Theta vib1]/Tabella1629[[#This Row],[Temperatura]])-1,2)  )</f>
        <v>0.7769246740035658</v>
      </c>
      <c r="H113" s="1" cm="1">
        <f t="array" ref="H113">(    POWER(Tabella31[Theta vib2],2)*EXP(Tabella31[Theta vib2]/Tabella1629[[#This Row],[Temperatura]])    )   /       (   POWER(Tabella1629[[#This Row],[Temperatura]],2)*POWER(EXP(Tabella31[Theta vib2]/Tabella1629[[#This Row],[Temperatura]])-1,2)  )</f>
        <v>0.77692430469839824</v>
      </c>
      <c r="I113" s="1" cm="1">
        <f t="array" ref="I113">(    POWER(Tabella31[Theta vib2],2)*EXP(Tabella31[Theta vib3]/Tabella1629[[#This Row],[Temperatura]])    )   /       (   POWER(Tabella1629[[#This Row],[Temperatura]],2)*POWER(EXP(Tabella31[Theta vib3]/Tabella1629[[#This Row],[Temperatura]])-1,2)  )</f>
        <v>0.77660773211180434</v>
      </c>
      <c r="J113" s="12" cm="1">
        <f t="array" ref="J113">(    POWER(Tabella31[Theta vib2],2)*EXP(Tabella31[Theta vib4]/Tabella1629[[#This Row],[Temperatura]])    )   /       (   POWER(Tabella1629[[#This Row],[Temperatura]],2)*POWER(EXP(Tabella31[Theta vib4]/Tabella1629[[#This Row],[Temperatura]])-1,2)  )</f>
        <v>0.52986159541681233</v>
      </c>
      <c r="K113" s="12" cm="1">
        <f t="array" ref="K113">(    POWER(Tabella31[Theta vib2],2)*EXP(Tabella31[Theta vib5]/Tabella1629[[#This Row],[Temperatura]])    )   /       (   POWER(Tabella1629[[#This Row],[Temperatura]],2)*POWER(EXP(Tabella31[Theta vib5]/Tabella1629[[#This Row],[Temperatura]])-1,2)  )</f>
        <v>0.5298604267793845</v>
      </c>
      <c r="L113" s="12" cm="1">
        <f t="array" ref="L113">(    POWER(Tabella31[Theta vib6],2)*EXP(Tabella31[Theta vib2]/Tabella1629[[#This Row],[Temperatura]])    )   /       (   POWER(Tabella1629[[#This Row],[Temperatura]],2)*POWER(EXP(Tabella31[Theta vib6]/Tabella1629[[#This Row],[Temperatura]])-1,2)  )</f>
        <v>3.3819437891306536E-2</v>
      </c>
      <c r="M113" s="12" cm="1">
        <f t="array" ref="M113">(    POWER(Tabella31[Theta vib2],2)*EXP(Tabella31[Theta vib7]/Tabella1629[[#This Row],[Temperatura]])    )   /       (   POWER(Tabella1629[[#This Row],[Temperatura]],2)*POWER(EXP(Tabella31[Theta vib7]/Tabella1629[[#This Row],[Temperatura]])-1,2)  )</f>
        <v>5.2099353160449516E-2</v>
      </c>
      <c r="N113" s="12" cm="1">
        <f t="array" ref="N113">(    POWER(Tabella31[Theta vib2],2)*EXP(Tabella31[Theta vib8]/Tabella1629[[#This Row],[Temperatura]])    )   /       (   POWER(Tabella1629[[#This Row],[Temperatura]],2)*POWER(EXP(Tabella31[Theta vib8]/Tabella1629[[#This Row],[Temperatura]])-1,2)  )</f>
        <v>5.2099332042172715E-2</v>
      </c>
      <c r="O113" s="12" cm="1">
        <f t="array" ref="O113">(    POWER(Tabella31[Theta vib2],2)*EXP(Tabella31[Theta vib9]/Tabella1629[[#This Row],[Temperatura]])    )   /       (   POWER(Tabella1629[[#This Row],[Temperatura]],2)*POWER(EXP(Tabella31[Theta vib9]/Tabella1629[[#This Row],[Temperatura]])-1,2)  )</f>
        <v>5.2084656975046176E-2</v>
      </c>
      <c r="P113" s="1" cm="1">
        <f t="array" ref="P113">SUM(Tabella1629[[#This Row],[Cv vib1]:[Cv vib9]])*Tabella33[Rydberg R]</f>
        <v>29.768114589797353</v>
      </c>
    </row>
    <row r="114" spans="1:16" x14ac:dyDescent="0.3">
      <c r="A114" s="3">
        <v>1400</v>
      </c>
      <c r="B114" s="1" cm="1">
        <f t="array" ref="B114">(3/2)*Tabella33[Rydberg R]</f>
        <v>12.471693000000002</v>
      </c>
      <c r="C114" s="1" cm="1">
        <f t="array" ref="C114">(3/2)*Tabella33[Rydberg R]</f>
        <v>12.471693000000002</v>
      </c>
      <c r="F114" s="3">
        <v>1200</v>
      </c>
      <c r="G114" s="12" cm="1">
        <f t="array" ref="G114">(    POWER(Tabella31[Theta vib1],2)*EXP(Tabella31[Theta vib1]/Tabella1629[[#This Row],[Temperatura]])    )   /       (   POWER(Tabella1629[[#This Row],[Temperatura]],2)*POWER(EXP(Tabella31[Theta vib1]/Tabella1629[[#This Row],[Temperatura]])-1,2)  )</f>
        <v>0.80822116502773989</v>
      </c>
      <c r="H114" s="1" cm="1">
        <f t="array" ref="H114">(    POWER(Tabella31[Theta vib2],2)*EXP(Tabella31[Theta vib2]/Tabella1629[[#This Row],[Temperatura]])    )   /       (   POWER(Tabella1629[[#This Row],[Temperatura]],2)*POWER(EXP(Tabella31[Theta vib2]/Tabella1629[[#This Row],[Temperatura]])-1,2)  )</f>
        <v>0.80822083974859305</v>
      </c>
      <c r="I114" s="1" cm="1">
        <f t="array" ref="I114">(    POWER(Tabella31[Theta vib2],2)*EXP(Tabella31[Theta vib3]/Tabella1629[[#This Row],[Temperatura]])    )   /       (   POWER(Tabella1629[[#This Row],[Temperatura]],2)*POWER(EXP(Tabella31[Theta vib3]/Tabella1629[[#This Row],[Temperatura]])-1,2)  )</f>
        <v>0.80790149318781623</v>
      </c>
      <c r="J114" s="12" cm="1">
        <f t="array" ref="J114">(    POWER(Tabella31[Theta vib2],2)*EXP(Tabella31[Theta vib4]/Tabella1629[[#This Row],[Temperatura]])    )   /       (   POWER(Tabella1629[[#This Row],[Temperatura]],2)*POWER(EXP(Tabella31[Theta vib4]/Tabella1629[[#This Row],[Temperatura]])-1,2)  )</f>
        <v>0.55837164487118995</v>
      </c>
      <c r="K114" s="12" cm="1">
        <f t="array" ref="K114">(    POWER(Tabella31[Theta vib2],2)*EXP(Tabella31[Theta vib5]/Tabella1629[[#This Row],[Temperatura]])    )   /       (   POWER(Tabella1629[[#This Row],[Temperatura]],2)*POWER(EXP(Tabella31[Theta vib5]/Tabella1629[[#This Row],[Temperatura]])-1,2)  )</f>
        <v>0.55837045922432649</v>
      </c>
      <c r="L114" s="12" cm="1">
        <f t="array" ref="L114">(    POWER(Tabella31[Theta vib6],2)*EXP(Tabella31[Theta vib2]/Tabella1629[[#This Row],[Temperatura]])    )   /       (   POWER(Tabella1629[[#This Row],[Temperatura]],2)*POWER(EXP(Tabella31[Theta vib6]/Tabella1629[[#This Row],[Temperatura]])-1,2)  )</f>
        <v>4.8300251965159725E-2</v>
      </c>
      <c r="M114" s="12" cm="1">
        <f t="array" ref="M114">(    POWER(Tabella31[Theta vib2],2)*EXP(Tabella31[Theta vib7]/Tabella1629[[#This Row],[Temperatura]])    )   /       (   POWER(Tabella1629[[#This Row],[Temperatura]],2)*POWER(EXP(Tabella31[Theta vib7]/Tabella1629[[#This Row],[Temperatura]])-1,2)  )</f>
        <v>6.2556941518623982E-2</v>
      </c>
      <c r="N114" s="12" cm="1">
        <f t="array" ref="N114">(    POWER(Tabella31[Theta vib2],2)*EXP(Tabella31[Theta vib8]/Tabella1629[[#This Row],[Temperatura]])    )   /       (   POWER(Tabella1629[[#This Row],[Temperatura]],2)*POWER(EXP(Tabella31[Theta vib8]/Tabella1629[[#This Row],[Temperatura]])-1,2)  )</f>
        <v>6.2556917963085976E-2</v>
      </c>
      <c r="O114" s="12" cm="1">
        <f t="array" ref="O114">(    POWER(Tabella31[Theta vib2],2)*EXP(Tabella31[Theta vib9]/Tabella1629[[#This Row],[Temperatura]])    )   /       (   POWER(Tabella1629[[#This Row],[Temperatura]],2)*POWER(EXP(Tabella31[Theta vib9]/Tabella1629[[#This Row],[Temperatura]])-1,2)  )</f>
        <v>6.2540549103033485E-2</v>
      </c>
      <c r="P114" s="1" cm="1">
        <f t="array" ref="P114">SUM(Tabella1629[[#This Row],[Cv vib1]:[Cv vib9]])*Tabella33[Rydberg R]</f>
        <v>31.404057735937279</v>
      </c>
    </row>
    <row r="115" spans="1:16" x14ac:dyDescent="0.3">
      <c r="A115" s="3">
        <v>1500</v>
      </c>
      <c r="B115" s="1" cm="1">
        <f t="array" ref="B115">(3/2)*Tabella33[Rydberg R]</f>
        <v>12.471693000000002</v>
      </c>
      <c r="C115" s="1" cm="1">
        <f t="array" ref="C115">(3/2)*Tabella33[Rydberg R]</f>
        <v>12.471693000000002</v>
      </c>
      <c r="F115" s="3">
        <v>1300</v>
      </c>
      <c r="G115" s="12" cm="1">
        <f t="array" ref="G115">(    POWER(Tabella31[Theta vib1],2)*EXP(Tabella31[Theta vib1]/Tabella1629[[#This Row],[Temperatura]])    )   /       (   POWER(Tabella1629[[#This Row],[Temperatura]],2)*POWER(EXP(Tabella31[Theta vib1]/Tabella1629[[#This Row],[Temperatura]])-1,2)  )</f>
        <v>0.83362149048731393</v>
      </c>
      <c r="H115" s="1" cm="1">
        <f t="array" ref="H115">(    POWER(Tabella31[Theta vib2],2)*EXP(Tabella31[Theta vib2]/Tabella1629[[#This Row],[Temperatura]])    )   /       (   POWER(Tabella1629[[#This Row],[Temperatura]],2)*POWER(EXP(Tabella31[Theta vib2]/Tabella1629[[#This Row],[Temperatura]])-1,2)  )</f>
        <v>0.83362120290030139</v>
      </c>
      <c r="I115" s="1" cm="1">
        <f t="array" ref="I115">(    POWER(Tabella31[Theta vib2],2)*EXP(Tabella31[Theta vib3]/Tabella1629[[#This Row],[Temperatura]])    )   /       (   POWER(Tabella1629[[#This Row],[Temperatura]],2)*POWER(EXP(Tabella31[Theta vib3]/Tabella1629[[#This Row],[Temperatura]])-1,2)  )</f>
        <v>0.83329993719526418</v>
      </c>
      <c r="J115" s="12" cm="1">
        <f t="array" ref="J115">(    POWER(Tabella31[Theta vib2],2)*EXP(Tabella31[Theta vib4]/Tabella1629[[#This Row],[Temperatura]])    )   /       (   POWER(Tabella1629[[#This Row],[Temperatura]],2)*POWER(EXP(Tabella31[Theta vib4]/Tabella1629[[#This Row],[Temperatura]])-1,2)  )</f>
        <v>0.58182877627741647</v>
      </c>
      <c r="K115" s="12" cm="1">
        <f t="array" ref="K115">(    POWER(Tabella31[Theta vib2],2)*EXP(Tabella31[Theta vib5]/Tabella1629[[#This Row],[Temperatura]])    )   /       (   POWER(Tabella1629[[#This Row],[Temperatura]],2)*POWER(EXP(Tabella31[Theta vib5]/Tabella1629[[#This Row],[Temperatura]])-1,2)  )</f>
        <v>0.58182757867135004</v>
      </c>
      <c r="L115" s="12" cm="1">
        <f t="array" ref="L115">(    POWER(Tabella31[Theta vib6],2)*EXP(Tabella31[Theta vib2]/Tabella1629[[#This Row],[Temperatura]])    )   /       (   POWER(Tabella1629[[#This Row],[Temperatura]],2)*POWER(EXP(Tabella31[Theta vib6]/Tabella1629[[#This Row],[Temperatura]])-1,2)  )</f>
        <v>6.4771210473305613E-2</v>
      </c>
      <c r="M115" s="12" cm="1">
        <f t="array" ref="M115">(    POWER(Tabella31[Theta vib2],2)*EXP(Tabella31[Theta vib7]/Tabella1629[[#This Row],[Temperatura]])    )   /       (   POWER(Tabella1629[[#This Row],[Temperatura]],2)*POWER(EXP(Tabella31[Theta vib7]/Tabella1629[[#This Row],[Temperatura]])-1,2)  )</f>
        <v>7.2414069063961375E-2</v>
      </c>
      <c r="N115" s="12" cm="1">
        <f t="array" ref="N115">(    POWER(Tabella31[Theta vib2],2)*EXP(Tabella31[Theta vib8]/Tabella1629[[#This Row],[Temperatura]])    )   /       (   POWER(Tabella1629[[#This Row],[Temperatura]],2)*POWER(EXP(Tabella31[Theta vib8]/Tabella1629[[#This Row],[Temperatura]])-1,2)  )</f>
        <v>7.2414043502482109E-2</v>
      </c>
      <c r="O115" s="12" cm="1">
        <f t="array" ref="O115">(    POWER(Tabella31[Theta vib2],2)*EXP(Tabella31[Theta vib9]/Tabella1629[[#This Row],[Temperatura]])    )   /       (   POWER(Tabella1629[[#This Row],[Temperatura]],2)*POWER(EXP(Tabella31[Theta vib9]/Tabella1629[[#This Row],[Temperatura]])-1,2)  )</f>
        <v>7.2396280582222E-2</v>
      </c>
      <c r="P115" s="1" cm="1">
        <f t="array" ref="P115">SUM(Tabella1629[[#This Row],[Cv vib1]:[Cv vib9]])*Tabella33[Rydberg R]</f>
        <v>32.810484956123368</v>
      </c>
    </row>
    <row r="116" spans="1:16" x14ac:dyDescent="0.3">
      <c r="A116" s="3">
        <v>1600</v>
      </c>
      <c r="B116" s="1" cm="1">
        <f t="array" ref="B116">(3/2)*Tabella33[Rydberg R]</f>
        <v>12.471693000000002</v>
      </c>
      <c r="C116" s="1" cm="1">
        <f t="array" ref="C116">(3/2)*Tabella33[Rydberg R]</f>
        <v>12.471693000000002</v>
      </c>
      <c r="F116" s="3">
        <v>1400</v>
      </c>
      <c r="G116" s="12" cm="1">
        <f t="array" ref="G116">(    POWER(Tabella31[Theta vib1],2)*EXP(Tabella31[Theta vib1]/Tabella1629[[#This Row],[Temperatura]])    )   /       (   POWER(Tabella1629[[#This Row],[Temperatura]],2)*POWER(EXP(Tabella31[Theta vib1]/Tabella1629[[#This Row],[Temperatura]])-1,2)  )</f>
        <v>0.85445604757494575</v>
      </c>
      <c r="H116" s="1" cm="1">
        <f t="array" ref="H116">(    POWER(Tabella31[Theta vib2],2)*EXP(Tabella31[Theta vib2]/Tabella1629[[#This Row],[Temperatura]])    )   /       (   POWER(Tabella1629[[#This Row],[Temperatura]],2)*POWER(EXP(Tabella31[Theta vib2]/Tabella1629[[#This Row],[Temperatura]])-1,2)  )</f>
        <v>0.85445579218510681</v>
      </c>
      <c r="I116" s="1" cm="1">
        <f t="array" ref="I116">(    POWER(Tabella31[Theta vib2],2)*EXP(Tabella31[Theta vib3]/Tabella1629[[#This Row],[Temperatura]])    )   /       (   POWER(Tabella1629[[#This Row],[Temperatura]],2)*POWER(EXP(Tabella31[Theta vib3]/Tabella1629[[#This Row],[Temperatura]])-1,2)  )</f>
        <v>0.85413316926605876</v>
      </c>
      <c r="J116" s="12" cm="1">
        <f t="array" ref="J116">(    POWER(Tabella31[Theta vib2],2)*EXP(Tabella31[Theta vib4]/Tabella1629[[#This Row],[Temperatura]])    )   /       (   POWER(Tabella1629[[#This Row],[Temperatura]],2)*POWER(EXP(Tabella31[Theta vib4]/Tabella1629[[#This Row],[Temperatura]])-1,2)  )</f>
        <v>0.60128032202254278</v>
      </c>
      <c r="K116" s="12" cm="1">
        <f t="array" ref="K116">(    POWER(Tabella31[Theta vib2],2)*EXP(Tabella31[Theta vib5]/Tabella1629[[#This Row],[Temperatura]])    )   /       (   POWER(Tabella1629[[#This Row],[Temperatura]],2)*POWER(EXP(Tabella31[Theta vib5]/Tabella1629[[#This Row],[Temperatura]])-1,2)  )</f>
        <v>0.60127911584924498</v>
      </c>
      <c r="L116" s="12" cm="1">
        <f t="array" ref="L116">(    POWER(Tabella31[Theta vib6],2)*EXP(Tabella31[Theta vib2]/Tabella1629[[#This Row],[Temperatura]])    )   /       (   POWER(Tabella1629[[#This Row],[Temperatura]],2)*POWER(EXP(Tabella31[Theta vib6]/Tabella1629[[#This Row],[Temperatura]])-1,2)  )</f>
        <v>8.2763097783802017E-2</v>
      </c>
      <c r="M116" s="12" cm="1">
        <f t="array" ref="M116">(    POWER(Tabella31[Theta vib2],2)*EXP(Tabella31[Theta vib7]/Tabella1629[[#This Row],[Temperatura]])    )   /       (   POWER(Tabella1629[[#This Row],[Temperatura]],2)*POWER(EXP(Tabella31[Theta vib7]/Tabella1629[[#This Row],[Temperatura]])-1,2)  )</f>
        <v>8.1545787759425878E-2</v>
      </c>
      <c r="N116" s="12" cm="1">
        <f t="array" ref="N116">(    POWER(Tabella31[Theta vib2],2)*EXP(Tabella31[Theta vib8]/Tabella1629[[#This Row],[Temperatura]])    )   /       (   POWER(Tabella1629[[#This Row],[Temperatura]],2)*POWER(EXP(Tabella31[Theta vib8]/Tabella1629[[#This Row],[Temperatura]])-1,2)  )</f>
        <v>8.1545760563325145E-2</v>
      </c>
      <c r="O116" s="12" cm="1">
        <f t="array" ref="O116">(    POWER(Tabella31[Theta vib2],2)*EXP(Tabella31[Theta vib9]/Tabella1629[[#This Row],[Temperatura]])    )   /       (   POWER(Tabella1629[[#This Row],[Temperatura]],2)*POWER(EXP(Tabella31[Theta vib9]/Tabella1629[[#This Row],[Temperatura]])-1,2)  )</f>
        <v>8.1526861626272137E-2</v>
      </c>
      <c r="P116" s="1" cm="1">
        <f t="array" ref="P116">SUM(Tabella1629[[#This Row],[Cv vib1]:[Cv vib9]])*Tabella33[Rydberg R]</f>
        <v>34.03097618631088</v>
      </c>
    </row>
    <row r="117" spans="1:16" x14ac:dyDescent="0.3">
      <c r="A117" s="3">
        <v>1700</v>
      </c>
      <c r="B117" s="1" cm="1">
        <f t="array" ref="B117">(3/2)*Tabella33[Rydberg R]</f>
        <v>12.471693000000002</v>
      </c>
      <c r="C117" s="1" cm="1">
        <f t="array" ref="C117">(3/2)*Tabella33[Rydberg R]</f>
        <v>12.471693000000002</v>
      </c>
      <c r="F117" s="3">
        <v>1500</v>
      </c>
      <c r="G117" s="12" cm="1">
        <f t="array" ref="G117">(    POWER(Tabella31[Theta vib1],2)*EXP(Tabella31[Theta vib1]/Tabella1629[[#This Row],[Temperatura]])    )   /       (   POWER(Tabella1629[[#This Row],[Temperatura]],2)*POWER(EXP(Tabella31[Theta vib1]/Tabella1629[[#This Row],[Temperatura]])-1,2)  )</f>
        <v>0.87171886045656821</v>
      </c>
      <c r="H117" s="1" cm="1">
        <f t="array" ref="H117">(    POWER(Tabella31[Theta vib2],2)*EXP(Tabella31[Theta vib2]/Tabella1629[[#This Row],[Temperatura]])    )   /       (   POWER(Tabella1629[[#This Row],[Temperatura]],2)*POWER(EXP(Tabella31[Theta vib2]/Tabella1629[[#This Row],[Temperatura]])-1,2)  )</f>
        <v>0.87171863260185578</v>
      </c>
      <c r="I117" s="1" cm="1">
        <f t="array" ref="I117">(    POWER(Tabella31[Theta vib2],2)*EXP(Tabella31[Theta vib3]/Tabella1629[[#This Row],[Temperatura]])    )   /       (   POWER(Tabella1629[[#This Row],[Temperatura]],2)*POWER(EXP(Tabella31[Theta vib3]/Tabella1629[[#This Row],[Temperatura]])-1,2)  )</f>
        <v>0.8713950304779009</v>
      </c>
      <c r="J117" s="12" cm="1">
        <f t="array" ref="J117">(    POWER(Tabella31[Theta vib2],2)*EXP(Tabella31[Theta vib4]/Tabella1629[[#This Row],[Temperatura]])    )   /       (   POWER(Tabella1629[[#This Row],[Temperatura]],2)*POWER(EXP(Tabella31[Theta vib4]/Tabella1629[[#This Row],[Temperatura]])-1,2)  )</f>
        <v>0.61754014156841996</v>
      </c>
      <c r="K117" s="12" cm="1">
        <f t="array" ref="K117">(    POWER(Tabella31[Theta vib2],2)*EXP(Tabella31[Theta vib5]/Tabella1629[[#This Row],[Temperatura]])    )   /       (   POWER(Tabella1629[[#This Row],[Temperatura]],2)*POWER(EXP(Tabella31[Theta vib5]/Tabella1629[[#This Row],[Temperatura]])-1,2)  )</f>
        <v>0.61753892914910136</v>
      </c>
      <c r="L117" s="12" cm="1">
        <f t="array" ref="L117">(    POWER(Tabella31[Theta vib6],2)*EXP(Tabella31[Theta vib2]/Tabella1629[[#This Row],[Temperatura]])    )   /       (   POWER(Tabella1629[[#This Row],[Temperatura]],2)*POWER(EXP(Tabella31[Theta vib6]/Tabella1629[[#This Row],[Temperatura]])-1,2)  )</f>
        <v>0.10183570988684192</v>
      </c>
      <c r="M117" s="12" cm="1">
        <f t="array" ref="M117">(    POWER(Tabella31[Theta vib2],2)*EXP(Tabella31[Theta vib7]/Tabella1629[[#This Row],[Temperatura]])    )   /       (   POWER(Tabella1629[[#This Row],[Temperatura]],2)*POWER(EXP(Tabella31[Theta vib7]/Tabella1629[[#This Row],[Temperatura]])-1,2)  )</f>
        <v>8.990939399799136E-2</v>
      </c>
      <c r="N117" s="12" cm="1">
        <f t="array" ref="N117">(    POWER(Tabella31[Theta vib2],2)*EXP(Tabella31[Theta vib8]/Tabella1629[[#This Row],[Temperatura]])    )   /       (   POWER(Tabella1629[[#This Row],[Temperatura]],2)*POWER(EXP(Tabella31[Theta vib8]/Tabella1629[[#This Row],[Temperatura]])-1,2)  )</f>
        <v>8.990936547613948E-2</v>
      </c>
      <c r="O117" s="12" cm="1">
        <f t="array" ref="O117">(    POWER(Tabella31[Theta vib2],2)*EXP(Tabella31[Theta vib9]/Tabella1629[[#This Row],[Temperatura]])    )   /       (   POWER(Tabella1629[[#This Row],[Temperatura]],2)*POWER(EXP(Tabella31[Theta vib9]/Tabella1629[[#This Row],[Temperatura]])-1,2)  )</f>
        <v>8.9889545171063512E-2</v>
      </c>
      <c r="P117" s="1" cm="1">
        <f t="array" ref="P117">SUM(Tabella1629[[#This Row],[Cv vib1]:[Cv vib9]])*Tabella33[Rydberg R]</f>
        <v>35.099132243937092</v>
      </c>
    </row>
    <row r="118" spans="1:16" x14ac:dyDescent="0.3">
      <c r="A118" s="3">
        <v>1800</v>
      </c>
      <c r="B118" s="1" cm="1">
        <f t="array" ref="B118">(3/2)*Tabella33[Rydberg R]</f>
        <v>12.471693000000002</v>
      </c>
      <c r="C118" s="1" cm="1">
        <f t="array" ref="C118">(3/2)*Tabella33[Rydberg R]</f>
        <v>12.471693000000002</v>
      </c>
      <c r="F118" s="3">
        <v>1600</v>
      </c>
      <c r="G118" s="12" cm="1">
        <f t="array" ref="G118">(    POWER(Tabella31[Theta vib1],2)*EXP(Tabella31[Theta vib1]/Tabella1629[[#This Row],[Temperatura]])    )   /       (   POWER(Tabella1629[[#This Row],[Temperatura]],2)*POWER(EXP(Tabella31[Theta vib1]/Tabella1629[[#This Row],[Temperatura]])-1,2)  )</f>
        <v>0.8861581211309485</v>
      </c>
      <c r="H118" s="1" cm="1">
        <f t="array" ref="H118">(    POWER(Tabella31[Theta vib2],2)*EXP(Tabella31[Theta vib2]/Tabella1629[[#This Row],[Temperatura]])    )   /       (   POWER(Tabella1629[[#This Row],[Temperatura]],2)*POWER(EXP(Tabella31[Theta vib2]/Tabella1629[[#This Row],[Temperatura]])-1,2)  )</f>
        <v>0.88615791689549028</v>
      </c>
      <c r="I118" s="1" cm="1">
        <f t="array" ref="I118">(    POWER(Tabella31[Theta vib2],2)*EXP(Tabella31[Theta vib3]/Tabella1629[[#This Row],[Temperatura]])    )   /       (   POWER(Tabella1629[[#This Row],[Temperatura]],2)*POWER(EXP(Tabella31[Theta vib3]/Tabella1629[[#This Row],[Temperatura]])-1,2)  )</f>
        <v>0.88583359534727302</v>
      </c>
      <c r="J118" s="12" cm="1">
        <f t="array" ref="J118">(    POWER(Tabella31[Theta vib2],2)*EXP(Tabella31[Theta vib4]/Tabella1629[[#This Row],[Temperatura]])    )   /       (   POWER(Tabella1629[[#This Row],[Temperatura]],2)*POWER(EXP(Tabella31[Theta vib4]/Tabella1629[[#This Row],[Temperatura]])-1,2)  )</f>
        <v>0.63123936006663539</v>
      </c>
      <c r="K118" s="12" cm="1">
        <f t="array" ref="K118">(    POWER(Tabella31[Theta vib2],2)*EXP(Tabella31[Theta vib5]/Tabella1629[[#This Row],[Temperatura]])    )   /       (   POWER(Tabella1629[[#This Row],[Temperatura]],2)*POWER(EXP(Tabella31[Theta vib5]/Tabella1629[[#This Row],[Temperatura]])-1,2)  )</f>
        <v>0.63123814301880354</v>
      </c>
      <c r="L118" s="12" cm="1">
        <f t="array" ref="L118">(    POWER(Tabella31[Theta vib6],2)*EXP(Tabella31[Theta vib2]/Tabella1629[[#This Row],[Temperatura]])    )   /       (   POWER(Tabella1629[[#This Row],[Temperatura]],2)*POWER(EXP(Tabella31[Theta vib6]/Tabella1629[[#This Row],[Temperatura]])-1,2)  )</f>
        <v>0.12160366777131273</v>
      </c>
      <c r="M118" s="12" cm="1">
        <f t="array" ref="M118">(    POWER(Tabella31[Theta vib2],2)*EXP(Tabella31[Theta vib7]/Tabella1629[[#This Row],[Temperatura]])    )   /       (   POWER(Tabella1629[[#This Row],[Temperatura]],2)*POWER(EXP(Tabella31[Theta vib7]/Tabella1629[[#This Row],[Temperatura]])-1,2)  )</f>
        <v>9.7513256056543318E-2</v>
      </c>
      <c r="N118" s="12" cm="1">
        <f t="array" ref="N118">(    POWER(Tabella31[Theta vib2],2)*EXP(Tabella31[Theta vib8]/Tabella1629[[#This Row],[Temperatura]])    )   /       (   POWER(Tabella1629[[#This Row],[Temperatura]],2)*POWER(EXP(Tabella31[Theta vib8]/Tabella1629[[#This Row],[Temperatura]])-1,2)  )</f>
        <v>9.7513226460805638E-2</v>
      </c>
      <c r="O118" s="12" cm="1">
        <f t="array" ref="O118">(    POWER(Tabella31[Theta vib2],2)*EXP(Tabella31[Theta vib9]/Tabella1629[[#This Row],[Temperatura]])    )   /       (   POWER(Tabella1629[[#This Row],[Temperatura]],2)*POWER(EXP(Tabella31[Theta vib9]/Tabella1629[[#This Row],[Temperatura]])-1,2)  )</f>
        <v>9.7492659823426017E-2</v>
      </c>
      <c r="P118" s="1" cm="1">
        <f t="array" ref="P118">SUM(Tabella1629[[#This Row],[Cv vib1]:[Cv vib9]])*Tabella33[Rydberg R]</f>
        <v>36.041113710268597</v>
      </c>
    </row>
    <row r="119" spans="1:16" x14ac:dyDescent="0.3">
      <c r="A119" s="3">
        <v>1900</v>
      </c>
      <c r="B119" s="1" cm="1">
        <f t="array" ref="B119">(3/2)*Tabella33[Rydberg R]</f>
        <v>12.471693000000002</v>
      </c>
      <c r="C119" s="1" cm="1">
        <f t="array" ref="C119">(3/2)*Tabella33[Rydberg R]</f>
        <v>12.471693000000002</v>
      </c>
      <c r="F119" s="3">
        <v>1700</v>
      </c>
      <c r="G119" s="12" cm="1">
        <f t="array" ref="G119">(    POWER(Tabella31[Theta vib1],2)*EXP(Tabella31[Theta vib1]/Tabella1629[[#This Row],[Temperatura]])    )   /       (   POWER(Tabella1629[[#This Row],[Temperatura]],2)*POWER(EXP(Tabella31[Theta vib1]/Tabella1629[[#This Row],[Temperatura]])-1,2)  )</f>
        <v>0.89834219988450659</v>
      </c>
      <c r="H119" s="1" cm="1">
        <f t="array" ref="H119">(    POWER(Tabella31[Theta vib2],2)*EXP(Tabella31[Theta vib2]/Tabella1629[[#This Row],[Temperatura]])    )   /       (   POWER(Tabella1629[[#This Row],[Temperatura]],2)*POWER(EXP(Tabella31[Theta vib2]/Tabella1629[[#This Row],[Temperatura]])-1,2)  )</f>
        <v>0.8983420159907235</v>
      </c>
      <c r="I119" s="1" cm="1">
        <f t="array" ref="I119">(    POWER(Tabella31[Theta vib2],2)*EXP(Tabella31[Theta vib3]/Tabella1629[[#This Row],[Temperatura]])    )   /       (   POWER(Tabella1629[[#This Row],[Temperatura]],2)*POWER(EXP(Tabella31[Theta vib3]/Tabella1629[[#This Row],[Temperatura]])-1,2)  )</f>
        <v>0.89801715709436103</v>
      </c>
      <c r="J119" s="12" cm="1">
        <f t="array" ref="J119">(    POWER(Tabella31[Theta vib2],2)*EXP(Tabella31[Theta vib4]/Tabella1629[[#This Row],[Temperatura]])    )   /       (   POWER(Tabella1629[[#This Row],[Temperatura]],2)*POWER(EXP(Tabella31[Theta vib4]/Tabella1629[[#This Row],[Temperatura]])-1,2)  )</f>
        <v>0.64286873329829619</v>
      </c>
      <c r="K119" s="12" cm="1">
        <f t="array" ref="K119">(    POWER(Tabella31[Theta vib2],2)*EXP(Tabella31[Theta vib5]/Tabella1629[[#This Row],[Temperatura]])    )   /       (   POWER(Tabella1629[[#This Row],[Temperatura]],2)*POWER(EXP(Tabella31[Theta vib5]/Tabella1629[[#This Row],[Temperatura]])-1,2)  )</f>
        <v>0.6428675127686283</v>
      </c>
      <c r="L119" s="12" cm="1">
        <f t="array" ref="L119">(    POWER(Tabella31[Theta vib6],2)*EXP(Tabella31[Theta vib2]/Tabella1629[[#This Row],[Temperatura]])    )   /       (   POWER(Tabella1629[[#This Row],[Temperatura]],2)*POWER(EXP(Tabella31[Theta vib6]/Tabella1629[[#This Row],[Temperatura]])-1,2)  )</f>
        <v>0.14174495483729732</v>
      </c>
      <c r="M119" s="12" cm="1">
        <f t="array" ref="M119">(    POWER(Tabella31[Theta vib2],2)*EXP(Tabella31[Theta vib7]/Tabella1629[[#This Row],[Temperatura]])    )   /       (   POWER(Tabella1629[[#This Row],[Temperatura]],2)*POWER(EXP(Tabella31[Theta vib7]/Tabella1629[[#This Row],[Temperatura]])-1,2)  )</f>
        <v>0.10439505911591077</v>
      </c>
      <c r="N119" s="12" cm="1">
        <f t="array" ref="N119">(    POWER(Tabella31[Theta vib2],2)*EXP(Tabella31[Theta vib8]/Tabella1629[[#This Row],[Temperatura]])    )   /       (   POWER(Tabella1629[[#This Row],[Temperatura]],2)*POWER(EXP(Tabella31[Theta vib8]/Tabella1629[[#This Row],[Temperatura]])-1,2)  )</f>
        <v>0.10439502864939403</v>
      </c>
      <c r="O119" s="12" cm="1">
        <f t="array" ref="O119">(    POWER(Tabella31[Theta vib2],2)*EXP(Tabella31[Theta vib9]/Tabella1629[[#This Row],[Temperatura]])    )   /       (   POWER(Tabella1629[[#This Row],[Temperatura]],2)*POWER(EXP(Tabella31[Theta vib9]/Tabella1629[[#This Row],[Temperatura]])-1,2)  )</f>
        <v>0.10437385683187046</v>
      </c>
      <c r="P119" s="1" cm="1">
        <f t="array" ref="P119">SUM(Tabella1629[[#This Row],[Cv vib1]:[Cv vib9]])*Tabella33[Rydberg R]</f>
        <v>36.877520084659331</v>
      </c>
    </row>
    <row r="120" spans="1:16" x14ac:dyDescent="0.3">
      <c r="A120" s="3">
        <v>2000</v>
      </c>
      <c r="B120" s="1" cm="1">
        <f t="array" ref="B120">(3/2)*Tabella33[Rydberg R]</f>
        <v>12.471693000000002</v>
      </c>
      <c r="C120" s="1" cm="1">
        <f t="array" ref="C120">(3/2)*Tabella33[Rydberg R]</f>
        <v>12.471693000000002</v>
      </c>
      <c r="F120" s="3">
        <v>1800</v>
      </c>
      <c r="G120" s="12" cm="1">
        <f t="array" ref="G120">(    POWER(Tabella31[Theta vib1],2)*EXP(Tabella31[Theta vib1]/Tabella1629[[#This Row],[Temperatura]])    )   /       (   POWER(Tabella1629[[#This Row],[Temperatura]],2)*POWER(EXP(Tabella31[Theta vib1]/Tabella1629[[#This Row],[Temperatura]])-1,2)  )</f>
        <v>0.90870717995838901</v>
      </c>
      <c r="H120" s="1" cm="1">
        <f t="array" ref="H120">(    POWER(Tabella31[Theta vib2],2)*EXP(Tabella31[Theta vib2]/Tabella1629[[#This Row],[Temperatura]])    )   /       (   POWER(Tabella1629[[#This Row],[Temperatura]],2)*POWER(EXP(Tabella31[Theta vib2]/Tabella1629[[#This Row],[Temperatura]])-1,2)  )</f>
        <v>0.90870701366257478</v>
      </c>
      <c r="I120" s="1" cm="1">
        <f t="array" ref="I120">(    POWER(Tabella31[Theta vib2],2)*EXP(Tabella31[Theta vib3]/Tabella1629[[#This Row],[Temperatura]])    )   /       (   POWER(Tabella1629[[#This Row],[Temperatura]],2)*POWER(EXP(Tabella31[Theta vib3]/Tabella1629[[#This Row],[Temperatura]])-1,2)  )</f>
        <v>0.90838174735484845</v>
      </c>
      <c r="J120" s="12" cm="1">
        <f t="array" ref="J120">(    POWER(Tabella31[Theta vib2],2)*EXP(Tabella31[Theta vib4]/Tabella1629[[#This Row],[Temperatura]])    )   /       (   POWER(Tabella1629[[#This Row],[Temperatura]],2)*POWER(EXP(Tabella31[Theta vib4]/Tabella1629[[#This Row],[Temperatura]])-1,2)  )</f>
        <v>0.65281189138472695</v>
      </c>
      <c r="K120" s="12" cm="1">
        <f t="array" ref="K120">(    POWER(Tabella31[Theta vib2],2)*EXP(Tabella31[Theta vib5]/Tabella1629[[#This Row],[Temperatura]])    )   /       (   POWER(Tabella1629[[#This Row],[Temperatura]],2)*POWER(EXP(Tabella31[Theta vib5]/Tabella1629[[#This Row],[Temperatura]])-1,2)  )</f>
        <v>0.65281066819932332</v>
      </c>
      <c r="L120" s="12" cm="1">
        <f t="array" ref="L120">(    POWER(Tabella31[Theta vib6],2)*EXP(Tabella31[Theta vib2]/Tabella1629[[#This Row],[Temperatura]])    )   /       (   POWER(Tabella1629[[#This Row],[Temperatura]],2)*POWER(EXP(Tabella31[Theta vib6]/Tabella1629[[#This Row],[Temperatura]])-1,2)  )</f>
        <v>0.16199960004254155</v>
      </c>
      <c r="M120" s="12" cm="1">
        <f t="array" ref="M120">(    POWER(Tabella31[Theta vib2],2)*EXP(Tabella31[Theta vib7]/Tabella1629[[#This Row],[Temperatura]])    )   /       (   POWER(Tabella1629[[#This Row],[Temperatura]],2)*POWER(EXP(Tabella31[Theta vib7]/Tabella1629[[#This Row],[Temperatura]])-1,2)  )</f>
        <v>0.11060748778179809</v>
      </c>
      <c r="N120" s="12" cm="1">
        <f t="array" ref="N120">(    POWER(Tabella31[Theta vib2],2)*EXP(Tabella31[Theta vib8]/Tabella1629[[#This Row],[Temperatura]])    )   /       (   POWER(Tabella1629[[#This Row],[Temperatura]],2)*POWER(EXP(Tabella31[Theta vib8]/Tabella1629[[#This Row],[Temperatura]])-1,2)  )</f>
        <v>0.11060745660737592</v>
      </c>
      <c r="O120" s="12" cm="1">
        <f t="array" ref="O120">(    POWER(Tabella31[Theta vib2],2)*EXP(Tabella31[Theta vib9]/Tabella1629[[#This Row],[Temperatura]])    )   /       (   POWER(Tabella1629[[#This Row],[Temperatura]],2)*POWER(EXP(Tabella31[Theta vib9]/Tabella1629[[#This Row],[Temperatura]])-1,2)  )</f>
        <v>0.1105857928022627</v>
      </c>
      <c r="P120" s="1" cm="1">
        <f t="array" ref="P120">SUM(Tabella1629[[#This Row],[Cv vib1]:[Cv vib9]])*Tabella33[Rydberg R]</f>
        <v>37.624760068521049</v>
      </c>
    </row>
    <row r="121" spans="1:16" x14ac:dyDescent="0.3">
      <c r="F121" s="3">
        <v>1900</v>
      </c>
      <c r="G121" s="12" cm="1">
        <f t="array" ref="G121">(    POWER(Tabella31[Theta vib1],2)*EXP(Tabella31[Theta vib1]/Tabella1629[[#This Row],[Temperatura]])    )   /       (   POWER(Tabella1629[[#This Row],[Temperatura]],2)*POWER(EXP(Tabella31[Theta vib1]/Tabella1629[[#This Row],[Temperatura]])-1,2)  )</f>
        <v>0.91759103595541902</v>
      </c>
      <c r="H121" s="1" cm="1">
        <f t="array" ref="H121">(    POWER(Tabella31[Theta vib2],2)*EXP(Tabella31[Theta vib2]/Tabella1629[[#This Row],[Temperatura]])    )   /       (   POWER(Tabella1629[[#This Row],[Temperatura]],2)*POWER(EXP(Tabella31[Theta vib2]/Tabella1629[[#This Row],[Temperatura]])-1,2)  )</f>
        <v>0.91759088495563335</v>
      </c>
      <c r="I121" s="1" cm="1">
        <f t="array" ref="I121">(    POWER(Tabella31[Theta vib2],2)*EXP(Tabella31[Theta vib3]/Tabella1629[[#This Row],[Temperatura]])    )   /       (   POWER(Tabella1629[[#This Row],[Temperatura]],2)*POWER(EXP(Tabella31[Theta vib3]/Tabella1629[[#This Row],[Temperatura]])-1,2)  )</f>
        <v>0.91726530550976726</v>
      </c>
      <c r="J121" s="12" cm="1">
        <f t="array" ref="J121">(    POWER(Tabella31[Theta vib2],2)*EXP(Tabella31[Theta vib4]/Tabella1629[[#This Row],[Temperatura]])    )   /       (   POWER(Tabella1629[[#This Row],[Temperatura]],2)*POWER(EXP(Tabella31[Theta vib4]/Tabella1629[[#This Row],[Temperatura]])-1,2)  )</f>
        <v>0.66137071643432555</v>
      </c>
      <c r="K121" s="12" cm="1">
        <f t="array" ref="K121">(    POWER(Tabella31[Theta vib2],2)*EXP(Tabella31[Theta vib5]/Tabella1629[[#This Row],[Temperatura]])    )   /       (   POWER(Tabella1629[[#This Row],[Temperatura]],2)*POWER(EXP(Tabella31[Theta vib5]/Tabella1629[[#This Row],[Temperatura]])-1,2)  )</f>
        <v>0.66136949119733535</v>
      </c>
      <c r="L121" s="12" cm="1">
        <f t="array" ref="L121">(    POWER(Tabella31[Theta vib6],2)*EXP(Tabella31[Theta vib2]/Tabella1629[[#This Row],[Temperatura]])    )   /       (   POWER(Tabella1629[[#This Row],[Temperatura]],2)*POWER(EXP(Tabella31[Theta vib6]/Tabella1629[[#This Row],[Temperatura]])-1,2)  )</f>
        <v>0.18216350181125457</v>
      </c>
      <c r="M121" s="12" cm="1">
        <f t="array" ref="M121">(    POWER(Tabella31[Theta vib2],2)*EXP(Tabella31[Theta vib7]/Tabella1629[[#This Row],[Temperatura]])    )   /       (   POWER(Tabella1629[[#This Row],[Temperatura]],2)*POWER(EXP(Tabella31[Theta vib7]/Tabella1629[[#This Row],[Temperatura]])-1,2)  )</f>
        <v>0.11620922939124494</v>
      </c>
      <c r="N121" s="12" cm="1">
        <f t="array" ref="N121">(    POWER(Tabella31[Theta vib2],2)*EXP(Tabella31[Theta vib8]/Tabella1629[[#This Row],[Temperatura]])    )   /       (   POWER(Tabella1629[[#This Row],[Temperatura]],2)*POWER(EXP(Tabella31[Theta vib8]/Tabella1629[[#This Row],[Temperatura]])-1,2)  )</f>
        <v>0.11620919763926886</v>
      </c>
      <c r="O121" s="12" cm="1">
        <f t="array" ref="O121">(    POWER(Tabella31[Theta vib2],2)*EXP(Tabella31[Theta vib9]/Tabella1629[[#This Row],[Temperatura]])    )   /       (   POWER(Tabella1629[[#This Row],[Temperatura]],2)*POWER(EXP(Tabella31[Theta vib9]/Tabella1629[[#This Row],[Temperatura]])-1,2)  )</f>
        <v>0.11618713243784733</v>
      </c>
      <c r="P121" s="1" cm="1">
        <f t="array" ref="P121">SUM(Tabella1629[[#This Row],[Cv vib1]:[Cv vib9]])*Tabella33[Rydberg R]</f>
        <v>38.296050254091902</v>
      </c>
    </row>
    <row r="122" spans="1:16" x14ac:dyDescent="0.3">
      <c r="F122" s="3">
        <v>2000</v>
      </c>
      <c r="G122" s="12" cm="1">
        <f t="array" ref="G122">(    POWER(Tabella31[Theta vib1],2)*EXP(Tabella31[Theta vib1]/Tabella1629[[#This Row],[Temperatura]])    )   /       (   POWER(Tabella1629[[#This Row],[Temperatura]],2)*POWER(EXP(Tabella31[Theta vib1]/Tabella1629[[#This Row],[Temperatura]])-1,2)  )</f>
        <v>0.92525830795718866</v>
      </c>
      <c r="H122" s="1" cm="1">
        <f t="array" ref="H122">(    POWER(Tabella31[Theta vib2],2)*EXP(Tabella31[Theta vib2]/Tabella1629[[#This Row],[Temperatura]])    )   /       (   POWER(Tabella1629[[#This Row],[Temperatura]],2)*POWER(EXP(Tabella31[Theta vib2]/Tabella1629[[#This Row],[Temperatura]])-1,2)  )</f>
        <v>0.9252581703154702</v>
      </c>
      <c r="I122" s="1" cm="1">
        <f t="array" ref="I122">(    POWER(Tabella31[Theta vib2],2)*EXP(Tabella31[Theta vib3]/Tabella1629[[#This Row],[Temperatura]])    )   /       (   POWER(Tabella1629[[#This Row],[Temperatura]],2)*POWER(EXP(Tabella31[Theta vib3]/Tabella1629[[#This Row],[Temperatura]])-1,2)  )</f>
        <v>0.92493234717383799</v>
      </c>
      <c r="J122" s="12" cm="1">
        <f t="array" ref="J122">(    POWER(Tabella31[Theta vib2],2)*EXP(Tabella31[Theta vib4]/Tabella1629[[#This Row],[Temperatura]])    )   /       (   POWER(Tabella1629[[#This Row],[Temperatura]],2)*POWER(EXP(Tabella31[Theta vib4]/Tabella1629[[#This Row],[Temperatura]])-1,2)  )</f>
        <v>0.66878449285989794</v>
      </c>
      <c r="K122" s="12" cm="1">
        <f t="array" ref="K122">(    POWER(Tabella31[Theta vib2],2)*EXP(Tabella31[Theta vib5]/Tabella1629[[#This Row],[Temperatura]])    )   /       (   POWER(Tabella1629[[#This Row],[Temperatura]],2)*POWER(EXP(Tabella31[Theta vib5]/Tabella1629[[#This Row],[Temperatura]])-1,2)  )</f>
        <v>0.66878326601935345</v>
      </c>
      <c r="L122" s="12" cm="1">
        <f t="array" ref="L122">(    POWER(Tabella31[Theta vib6],2)*EXP(Tabella31[Theta vib2]/Tabella1629[[#This Row],[Temperatura]])    )   /       (   POWER(Tabella1629[[#This Row],[Temperatura]],2)*POWER(EXP(Tabella31[Theta vib6]/Tabella1629[[#This Row],[Temperatura]])-1,2)  )</f>
        <v>0.20208041471658267</v>
      </c>
      <c r="M122" s="12" cm="1">
        <f t="array" ref="M122">(    POWER(Tabella31[Theta vib2],2)*EXP(Tabella31[Theta vib7]/Tabella1629[[#This Row],[Temperatura]])    )   /       (   POWER(Tabella1629[[#This Row],[Temperatura]],2)*POWER(EXP(Tabella31[Theta vib7]/Tabella1629[[#This Row],[Temperatura]])-1,2)  )</f>
        <v>0.12125957386227763</v>
      </c>
      <c r="N122" s="12" cm="1">
        <f t="array" ref="N122">(    POWER(Tabella31[Theta vib2],2)*EXP(Tabella31[Theta vib8]/Tabella1629[[#This Row],[Temperatura]])    )   /       (   POWER(Tabella1629[[#This Row],[Temperatura]],2)*POWER(EXP(Tabella31[Theta vib8]/Tabella1629[[#This Row],[Temperatura]])-1,2)  )</f>
        <v>0.12125954163711361</v>
      </c>
      <c r="O122" s="12" cm="1">
        <f t="array" ref="O122">(    POWER(Tabella31[Theta vib2],2)*EXP(Tabella31[Theta vib9]/Tabella1629[[#This Row],[Temperatura]])    )   /       (   POWER(Tabella1629[[#This Row],[Temperatura]],2)*POWER(EXP(Tabella31[Theta vib9]/Tabella1629[[#This Row],[Temperatura]])-1,2)  )</f>
        <v>0.12123714757181417</v>
      </c>
      <c r="P122" s="1" cm="1">
        <f t="array" ref="P122">SUM(Tabella1629[[#This Row],[Cv vib1]:[Cv vib9]])*Tabella33[Rydberg R]</f>
        <v>38.902147651419035</v>
      </c>
    </row>
    <row r="126" spans="1:16" ht="42.6" x14ac:dyDescent="0.85">
      <c r="A126" s="13" t="s">
        <v>80</v>
      </c>
    </row>
    <row r="128" spans="1:16" ht="28.8" x14ac:dyDescent="0.55000000000000004">
      <c r="A128" s="14" t="s">
        <v>81</v>
      </c>
    </row>
    <row r="131" spans="1:4" x14ac:dyDescent="0.3">
      <c r="A131" t="s">
        <v>71</v>
      </c>
      <c r="B131" t="s">
        <v>72</v>
      </c>
      <c r="C131" t="s">
        <v>73</v>
      </c>
      <c r="D131" t="s">
        <v>74</v>
      </c>
    </row>
    <row r="132" spans="1:4" x14ac:dyDescent="0.3">
      <c r="A132" t="s">
        <v>82</v>
      </c>
      <c r="B132" s="1">
        <f>C103</f>
        <v>12.471693000000002</v>
      </c>
      <c r="C132" s="1">
        <f>(2.981*4.184)</f>
        <v>12.472504000000001</v>
      </c>
      <c r="D132" s="17">
        <f>ABS(Tabella205456[[#This Row],[My value]]-Tabella205456[[#This Row],[Gaussian]])/Tabella205456[[#This Row],[Gaussian]]</f>
        <v>6.5023029858221328E-5</v>
      </c>
    </row>
    <row r="133" spans="1:4" x14ac:dyDescent="0.3">
      <c r="A133" t="s">
        <v>83</v>
      </c>
      <c r="B133" s="1">
        <f>P105</f>
        <v>1.9539926462932609</v>
      </c>
      <c r="C133" s="1">
        <f>0.499*4.184</f>
        <v>2.0878160000000001</v>
      </c>
      <c r="D133" s="17">
        <f>ABS(Tabella205456[[#This Row],[My value]]-Tabella205456[[#This Row],[Gaussian]])/Tabella205456[[#This Row],[Gaussian]]</f>
        <v>6.4097292916013307E-2</v>
      </c>
    </row>
    <row r="134" spans="1:4" x14ac:dyDescent="0.3">
      <c r="A134" t="s">
        <v>84</v>
      </c>
      <c r="B134" s="1">
        <f>B103</f>
        <v>12.471693000000002</v>
      </c>
      <c r="C134" s="1">
        <f>2.981*4.184</f>
        <v>12.472504000000001</v>
      </c>
      <c r="D134" s="17">
        <f>ABS(Tabella205456[[#This Row],[My value]]-Tabella205456[[#This Row],[Gaussian]])/Tabella205456[[#This Row],[Gaussian]]</f>
        <v>6.5023029858221328E-5</v>
      </c>
    </row>
  </sheetData>
  <phoneticPr fontId="1" type="noConversion"/>
  <pageMargins left="0.7" right="0.7" top="0.75" bottom="0.75" header="0.3" footer="0.3"/>
  <drawing r:id="rId1"/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519E-31BE-4A97-A7DC-2ECFDD58CB7C}">
  <dimension ref="A1:Q134"/>
  <sheetViews>
    <sheetView topLeftCell="A92" zoomScale="73" zoomScaleNormal="70" workbookViewId="0">
      <selection activeCell="D65" sqref="D65"/>
    </sheetView>
  </sheetViews>
  <sheetFormatPr defaultRowHeight="14.4" x14ac:dyDescent="0.3"/>
  <cols>
    <col min="1" max="1" width="30" customWidth="1"/>
    <col min="2" max="2" width="27.44140625" customWidth="1"/>
    <col min="3" max="3" width="18.44140625" customWidth="1"/>
    <col min="4" max="4" width="16.109375" customWidth="1"/>
    <col min="5" max="5" width="23.5546875" customWidth="1"/>
    <col min="6" max="6" width="14.6640625" customWidth="1"/>
    <col min="7" max="7" width="16.77734375" customWidth="1"/>
    <col min="8" max="8" width="18.109375" customWidth="1"/>
    <col min="9" max="9" width="20.44140625" customWidth="1"/>
    <col min="10" max="10" width="13.6640625" customWidth="1"/>
    <col min="11" max="11" width="23.6640625" customWidth="1"/>
    <col min="12" max="13" width="13.6640625" customWidth="1"/>
    <col min="14" max="14" width="11.109375" customWidth="1"/>
    <col min="15" max="15" width="13.6640625" customWidth="1"/>
    <col min="16" max="17" width="13.44140625" customWidth="1"/>
    <col min="18" max="18" width="12" customWidth="1"/>
    <col min="19" max="19" width="13" bestFit="1" customWidth="1"/>
    <col min="20" max="20" width="1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87</v>
      </c>
      <c r="H1" t="s">
        <v>89</v>
      </c>
    </row>
    <row r="2" spans="1:14" x14ac:dyDescent="0.3">
      <c r="A2">
        <v>3.1415899999999999</v>
      </c>
      <c r="B2" s="1">
        <f>18.01528*1.6605655E-27</f>
        <v>2.9915552440839997E-26</v>
      </c>
      <c r="C2" s="1">
        <v>1.3806490000000001E-23</v>
      </c>
      <c r="D2" s="1">
        <v>6.6260701499999998E-34</v>
      </c>
      <c r="E2" s="1">
        <v>8.3144620000000007</v>
      </c>
      <c r="F2" s="1">
        <v>6.0221410000000001E+23</v>
      </c>
      <c r="G2">
        <v>29979300000</v>
      </c>
      <c r="H2">
        <f>Tabella3397[[#This Row],[Speed of Light '[cm/s']]]*POWER(10,-2)</f>
        <v>299793000</v>
      </c>
    </row>
    <row r="4" spans="1:14" x14ac:dyDescent="0.3">
      <c r="A4" t="s">
        <v>85</v>
      </c>
      <c r="B4" t="s">
        <v>86</v>
      </c>
      <c r="C4" t="s">
        <v>88</v>
      </c>
      <c r="D4" t="s">
        <v>90</v>
      </c>
      <c r="E4" t="s">
        <v>75</v>
      </c>
    </row>
    <row r="5" spans="1:14" x14ac:dyDescent="0.3">
      <c r="A5" s="4">
        <f>832.09637</f>
        <v>832.09636999999998</v>
      </c>
      <c r="B5" cm="1">
        <f t="array" ref="B5">((Tabella50111[[#This Row],[Rotational Constants '[Ghz']]]*1000000000)/Tabella3397[Speed of Light '[cm/s']])*100</f>
        <v>2775.5697097664056</v>
      </c>
      <c r="C5" s="1" cm="1">
        <f t="array" ref="C5">Tabella3397[Planck h]/(8*POWER(Tabella3397[Pi Greco],2)*Tabella50111[[#This Row],[Rotational Constant '[m^-1']]]*Tabella3397[Speed of Light '[m/s']])</f>
        <v>1.0085406403194181E-47</v>
      </c>
      <c r="D5">
        <f>SQRT(PRODUCT(Tabella50111[Moments of Inertia]))</f>
        <v>7.7307496360738352E-71</v>
      </c>
      <c r="E5" s="1" cm="1">
        <f t="array" ref="E5">POWER(Tabella3397[Planck h],2)/(8*POWER(Tabella3397[Pi Greco],2)*Tabella1118[[#This Row],[Total Moment of Inertia]]*Tabella3397[Boltzmann k])</f>
        <v>5.2097654203869177E+24</v>
      </c>
      <c r="F5" s="1"/>
    </row>
    <row r="6" spans="1:14" x14ac:dyDescent="0.3">
      <c r="A6">
        <f>423.47293</f>
        <v>423.47293000000002</v>
      </c>
      <c r="B6" cm="1">
        <f t="array" ref="B6">((Tabella50111[[#This Row],[Rotational Constants '[Ghz']]]*1000000000)/Tabella3397[Speed of Light '[cm/s']])*100</f>
        <v>1412.551093587909</v>
      </c>
      <c r="C6" s="1" cm="1">
        <f t="array" ref="C6">Tabella3397[Planck h]/(8*POWER(Tabella3397[Pi Greco],2)*Tabella50111[[#This Row],[Rotational Constant '[m^-1']]]*Tabella3397[Speed of Light '[m/s']])</f>
        <v>1.9817158225609922E-47</v>
      </c>
    </row>
    <row r="7" spans="1:14" x14ac:dyDescent="0.3">
      <c r="A7" s="4">
        <f>280.64583</f>
        <v>280.64582999999999</v>
      </c>
      <c r="B7" cm="1">
        <f t="array" ref="B7">((Tabella50111[[#This Row],[Rotational Constants '[Ghz']]]*1000000000)/Tabella3397[Speed of Light '[cm/s']])*100</f>
        <v>936.13203110146003</v>
      </c>
      <c r="C7" s="1" cm="1">
        <f t="array" ref="C7">Tabella3397[Planck h]/(8*POWER(Tabella3397[Pi Greco],2)*Tabella50111[[#This Row],[Rotational Constant '[m^-1']]]*Tabella3397[Speed of Light '[m/s']])</f>
        <v>2.9902564588515835E-47</v>
      </c>
    </row>
    <row r="9" spans="1:14" x14ac:dyDescent="0.3">
      <c r="E9" s="1"/>
    </row>
    <row r="10" spans="1:14" x14ac:dyDescent="0.3">
      <c r="A10" t="s">
        <v>58</v>
      </c>
    </row>
    <row r="11" spans="1:14" x14ac:dyDescent="0.3">
      <c r="A11">
        <v>2</v>
      </c>
      <c r="E11" t="s">
        <v>61</v>
      </c>
      <c r="F11" t="s">
        <v>62</v>
      </c>
      <c r="G11" t="s">
        <v>63</v>
      </c>
    </row>
    <row r="12" spans="1:14" x14ac:dyDescent="0.3">
      <c r="E12">
        <f>B14</f>
        <v>48064396667040</v>
      </c>
      <c r="F12">
        <f>B15</f>
        <v>114203367266820</v>
      </c>
      <c r="G12">
        <f>B16</f>
        <v>117861198620490</v>
      </c>
    </row>
    <row r="13" spans="1:14" x14ac:dyDescent="0.3">
      <c r="A13" t="s">
        <v>59</v>
      </c>
      <c r="B13" t="s">
        <v>60</v>
      </c>
      <c r="D13" t="s">
        <v>4</v>
      </c>
      <c r="E13" t="s">
        <v>17</v>
      </c>
      <c r="F13" t="s">
        <v>9</v>
      </c>
      <c r="G13" t="s">
        <v>10</v>
      </c>
      <c r="H13" t="s">
        <v>18</v>
      </c>
    </row>
    <row r="14" spans="1:14" x14ac:dyDescent="0.3">
      <c r="A14" s="4">
        <f>1603.2528</f>
        <v>1603.2528</v>
      </c>
      <c r="B14" cm="1">
        <f t="array" ref="B14">Tabella47109[[#This Row],[Wavenumbers '[cm^-1']]]*Tabella3397[Speed of Light '[cm/s']]</f>
        <v>48064396667040</v>
      </c>
      <c r="D14">
        <v>298</v>
      </c>
      <c r="E14" s="1" cm="1">
        <f t="array" ref="E14">(EXP(-(Tabella3397[Planck h]*Tabella49110[Frequency1])/(2*Tabella3397[Boltzmann k]*Tabella820100[[#This Row],[Temperatura]])))/(1-EXP(-(Tabella3397[Planck h]*Tabella49110[Frequency1])/(Tabella3397[Boltzmann k]*Tabella820100[[#This Row],[Temperatura]])))</f>
        <v>2.0860187645609301E-2</v>
      </c>
      <c r="F14" s="1" cm="1">
        <f t="array" ref="F14">(EXP(-(Tabella3397[Planck h]*Tabella49110[Frequency2])/(2*Tabella3397[Boltzmann k]*Tabella820100[[#This Row],[Temperatura]])))/(1-EXP(-(Tabella3397[Planck h]*Tabella49110[Frequency2])/(Tabella3397[Boltzmann k]*Tabella820100[[#This Row],[Temperatura]])))</f>
        <v>1.0143055105288782E-4</v>
      </c>
      <c r="G14" s="1" cm="1">
        <f t="array" ref="G14">(EXP(-(Tabella3397[Planck h]*Tabella49110[Frequency3])/(2*Tabella3397[Boltzmann k]*Tabella820100[[#This Row],[Temperatura]])))/(1-EXP(-(Tabella3397[Planck h]*Tabella49110[Frequency3])/(Tabella3397[Boltzmann k]*Tabella820100[[#This Row],[Temperatura]])))</f>
        <v>7.5552693797490688E-5</v>
      </c>
      <c r="H14" s="1">
        <f>PRODUCT(Tabella820100[[#This Row],[Qvib1]:[Qvib3]])</f>
        <v>1.5985894747668009E-10</v>
      </c>
      <c r="I14" s="1"/>
      <c r="J14" s="1"/>
      <c r="K14" s="1"/>
      <c r="L14" s="1"/>
      <c r="M14" s="1"/>
      <c r="N14" s="1"/>
    </row>
    <row r="15" spans="1:14" x14ac:dyDescent="0.3">
      <c r="A15" s="4">
        <f>3809.4074</f>
        <v>3809.4074000000001</v>
      </c>
      <c r="B15" cm="1">
        <f t="array" ref="B15">Tabella47109[[#This Row],[Wavenumbers '[cm^-1']]]*Tabella3397[Speed of Light '[cm/s']]</f>
        <v>114203367266820</v>
      </c>
      <c r="D15">
        <v>400</v>
      </c>
      <c r="E15" s="1" cm="1">
        <f t="array" ref="E15">(EXP(-(Tabella3397[Planck h]*Tabella49110[Frequency1])/(2*Tabella3397[Boltzmann k]*Tabella820100[[#This Row],[Temperatura]])))/(1-EXP(-(Tabella3397[Planck h]*Tabella49110[Frequency1])/(Tabella3397[Boltzmann k]*Tabella820100[[#This Row],[Temperatura]])))</f>
        <v>5.611936006336541E-2</v>
      </c>
      <c r="F15" s="1" cm="1">
        <f t="array" ref="F15">(EXP(-(Tabella3397[Planck h]*Tabella49110[Frequency2])/(2*Tabella3397[Boltzmann k]*Tabella820100[[#This Row],[Temperatura]])))/(1-EXP(-(Tabella3397[Planck h]*Tabella49110[Frequency2])/(Tabella3397[Boltzmann k]*Tabella820100[[#This Row],[Temperatura]])))</f>
        <v>1.0582693736824443E-3</v>
      </c>
      <c r="G15" s="1" cm="1">
        <f t="array" ref="G15">(EXP(-(Tabella3397[Planck h]*Tabella49110[Frequency3])/(2*Tabella3397[Boltzmann k]*Tabella820100[[#This Row],[Temperatura]])))/(1-EXP(-(Tabella3397[Planck h]*Tabella49110[Frequency3])/(Tabella3397[Boltzmann k]*Tabella820100[[#This Row],[Temperatura]])))</f>
        <v>8.4976047557420661E-4</v>
      </c>
      <c r="H15" s="1">
        <f>PRODUCT(Tabella820100[[#This Row],[Qvib1]:[Qvib3]])</f>
        <v>5.046676480992032E-8</v>
      </c>
      <c r="I15" s="1"/>
      <c r="J15" s="1"/>
      <c r="K15" s="1"/>
      <c r="L15" s="1"/>
      <c r="M15" s="1"/>
      <c r="N15" s="1"/>
    </row>
    <row r="16" spans="1:14" x14ac:dyDescent="0.3">
      <c r="A16" s="4">
        <f>3931.4193</f>
        <v>3931.4193</v>
      </c>
      <c r="B16" cm="1">
        <f t="array" ref="B16">Tabella47109[[#This Row],[Wavenumbers '[cm^-1']]]*Tabella3397[Speed of Light '[cm/s']]</f>
        <v>117861198620490</v>
      </c>
      <c r="D16">
        <v>500</v>
      </c>
      <c r="E16" s="1" cm="1">
        <f t="array" ref="E16">(EXP(-(Tabella3397[Planck h]*Tabella49110[Frequency1])/(2*Tabella3397[Boltzmann k]*Tabella820100[[#This Row],[Temperatura]])))/(1-EXP(-(Tabella3397[Planck h]*Tabella49110[Frequency1])/(Tabella3397[Boltzmann k]*Tabella820100[[#This Row],[Temperatura]])))</f>
        <v>0.1005841868233083</v>
      </c>
      <c r="F16" s="1" cm="1">
        <f t="array" ref="F16">(EXP(-(Tabella3397[Planck h]*Tabella49110[Frequency2])/(2*Tabella3397[Boltzmann k]*Tabella820100[[#This Row],[Temperatura]])))/(1-EXP(-(Tabella3397[Planck h]*Tabella49110[Frequency2])/(Tabella3397[Boltzmann k]*Tabella820100[[#This Row],[Temperatura]])))</f>
        <v>4.1656629648029412E-3</v>
      </c>
      <c r="G16" s="1" cm="1">
        <f t="array" ref="G16">(EXP(-(Tabella3397[Planck h]*Tabella49110[Frequency3])/(2*Tabella3397[Boltzmann k]*Tabella820100[[#This Row],[Temperatura]])))/(1-EXP(-(Tabella3397[Planck h]*Tabella49110[Frequency3])/(Tabella3397[Boltzmann k]*Tabella820100[[#This Row],[Temperatura]])))</f>
        <v>3.4949605306335927E-3</v>
      </c>
      <c r="H16" s="1">
        <f>PRODUCT(Tabella820100[[#This Row],[Qvib1]:[Qvib3]])</f>
        <v>1.4643878398643956E-6</v>
      </c>
      <c r="I16" s="1"/>
      <c r="J16" s="1"/>
      <c r="K16" s="1"/>
      <c r="L16" s="1"/>
      <c r="M16" s="1"/>
      <c r="N16" s="1"/>
    </row>
    <row r="17" spans="4:14" x14ac:dyDescent="0.3">
      <c r="D17">
        <v>600</v>
      </c>
      <c r="E17" s="1" cm="1">
        <f t="array" ref="E17">(EXP(-(Tabella3397[Planck h]*Tabella49110[Frequency1])/(2*Tabella3397[Boltzmann k]*Tabella820100[[#This Row],[Temperatura]])))/(1-EXP(-(Tabella3397[Planck h]*Tabella49110[Frequency1])/(Tabella3397[Boltzmann k]*Tabella820100[[#This Row],[Temperatura]])))</f>
        <v>0.14947227603375857</v>
      </c>
      <c r="F17" s="1" cm="1">
        <f t="array" ref="F17">(EXP(-(Tabella3397[Planck h]*Tabella49110[Frequency2])/(2*Tabella3397[Boltzmann k]*Tabella820100[[#This Row],[Temperatura]])))/(1-EXP(-(Tabella3397[Planck h]*Tabella49110[Frequency2])/(Tabella3397[Boltzmann k]*Tabella820100[[#This Row],[Temperatura]])))</f>
        <v>1.0385896715642013E-2</v>
      </c>
      <c r="G17" s="1" cm="1">
        <f t="array" ref="G17">(EXP(-(Tabella3397[Planck h]*Tabella49110[Frequency3])/(2*Tabella3397[Boltzmann k]*Tabella820100[[#This Row],[Temperatura]])))/(1-EXP(-(Tabella3397[Planck h]*Tabella49110[Frequency3])/(Tabella3397[Boltzmann k]*Tabella820100[[#This Row],[Temperatura]])))</f>
        <v>8.9722031632347224E-3</v>
      </c>
      <c r="H17" s="1">
        <f>PRODUCT(Tabella820100[[#This Row],[Qvib1]:[Qvib3]])</f>
        <v>1.3928480676607449E-5</v>
      </c>
      <c r="I17" s="1"/>
      <c r="J17" s="1"/>
      <c r="K17" s="1"/>
      <c r="L17" s="1"/>
      <c r="M17" s="1"/>
      <c r="N17" s="1"/>
    </row>
    <row r="18" spans="4:14" x14ac:dyDescent="0.3">
      <c r="D18">
        <v>700</v>
      </c>
      <c r="E18" s="1" cm="1">
        <f t="array" ref="E18">(EXP(-(Tabella3397[Planck h]*Tabella49110[Frequency1])/(2*Tabella3397[Boltzmann k]*Tabella820100[[#This Row],[Temperatura]])))/(1-EXP(-(Tabella3397[Planck h]*Tabella49110[Frequency1])/(Tabella3397[Boltzmann k]*Tabella820100[[#This Row],[Temperatura]])))</f>
        <v>0.19990714999913464</v>
      </c>
      <c r="F18" s="1" cm="1">
        <f t="array" ref="F18">(EXP(-(Tabella3397[Planck h]*Tabella49110[Frequency2])/(2*Tabella3397[Boltzmann k]*Tabella820100[[#This Row],[Temperatura]])))/(1-EXP(-(Tabella3397[Planck h]*Tabella49110[Frequency2])/(Tabella3397[Boltzmann k]*Tabella820100[[#This Row],[Temperatura]])))</f>
        <v>1.9949946775932079E-2</v>
      </c>
      <c r="G18" s="1" cm="1">
        <f t="array" ref="G18">(EXP(-(Tabella3397[Planck h]*Tabella49110[Frequency3])/(2*Tabella3397[Boltzmann k]*Tabella820100[[#This Row],[Temperatura]])))/(1-EXP(-(Tabella3397[Planck h]*Tabella49110[Frequency3])/(Tabella3397[Boltzmann k]*Tabella820100[[#This Row],[Temperatura]])))</f>
        <v>1.7597320572101876E-2</v>
      </c>
      <c r="H18" s="1">
        <f>PRODUCT(Tabella820100[[#This Row],[Qvib1]:[Qvib3]])</f>
        <v>7.0180525320407382E-5</v>
      </c>
      <c r="I18" s="1"/>
      <c r="J18" s="1"/>
      <c r="K18" s="1"/>
      <c r="L18" s="1"/>
      <c r="M18" s="1"/>
      <c r="N18" s="1"/>
    </row>
    <row r="19" spans="4:14" x14ac:dyDescent="0.3">
      <c r="D19">
        <v>800</v>
      </c>
      <c r="E19" s="1" cm="1">
        <f t="array" ref="E19">(EXP(-(Tabella3397[Planck h]*Tabella49110[Frequency1])/(2*Tabella3397[Boltzmann k]*Tabella820100[[#This Row],[Temperatura]])))/(1-EXP(-(Tabella3397[Planck h]*Tabella49110[Frequency1])/(Tabella3397[Boltzmann k]*Tabella820100[[#This Row],[Temperatura]])))</f>
        <v>0.25054041906591223</v>
      </c>
      <c r="F19" s="1" cm="1">
        <f t="array" ref="F19">(EXP(-(Tabella3397[Planck h]*Tabella49110[Frequency2])/(2*Tabella3397[Boltzmann k]*Tabella820100[[#This Row],[Temperatura]])))/(1-EXP(-(Tabella3397[Planck h]*Tabella49110[Frequency2])/(Tabella3397[Boltzmann k]*Tabella820100[[#This Row],[Temperatura]])))</f>
        <v>3.2565497266250763E-2</v>
      </c>
      <c r="G19" s="1" cm="1">
        <f t="array" ref="G19">(EXP(-(Tabella3397[Planck h]*Tabella49110[Frequency3])/(2*Tabella3397[Boltzmann k]*Tabella820100[[#This Row],[Temperatura]])))/(1-EXP(-(Tabella3397[Planck h]*Tabella49110[Frequency3])/(Tabella3397[Boltzmann k]*Tabella820100[[#This Row],[Temperatura]])))</f>
        <v>2.9175432961945413E-2</v>
      </c>
      <c r="H19" s="1">
        <f>PRODUCT(Tabella820100[[#This Row],[Qvib1]:[Qvib3]])</f>
        <v>2.3804157949120958E-4</v>
      </c>
      <c r="I19" s="1"/>
      <c r="J19" s="1"/>
      <c r="K19" s="1"/>
      <c r="L19" s="1"/>
      <c r="M19" s="1"/>
      <c r="N19" s="1"/>
    </row>
    <row r="20" spans="4:14" x14ac:dyDescent="0.3">
      <c r="D20">
        <v>900</v>
      </c>
      <c r="E20" s="1" cm="1">
        <f t="array" ref="E20">(EXP(-(Tabella3397[Planck h]*Tabella49110[Frequency1])/(2*Tabella3397[Boltzmann k]*Tabella820100[[#This Row],[Temperatura]])))/(1-EXP(-(Tabella3397[Planck h]*Tabella49110[Frequency1])/(Tabella3397[Boltzmann k]*Tabella820100[[#This Row],[Temperatura]])))</f>
        <v>0.30079920581598046</v>
      </c>
      <c r="F20" s="1" cm="1">
        <f t="array" ref="F20">(EXP(-(Tabella3397[Planck h]*Tabella49110[Frequency2])/(2*Tabella3397[Boltzmann k]*Tabella820100[[#This Row],[Temperatura]])))/(1-EXP(-(Tabella3397[Planck h]*Tabella49110[Frequency2])/(Tabella3397[Boltzmann k]*Tabella820100[[#This Row],[Temperatura]])))</f>
        <v>4.7707119004700087E-2</v>
      </c>
      <c r="G20" s="1" cm="1">
        <f t="array" ref="G20">(EXP(-(Tabella3397[Planck h]*Tabella49110[Frequency3])/(2*Tabella3397[Boltzmann k]*Tabella820100[[#This Row],[Temperatura]])))/(1-EXP(-(Tabella3397[Planck h]*Tabella49110[Frequency3])/(Tabella3397[Boltzmann k]*Tabella820100[[#This Row],[Temperatura]])))</f>
        <v>4.3256673237280246E-2</v>
      </c>
      <c r="H20" s="1">
        <f>PRODUCT(Tabella820100[[#This Row],[Qvib1]:[Qvib3]])</f>
        <v>6.2074465945095804E-4</v>
      </c>
      <c r="I20" s="1"/>
      <c r="J20" s="1"/>
      <c r="K20" s="1"/>
      <c r="L20" s="1"/>
      <c r="M20" s="1"/>
      <c r="N20" s="1"/>
    </row>
    <row r="21" spans="4:14" x14ac:dyDescent="0.3">
      <c r="D21">
        <v>1000</v>
      </c>
      <c r="E21" s="1" cm="1">
        <f t="array" ref="E21">(EXP(-(Tabella3397[Planck h]*Tabella49110[Frequency1])/(2*Tabella3397[Boltzmann k]*Tabella820100[[#This Row],[Temperatura]])))/(1-EXP(-(Tabella3397[Planck h]*Tabella49110[Frequency1])/(Tabella3397[Boltzmann k]*Tabella820100[[#This Row],[Temperatura]])))</f>
        <v>0.35047626998091513</v>
      </c>
      <c r="F21" s="1" cm="1">
        <f t="array" ref="F21">(EXP(-(Tabella3397[Planck h]*Tabella49110[Frequency2])/(2*Tabella3397[Boltzmann k]*Tabella820100[[#This Row],[Temperatura]])))/(1-EXP(-(Tabella3397[Planck h]*Tabella49110[Frequency2])/(Tabella3397[Boltzmann k]*Tabella820100[[#This Row],[Temperatura]])))</f>
        <v>6.4811364972247043E-2</v>
      </c>
      <c r="G21" s="1" cm="1">
        <f t="array" ref="G21">(EXP(-(Tabella3397[Planck h]*Tabella49110[Frequency3])/(2*Tabella3397[Boltzmann k]*Tabella820100[[#This Row],[Temperatura]])))/(1-EXP(-(Tabella3397[Planck h]*Tabella49110[Frequency3])/(Tabella3397[Boltzmann k]*Tabella820100[[#This Row],[Temperatura]])))</f>
        <v>5.932516673338694E-2</v>
      </c>
      <c r="H21" s="1">
        <f>PRODUCT(Tabella820100[[#This Row],[Qvib1]:[Qvib3]])</f>
        <v>1.3475619935165129E-3</v>
      </c>
      <c r="I21" s="1"/>
      <c r="J21" s="1"/>
      <c r="K21" s="1"/>
      <c r="L21" s="1"/>
      <c r="M21" s="1"/>
      <c r="N21" s="1"/>
    </row>
    <row r="22" spans="4:14" x14ac:dyDescent="0.3">
      <c r="D22">
        <v>1100</v>
      </c>
      <c r="E22" s="1" cm="1">
        <f t="array" ref="E22">(EXP(-(Tabella3397[Planck h]*Tabella49110[Frequency1])/(2*Tabella3397[Boltzmann k]*Tabella820100[[#This Row],[Temperatura]])))/(1-EXP(-(Tabella3397[Planck h]*Tabella49110[Frequency1])/(Tabella3397[Boltzmann k]*Tabella820100[[#This Row],[Temperatura]])))</f>
        <v>0.39952944114420913</v>
      </c>
      <c r="F22" s="1" cm="1">
        <f t="array" ref="F22">(EXP(-(Tabella3397[Planck h]*Tabella49110[Frequency2])/(2*Tabella3397[Boltzmann k]*Tabella820100[[#This Row],[Temperatura]])))/(1-EXP(-(Tabella3397[Planck h]*Tabella49110[Frequency2])/(Tabella3397[Boltzmann k]*Tabella820100[[#This Row],[Temperatura]])))</f>
        <v>8.3372453799545498E-2</v>
      </c>
      <c r="G22" s="1" cm="1">
        <f t="array" ref="G22">(EXP(-(Tabella3397[Planck h]*Tabella49110[Frequency3])/(2*Tabella3397[Boltzmann k]*Tabella820100[[#This Row],[Temperatura]])))/(1-EXP(-(Tabella3397[Planck h]*Tabella49110[Frequency3])/(Tabella3397[Boltzmann k]*Tabella820100[[#This Row],[Temperatura]])))</f>
        <v>7.6899975466279663E-2</v>
      </c>
      <c r="H22" s="1">
        <f>PRODUCT(Tabella820100[[#This Row],[Qvib1]:[Qvib3]])</f>
        <v>2.5615189480488196E-3</v>
      </c>
      <c r="I22" s="1"/>
      <c r="J22" s="1"/>
      <c r="K22" s="1"/>
      <c r="L22" s="1"/>
      <c r="M22" s="1"/>
      <c r="N22" s="1"/>
    </row>
    <row r="23" spans="4:14" x14ac:dyDescent="0.3">
      <c r="D23">
        <v>1200</v>
      </c>
      <c r="E23" s="1" cm="1">
        <f t="array" ref="E23">(EXP(-(Tabella3397[Planck h]*Tabella49110[Frequency1])/(2*Tabella3397[Boltzmann k]*Tabella820100[[#This Row],[Temperatura]])))/(1-EXP(-(Tabella3397[Planck h]*Tabella49110[Frequency1])/(Tabella3397[Boltzmann k]*Tabella820100[[#This Row],[Temperatura]])))</f>
        <v>0.44798694329362493</v>
      </c>
      <c r="F23" s="1" cm="1">
        <f t="array" ref="F23">(EXP(-(Tabella3397[Planck h]*Tabella49110[Frequency2])/(2*Tabella3397[Boltzmann k]*Tabella820100[[#This Row],[Temperatura]])))/(1-EXP(-(Tabella3397[Planck h]*Tabella49110[Frequency2])/(Tabella3397[Boltzmann k]*Tabella820100[[#This Row],[Temperatura]])))</f>
        <v>0.10297509778156774</v>
      </c>
      <c r="G23" s="1" cm="1">
        <f t="array" ref="G23">(EXP(-(Tabella3397[Planck h]*Tabella49110[Frequency3])/(2*Tabella3397[Boltzmann k]*Tabella820100[[#This Row],[Temperatura]])))/(1-EXP(-(Tabella3397[Planck h]*Tabella49110[Frequency3])/(Tabella3397[Boltzmann k]*Tabella820100[[#This Row],[Temperatura]])))</f>
        <v>9.5575354765707873E-2</v>
      </c>
      <c r="H23" s="1">
        <f>PRODUCT(Tabella820100[[#This Row],[Qvib1]:[Qvib3]])</f>
        <v>4.4090344105660881E-3</v>
      </c>
      <c r="I23" s="1"/>
      <c r="J23" s="1"/>
      <c r="K23" s="1"/>
      <c r="L23" s="1"/>
      <c r="M23" s="1"/>
      <c r="N23" s="1"/>
    </row>
    <row r="24" spans="4:14" x14ac:dyDescent="0.3">
      <c r="D24">
        <v>1300</v>
      </c>
      <c r="E24" s="1" cm="1">
        <f t="array" ref="E24">(EXP(-(Tabella3397[Planck h]*Tabella49110[Frequency1])/(2*Tabella3397[Boltzmann k]*Tabella820100[[#This Row],[Temperatura]])))/(1-EXP(-(Tabella3397[Planck h]*Tabella49110[Frequency1])/(Tabella3397[Boltzmann k]*Tabella820100[[#This Row],[Temperatura]])))</f>
        <v>0.49590346046040712</v>
      </c>
      <c r="F24" s="1" cm="1">
        <f t="array" ref="F24">(EXP(-(Tabella3397[Planck h]*Tabella49110[Frequency2])/(2*Tabella3397[Boltzmann k]*Tabella820100[[#This Row],[Temperatura]])))/(1-EXP(-(Tabella3397[Planck h]*Tabella49110[Frequency2])/(Tabella3397[Boltzmann k]*Tabella820100[[#This Row],[Temperatura]])))</f>
        <v>0.12329554894163947</v>
      </c>
      <c r="G24" s="1" cm="1">
        <f t="array" ref="G24">(EXP(-(Tabella3397[Planck h]*Tabella49110[Frequency3])/(2*Tabella3397[Boltzmann k]*Tabella820100[[#This Row],[Temperatura]])))/(1-EXP(-(Tabella3397[Planck h]*Tabella49110[Frequency3])/(Tabella3397[Boltzmann k]*Tabella820100[[#This Row],[Temperatura]])))</f>
        <v>0.1150280085042545</v>
      </c>
      <c r="H24" s="1">
        <f>PRODUCT(Tabella820100[[#This Row],[Qvib1]:[Qvib3]])</f>
        <v>7.0331217939209349E-3</v>
      </c>
      <c r="I24" s="1"/>
      <c r="J24" s="1"/>
      <c r="K24" s="1"/>
      <c r="L24" s="1"/>
      <c r="M24" s="1"/>
      <c r="N24" s="1"/>
    </row>
    <row r="25" spans="4:14" x14ac:dyDescent="0.3">
      <c r="D25">
        <v>1400</v>
      </c>
      <c r="E25" s="1" cm="1">
        <f t="array" ref="E25">(EXP(-(Tabella3397[Planck h]*Tabella49110[Frequency1])/(2*Tabella3397[Boltzmann k]*Tabella820100[[#This Row],[Temperatura]])))/(1-EXP(-(Tabella3397[Planck h]*Tabella49110[Frequency1])/(Tabella3397[Boltzmann k]*Tabella820100[[#This Row],[Temperatura]])))</f>
        <v>0.5433401722018768</v>
      </c>
      <c r="F25" s="1" cm="1">
        <f t="array" ref="F25">(EXP(-(Tabella3397[Planck h]*Tabella49110[Frequency2])/(2*Tabella3397[Boltzmann k]*Tabella820100[[#This Row],[Temperatura]])))/(1-EXP(-(Tabella3397[Planck h]*Tabella49110[Frequency2])/(Tabella3397[Boltzmann k]*Tabella820100[[#This Row],[Temperatura]])))</f>
        <v>0.14408962969630698</v>
      </c>
      <c r="G25" s="1" cm="1">
        <f t="array" ref="G25">(EXP(-(Tabella3397[Planck h]*Tabella49110[Frequency3])/(2*Tabella3397[Boltzmann k]*Tabella820100[[#This Row],[Temperatura]])))/(1-EXP(-(Tabella3397[Planck h]*Tabella49110[Frequency3])/(Tabella3397[Boltzmann k]*Tabella820100[[#This Row],[Temperatura]])))</f>
        <v>0.13500943357703404</v>
      </c>
      <c r="H25" s="1">
        <f>PRODUCT(Tabella820100[[#This Row],[Qvib1]:[Qvib3]])</f>
        <v>1.0569845920345955E-2</v>
      </c>
      <c r="I25" s="1"/>
      <c r="J25" s="1"/>
      <c r="K25" s="1"/>
      <c r="L25" s="1"/>
      <c r="M25" s="1"/>
      <c r="N25" s="1"/>
    </row>
    <row r="26" spans="4:14" x14ac:dyDescent="0.3">
      <c r="D26">
        <v>1500</v>
      </c>
      <c r="E26" s="1" cm="1">
        <f t="array" ref="E26">(EXP(-(Tabella3397[Planck h]*Tabella49110[Frequency1])/(2*Tabella3397[Boltzmann k]*Tabella820100[[#This Row],[Temperatura]])))/(1-EXP(-(Tabella3397[Planck h]*Tabella49110[Frequency1])/(Tabella3397[Boltzmann k]*Tabella820100[[#This Row],[Temperatura]])))</f>
        <v>0.59035608184444655</v>
      </c>
      <c r="F26" s="1" cm="1">
        <f t="array" ref="F26">(EXP(-(Tabella3397[Planck h]*Tabella49110[Frequency2])/(2*Tabella3397[Boltzmann k]*Tabella820100[[#This Row],[Temperatura]])))/(1-EXP(-(Tabella3397[Planck h]*Tabella49110[Frequency2])/(Tabella3397[Boltzmann k]*Tabella820100[[#This Row],[Temperatura]])))</f>
        <v>0.16517734532914202</v>
      </c>
      <c r="G26" s="1" cm="1">
        <f t="array" ref="G26">(EXP(-(Tabella3397[Planck h]*Tabella49110[Frequency3])/(2*Tabella3397[Boltzmann k]*Tabella820100[[#This Row],[Temperatura]])))/(1-EXP(-(Tabella3397[Planck h]*Tabella49110[Frequency3])/(Tabella3397[Boltzmann k]*Tabella820100[[#This Row],[Temperatura]])))</f>
        <v>0.15533322787570053</v>
      </c>
      <c r="H26" s="1">
        <f>PRODUCT(Tabella820100[[#This Row],[Qvib1]:[Qvib3]])</f>
        <v>1.5147079011615151E-2</v>
      </c>
      <c r="I26" s="1"/>
      <c r="J26" s="1"/>
      <c r="K26" s="1"/>
      <c r="L26" s="1"/>
      <c r="M26" s="1"/>
      <c r="N26" s="1"/>
    </row>
    <row r="27" spans="4:14" x14ac:dyDescent="0.3">
      <c r="D27">
        <v>1600</v>
      </c>
      <c r="E27" s="1" cm="1">
        <f t="array" ref="E27">(EXP(-(Tabella3397[Planck h]*Tabella49110[Frequency1])/(2*Tabella3397[Boltzmann k]*Tabella820100[[#This Row],[Temperatura]])))/(1-EXP(-(Tabella3397[Planck h]*Tabella49110[Frequency1])/(Tabella3397[Boltzmann k]*Tabella820100[[#This Row],[Temperatura]])))</f>
        <v>0.6370046424540855</v>
      </c>
      <c r="F27" s="1" cm="1">
        <f t="array" ref="F27">(EXP(-(Tabella3397[Planck h]*Tabella49110[Frequency2])/(2*Tabella3397[Boltzmann k]*Tabella820100[[#This Row],[Temperatura]])))/(1-EXP(-(Tabella3397[Planck h]*Tabella49110[Frequency2])/(Tabella3397[Boltzmann k]*Tabella820100[[#This Row],[Temperatura]])))</f>
        <v>0.18642832287443956</v>
      </c>
      <c r="G27" s="1" cm="1">
        <f t="array" ref="G27">(EXP(-(Tabella3397[Planck h]*Tabella49110[Frequency3])/(2*Tabella3397[Boltzmann k]*Tabella820100[[#This Row],[Temperatura]])))/(1-EXP(-(Tabella3397[Planck h]*Tabella49110[Frequency3])/(Tabella3397[Boltzmann k]*Tabella820100[[#This Row],[Temperatura]])))</f>
        <v>0.17586207986166483</v>
      </c>
      <c r="H27" s="1">
        <f>PRODUCT(Tabella820100[[#This Row],[Qvib1]:[Qvib3]])</f>
        <v>2.0884625655887664E-2</v>
      </c>
      <c r="I27" s="1"/>
      <c r="J27" s="1"/>
      <c r="K27" s="1"/>
      <c r="L27" s="1"/>
      <c r="M27" s="1"/>
      <c r="N27" s="1"/>
    </row>
    <row r="28" spans="4:14" x14ac:dyDescent="0.3">
      <c r="D28">
        <v>1700</v>
      </c>
      <c r="E28" s="1" cm="1">
        <f t="array" ref="E28">(EXP(-(Tabella3397[Planck h]*Tabella49110[Frequency1])/(2*Tabella3397[Boltzmann k]*Tabella820100[[#This Row],[Temperatura]])))/(1-EXP(-(Tabella3397[Planck h]*Tabella49110[Frequency1])/(Tabella3397[Boltzmann k]*Tabella820100[[#This Row],[Temperatura]])))</f>
        <v>0.68333282937196727</v>
      </c>
      <c r="F28" s="1" cm="1">
        <f t="array" ref="F28">(EXP(-(Tabella3397[Planck h]*Tabella49110[Frequency2])/(2*Tabella3397[Boltzmann k]*Tabella820100[[#This Row],[Temperatura]])))/(1-EXP(-(Tabella3397[Planck h]*Tabella49110[Frequency2])/(Tabella3397[Boltzmann k]*Tabella820100[[#This Row],[Temperatura]])))</f>
        <v>0.20774957319752152</v>
      </c>
      <c r="G28" s="1" cm="1">
        <f t="array" ref="G28">(EXP(-(Tabella3397[Planck h]*Tabella49110[Frequency3])/(2*Tabella3397[Boltzmann k]*Tabella820100[[#This Row],[Temperatura]])))/(1-EXP(-(Tabella3397[Planck h]*Tabella49110[Frequency3])/(Tabella3397[Boltzmann k]*Tabella820100[[#This Row],[Temperatura]])))</f>
        <v>0.19649634763470192</v>
      </c>
      <c r="H28" s="1">
        <f>PRODUCT(Tabella820100[[#This Row],[Qvib1]:[Qvib3]])</f>
        <v>2.7895034870526584E-2</v>
      </c>
      <c r="I28" s="1"/>
      <c r="J28" s="1"/>
      <c r="K28" s="1"/>
      <c r="L28" s="1"/>
      <c r="M28" s="1"/>
      <c r="N28" s="1"/>
    </row>
    <row r="29" spans="4:14" x14ac:dyDescent="0.3">
      <c r="D29">
        <v>1800</v>
      </c>
      <c r="E29" s="1" cm="1">
        <f t="array" ref="E29">(EXP(-(Tabella3397[Planck h]*Tabella49110[Frequency1])/(2*Tabella3397[Boltzmann k]*Tabella820100[[#This Row],[Temperatura]])))/(1-EXP(-(Tabella3397[Planck h]*Tabella49110[Frequency1])/(Tabella3397[Boltzmann k]*Tabella820100[[#This Row],[Temperatura]])))</f>
        <v>0.72938129700381482</v>
      </c>
      <c r="F29" s="1" cm="1">
        <f t="array" ref="F29">(EXP(-(Tabella3397[Planck h]*Tabella49110[Frequency2])/(2*Tabella3397[Boltzmann k]*Tabella820100[[#This Row],[Temperatura]])))/(1-EXP(-(Tabella3397[Planck h]*Tabella49110[Frequency2])/(Tabella3397[Boltzmann k]*Tabella820100[[#This Row],[Temperatura]])))</f>
        <v>0.22907580681373868</v>
      </c>
      <c r="G29" s="1" cm="1">
        <f t="array" ref="G29">(EXP(-(Tabella3397[Planck h]*Tabella49110[Frequency3])/(2*Tabella3397[Boltzmann k]*Tabella820100[[#This Row],[Temperatura]])))/(1-EXP(-(Tabella3397[Planck h]*Tabella49110[Frequency3])/(Tabella3397[Boltzmann k]*Tabella820100[[#This Row],[Temperatura]])))</f>
        <v>0.21716475218431833</v>
      </c>
      <c r="H29" s="1">
        <f>PRODUCT(Tabella820100[[#This Row],[Qvib1]:[Qvib3]])</f>
        <v>3.6284670561222712E-2</v>
      </c>
      <c r="I29" s="1"/>
      <c r="J29" s="1"/>
      <c r="K29" s="1"/>
      <c r="L29" s="1"/>
      <c r="M29" s="1"/>
      <c r="N29" s="1"/>
    </row>
    <row r="30" spans="4:14" x14ac:dyDescent="0.3">
      <c r="D30">
        <v>1900</v>
      </c>
      <c r="E30" s="1" cm="1">
        <f t="array" ref="E30">(EXP(-(Tabella3397[Planck h]*Tabella49110[Frequency1])/(2*Tabella3397[Boltzmann k]*Tabella820100[[#This Row],[Temperatura]])))/(1-EXP(-(Tabella3397[Planck h]*Tabella49110[Frequency1])/(Tabella3397[Boltzmann k]*Tabella820100[[#This Row],[Temperatura]])))</f>
        <v>0.77518497020114663</v>
      </c>
      <c r="F30" s="1" cm="1">
        <f t="array" ref="F30">(EXP(-(Tabella3397[Planck h]*Tabella49110[Frequency2])/(2*Tabella3397[Boltzmann k]*Tabella820100[[#This Row],[Temperatura]])))/(1-EXP(-(Tabella3397[Planck h]*Tabella49110[Frequency2])/(Tabella3397[Boltzmann k]*Tabella820100[[#This Row],[Temperatura]])))</f>
        <v>0.25036202860436696</v>
      </c>
      <c r="G30" s="1" cm="1">
        <f t="array" ref="G30">(EXP(-(Tabella3397[Planck h]*Tabella49110[Frequency3])/(2*Tabella3397[Boltzmann k]*Tabella820100[[#This Row],[Temperatura]])))/(1-EXP(-(Tabella3397[Planck h]*Tabella49110[Frequency3])/(Tabella3397[Boltzmann k]*Tabella820100[[#This Row],[Temperatura]])))</f>
        <v>0.23781710122631441</v>
      </c>
      <c r="H30" s="1">
        <f>PRODUCT(Tabella820100[[#This Row],[Qvib1]:[Qvib3]])</f>
        <v>4.6154801416935037E-2</v>
      </c>
      <c r="I30" s="1"/>
      <c r="J30" s="1"/>
      <c r="K30" s="1"/>
      <c r="L30" s="1"/>
      <c r="M30" s="1"/>
      <c r="N30" s="1"/>
    </row>
    <row r="31" spans="4:14" x14ac:dyDescent="0.3">
      <c r="D31">
        <v>2000</v>
      </c>
      <c r="E31" s="1" cm="1">
        <f t="array" ref="E31">(EXP(-(Tabella3397[Planck h]*Tabella49110[Frequency1])/(2*Tabella3397[Boltzmann k]*Tabella820100[[#This Row],[Temperatura]])))/(1-EXP(-(Tabella3397[Planck h]*Tabella49110[Frequency1])/(Tabella3397[Boltzmann k]*Tabella820100[[#This Row],[Temperatura]])))</f>
        <v>0.82077376503112254</v>
      </c>
      <c r="F31" s="1" cm="1">
        <f t="array" ref="F31">(EXP(-(Tabella3397[Planck h]*Tabella49110[Frequency2])/(2*Tabella3397[Boltzmann k]*Tabella820100[[#This Row],[Temperatura]])))/(1-EXP(-(Tabella3397[Planck h]*Tabella49110[Frequency2])/(Tabella3397[Boltzmann k]*Tabella820100[[#This Row],[Temperatura]])))</f>
        <v>0.27157799047130876</v>
      </c>
      <c r="G31" s="1" cm="1">
        <f t="array" ref="G31">(EXP(-(Tabella3397[Planck h]*Tabella49110[Frequency3])/(2*Tabella3397[Boltzmann k]*Tabella820100[[#This Row],[Temperatura]])))/(1-EXP(-(Tabella3397[Planck h]*Tabella49110[Frequency3])/(Tabella3397[Boltzmann k]*Tabella820100[[#This Row],[Temperatura]])))</f>
        <v>0.25841873973851265</v>
      </c>
      <c r="H31" s="1">
        <f>PRODUCT(Tabella820100[[#This Row],[Qvib1]:[Qvib3]])</f>
        <v>5.7602593952840973E-2</v>
      </c>
      <c r="I31" s="1"/>
      <c r="J31" s="1"/>
      <c r="K31" s="1"/>
      <c r="L31" s="1"/>
      <c r="M31" s="1"/>
      <c r="N31" s="1"/>
    </row>
    <row r="37" spans="1:11" x14ac:dyDescent="0.3">
      <c r="A37" t="s">
        <v>4</v>
      </c>
      <c r="B37" t="s">
        <v>19</v>
      </c>
      <c r="C37" t="s">
        <v>5</v>
      </c>
      <c r="D37" t="s">
        <v>6</v>
      </c>
      <c r="E37" t="s">
        <v>7</v>
      </c>
      <c r="F37" t="s">
        <v>8</v>
      </c>
    </row>
    <row r="38" spans="1:11" x14ac:dyDescent="0.3">
      <c r="A38">
        <v>298</v>
      </c>
      <c r="B38" s="1" cm="1">
        <f t="array" ref="B38">(Tabella3397[Boltzmann k]*Tabella51898[[#This Row],[Temperatura]])/101325</f>
        <v>4.0605319713792254E-26</v>
      </c>
      <c r="C38" s="1" cm="1">
        <f t="array" ref="C38">POWER((2*Tabella3397[Pi Greco]*Tabella3397[Massa]*Tabella3397[Boltzmann k]*Tabella51898[[#This Row],[Temperatura]])/(POWER(Tabella3397[Planck h],2)),1.5)*Tabella51898[[#This Row],[Volume]]</f>
        <v>3001780.6884724037</v>
      </c>
      <c r="D38" s="1">
        <f t="shared" ref="D38:D55" si="0">H14</f>
        <v>1.5985894747668009E-10</v>
      </c>
      <c r="E38" s="1" cm="1">
        <f t="array" ref="E38">(8*POWER(Tabella3397[Pi Greco],2)*POWER(2*Tabella3397[Pi Greco]*Tabella3397[Boltzmann k]*Tabella51898[[#This Row],[Temperatura]],1.5)*Tabella1118[Total Moment of Inertia])/(Tabella61999[Simmetry Number]*POWER(Tabella3397[Planck h],3))</f>
        <v>43.604478404705191</v>
      </c>
      <c r="F38">
        <f>1</f>
        <v>1</v>
      </c>
    </row>
    <row r="39" spans="1:11" x14ac:dyDescent="0.3">
      <c r="A39">
        <v>400</v>
      </c>
      <c r="B39" s="1" cm="1">
        <f t="array" ref="B39">(Tabella3397[Boltzmann k]*Tabella51898[[#This Row],[Temperatura]])/101325</f>
        <v>5.4503784850727862E-26</v>
      </c>
      <c r="C39" s="1" cm="1">
        <f t="array" ref="C39">POWER((2*Tabella3397[Pi Greco]*Tabella3397[Massa]*Tabella3397[Boltzmann k]*Tabella51898[[#This Row],[Temperatura]])/(POWER(Tabella3397[Planck h],2)),1.5)*Tabella51898[[#This Row],[Volume]]</f>
        <v>6265969.5120988935</v>
      </c>
      <c r="D39" s="1">
        <f t="shared" si="0"/>
        <v>5.046676480992032E-8</v>
      </c>
      <c r="E39" s="1" cm="1">
        <f t="array" ref="E39">(8*POWER(Tabella3397[Pi Greco],2)*POWER(2*Tabella3397[Pi Greco]*Tabella3397[Boltzmann k]*Tabella51898[[#This Row],[Temperatura]],1.5)*Tabella1118[Total Moment of Inertia])/(Tabella61999[Simmetry Number]*POWER(Tabella3397[Planck h],3))</f>
        <v>67.810459413795002</v>
      </c>
      <c r="F39">
        <f>1</f>
        <v>1</v>
      </c>
      <c r="H39" t="s">
        <v>71</v>
      </c>
      <c r="I39" t="s">
        <v>72</v>
      </c>
      <c r="J39" t="s">
        <v>73</v>
      </c>
      <c r="K39" s="16" t="s">
        <v>74</v>
      </c>
    </row>
    <row r="40" spans="1:11" x14ac:dyDescent="0.3">
      <c r="A40">
        <v>500</v>
      </c>
      <c r="B40" s="1" cm="1">
        <f t="array" ref="B40">(Tabella3397[Boltzmann k]*Tabella51898[[#This Row],[Temperatura]])/101325</f>
        <v>6.8129731063409828E-26</v>
      </c>
      <c r="C40" s="1" cm="1">
        <f t="array" ref="C40">POWER((2*Tabella3397[Pi Greco]*Tabella3397[Massa]*Tabella3397[Boltzmann k]*Tabella51898[[#This Row],[Temperatura]])/(POWER(Tabella3397[Planck h],2)),1.5)*Tabella51898[[#This Row],[Volume]]</f>
        <v>10946198.260933122</v>
      </c>
      <c r="D40" s="1">
        <f t="shared" si="0"/>
        <v>1.4643878398643956E-6</v>
      </c>
      <c r="E40" s="1" cm="1">
        <f t="array" ref="E40">(8*POWER(Tabella3397[Pi Greco],2)*POWER(2*Tabella3397[Pi Greco]*Tabella3397[Boltzmann k]*Tabella51898[[#This Row],[Temperatura]],1.5)*Tabella1118[Total Moment of Inertia])/(Tabella61999[Simmetry Number]*POWER(Tabella3397[Planck h],3))</f>
        <v>94.767998021709317</v>
      </c>
      <c r="F40">
        <f>1</f>
        <v>1</v>
      </c>
      <c r="H40" t="s">
        <v>5</v>
      </c>
      <c r="I40" s="1">
        <f>C38</f>
        <v>3001780.6884724037</v>
      </c>
      <c r="J40" s="1">
        <f>3004320</f>
        <v>3004320</v>
      </c>
      <c r="K40" s="17">
        <f>ABS(Tabella20113[[#This Row],[My value]]-Tabella20113[[#This Row],[Gaussian]])/Tabella20113[[#This Row],[Gaussian]]</f>
        <v>8.4522005898050835E-4</v>
      </c>
    </row>
    <row r="41" spans="1:11" x14ac:dyDescent="0.3">
      <c r="A41">
        <v>600</v>
      </c>
      <c r="B41" s="1" cm="1">
        <f t="array" ref="B41">(Tabella3397[Boltzmann k]*Tabella51898[[#This Row],[Temperatura]])/101325</f>
        <v>8.1755677276091782E-26</v>
      </c>
      <c r="C41" s="1" cm="1">
        <f t="array" ref="C41">POWER((2*Tabella3397[Pi Greco]*Tabella3397[Massa]*Tabella3397[Boltzmann k]*Tabella51898[[#This Row],[Temperatura]])/(POWER(Tabella3397[Planck h],2)),1.5)*Tabella51898[[#This Row],[Volume]]</f>
        <v>17266981.554538038</v>
      </c>
      <c r="D41" s="1">
        <f t="shared" si="0"/>
        <v>1.3928480676607449E-5</v>
      </c>
      <c r="E41" s="1" cm="1">
        <f t="array" ref="E41">(8*POWER(Tabella3397[Pi Greco],2)*POWER(2*Tabella3397[Pi Greco]*Tabella3397[Boltzmann k]*Tabella51898[[#This Row],[Temperatura]],1.5)*Tabella1118[Total Moment of Inertia])/(Tabella61999[Simmetry Number]*POWER(Tabella3397[Planck h],3))</f>
        <v>124.57576859062863</v>
      </c>
      <c r="F41">
        <f>1</f>
        <v>1</v>
      </c>
      <c r="H41" t="s">
        <v>6</v>
      </c>
      <c r="I41">
        <f>D38</f>
        <v>1.5985894747668009E-10</v>
      </c>
      <c r="J41" s="1">
        <f>0.000000000161695</f>
        <v>1.61695E-10</v>
      </c>
      <c r="K41" s="15">
        <f>ABS(Tabella20113[[#This Row],[My value]]-Tabella20113[[#This Row],[Gaussian]])/Tabella20113[[#This Row],[Gaussian]]</f>
        <v>1.1355035859611682E-2</v>
      </c>
    </row>
    <row r="42" spans="1:11" x14ac:dyDescent="0.3">
      <c r="A42">
        <v>700</v>
      </c>
      <c r="B42" s="1" cm="1">
        <f t="array" ref="B42">(Tabella3397[Boltzmann k]*Tabella51898[[#This Row],[Temperatura]])/101325</f>
        <v>9.5381623488773759E-26</v>
      </c>
      <c r="C42" s="1" cm="1">
        <f t="array" ref="C42">POWER((2*Tabella3397[Pi Greco]*Tabella3397[Massa]*Tabella3397[Boltzmann k]*Tabella51898[[#This Row],[Temperatura]])/(POWER(Tabella3397[Planck h],2)),1.5)*Tabella51898[[#This Row],[Volume]]</f>
        <v>25385364.235456251</v>
      </c>
      <c r="D42" s="1">
        <f t="shared" si="0"/>
        <v>7.0180525320407382E-5</v>
      </c>
      <c r="E42" s="1" cm="1">
        <f t="array" ref="E42">(8*POWER(Tabella3397[Pi Greco],2)*POWER(2*Tabella3397[Pi Greco]*Tabella3397[Boltzmann k]*Tabella51898[[#This Row],[Temperatura]],1.5)*Tabella1118[Total Moment of Inertia])/(Tabella61999[Simmetry Number]*POWER(Tabella3397[Planck h],3))</f>
        <v>156.98341041069682</v>
      </c>
      <c r="F42">
        <f>1</f>
        <v>1</v>
      </c>
      <c r="H42" t="s">
        <v>7</v>
      </c>
      <c r="I42" s="1">
        <f>E38</f>
        <v>43.604478404705191</v>
      </c>
      <c r="J42" s="1">
        <f>43.6375</f>
        <v>43.637500000000003</v>
      </c>
      <c r="K42" s="17">
        <f>ABS(Tabella20113[[#This Row],[My value]]-Tabella20113[[#This Row],[Gaussian]])/Tabella20113[[#This Row],[Gaussian]]</f>
        <v>7.5672518578773532E-4</v>
      </c>
    </row>
    <row r="43" spans="1:11" x14ac:dyDescent="0.3">
      <c r="A43">
        <v>800</v>
      </c>
      <c r="B43" s="1" cm="1">
        <f t="array" ref="B43">(Tabella3397[Boltzmann k]*Tabella51898[[#This Row],[Temperatura]])/101325</f>
        <v>1.0900756970145572E-25</v>
      </c>
      <c r="C43" s="1" cm="1">
        <f t="array" ref="C43">POWER((2*Tabella3397[Pi Greco]*Tabella3397[Massa]*Tabella3397[Boltzmann k]*Tabella51898[[#This Row],[Temperatura]])/(POWER(Tabella3397[Planck h],2)),1.5)*Tabella51898[[#This Row],[Volume]]</f>
        <v>35445676.261706412</v>
      </c>
      <c r="D43" s="1">
        <f t="shared" si="0"/>
        <v>2.3804157949120958E-4</v>
      </c>
      <c r="E43" s="1" cm="1">
        <f t="array" ref="E43">(8*POWER(Tabella3397[Pi Greco],2)*POWER(2*Tabella3397[Pi Greco]*Tabella3397[Boltzmann k]*Tabella51898[[#This Row],[Temperatura]],1.5)*Tabella1118[Total Moment of Inertia])/(Tabella61999[Simmetry Number]*POWER(Tabella3397[Planck h],3))</f>
        <v>191.79694274747627</v>
      </c>
      <c r="F43">
        <f>1</f>
        <v>1</v>
      </c>
      <c r="H43" t="s">
        <v>8</v>
      </c>
      <c r="I43">
        <f>F38</f>
        <v>1</v>
      </c>
      <c r="J43">
        <v>1</v>
      </c>
      <c r="K43" s="15">
        <f>ABS(Tabella20113[[#This Row],[My value]]-Tabella20113[[#This Row],[Gaussian]])/Tabella20113[[#This Row],[Gaussian]]</f>
        <v>0</v>
      </c>
    </row>
    <row r="44" spans="1:11" x14ac:dyDescent="0.3">
      <c r="A44">
        <v>900</v>
      </c>
      <c r="B44" s="1" cm="1">
        <f t="array" ref="B44">(Tabella3397[Boltzmann k]*Tabella51898[[#This Row],[Temperatura]])/101325</f>
        <v>1.2263351591413768E-25</v>
      </c>
      <c r="C44" s="1" cm="1">
        <f t="array" ref="C44">POWER((2*Tabella3397[Pi Greco]*Tabella3397[Massa]*Tabella3397[Boltzmann k]*Tabella51898[[#This Row],[Temperatura]])/(POWER(Tabella3397[Planck h],2)),1.5)*Tabella51898[[#This Row],[Volume]]</f>
        <v>47582205.982501037</v>
      </c>
      <c r="D44" s="1">
        <f t="shared" si="0"/>
        <v>6.2074465945095804E-4</v>
      </c>
      <c r="E44" s="1" cm="1">
        <f t="array" ref="E44">(8*POWER(Tabella3397[Pi Greco],2)*POWER(2*Tabella3397[Pi Greco]*Tabella3397[Boltzmann k]*Tabella51898[[#This Row],[Temperatura]],1.5)*Tabella1118[Total Moment of Inertia])/(Tabella61999[Simmetry Number]*POWER(Tabella3397[Planck h],3))</f>
        <v>228.86030052155525</v>
      </c>
      <c r="F44">
        <f>1</f>
        <v>1</v>
      </c>
    </row>
    <row r="45" spans="1:11" x14ac:dyDescent="0.3">
      <c r="A45">
        <v>1000</v>
      </c>
      <c r="B45" s="1" cm="1">
        <f t="array" ref="B45">(Tabella3397[Boltzmann k]*Tabella51898[[#This Row],[Temperatura]])/101325</f>
        <v>1.3625946212681966E-25</v>
      </c>
      <c r="C45" s="1" cm="1">
        <f t="array" ref="C45">POWER((2*Tabella3397[Pi Greco]*Tabella3397[Massa]*Tabella3397[Boltzmann k]*Tabella51898[[#This Row],[Temperatura]])/(POWER(Tabella3397[Planck h],2)),1.5)*Tabella51898[[#This Row],[Volume]]</f>
        <v>61921048.14814581</v>
      </c>
      <c r="D45" s="1">
        <f t="shared" si="0"/>
        <v>1.3475619935165129E-3</v>
      </c>
      <c r="E45" s="1" cm="1">
        <f t="array" ref="E45">(8*POWER(Tabella3397[Pi Greco],2)*POWER(2*Tabella3397[Pi Greco]*Tabella3397[Boltzmann k]*Tabella51898[[#This Row],[Temperatura]],1.5)*Tabella1118[Total Moment of Inertia])/(Tabella61999[Simmetry Number]*POWER(Tabella3397[Planck h],3))</f>
        <v>268.04437616249282</v>
      </c>
      <c r="F45">
        <f>1</f>
        <v>1</v>
      </c>
    </row>
    <row r="46" spans="1:11" x14ac:dyDescent="0.3">
      <c r="A46">
        <v>1100</v>
      </c>
      <c r="B46" s="1" cm="1">
        <f t="array" ref="B46">(Tabella3397[Boltzmann k]*Tabella51898[[#This Row],[Temperatura]])/101325</f>
        <v>1.4988540833950161E-25</v>
      </c>
      <c r="C46" s="1" cm="1">
        <f t="array" ref="C46">POWER((2*Tabella3397[Pi Greco]*Tabella3397[Massa]*Tabella3397[Boltzmann k]*Tabella51898[[#This Row],[Temperatura]])/(POWER(Tabella3397[Planck h],2)),1.5)*Tabella51898[[#This Row],[Volume]]</f>
        <v>78581445.254751191</v>
      </c>
      <c r="D46" s="1">
        <f t="shared" si="0"/>
        <v>2.5615189480488196E-3</v>
      </c>
      <c r="E46" s="1" cm="1">
        <f t="array" ref="E46">(8*POWER(Tabella3397[Pi Greco],2)*POWER(2*Tabella3397[Pi Greco]*Tabella3397[Boltzmann k]*Tabella51898[[#This Row],[Temperatura]],1.5)*Tabella1118[Total Moment of Inertia])/(Tabella61999[Simmetry Number]*POWER(Tabella3397[Planck h],3))</f>
        <v>309.24004476362012</v>
      </c>
      <c r="F46">
        <f>1</f>
        <v>1</v>
      </c>
    </row>
    <row r="47" spans="1:11" x14ac:dyDescent="0.3">
      <c r="A47">
        <v>1200</v>
      </c>
      <c r="B47" s="1" cm="1">
        <f t="array" ref="B47">(Tabella3397[Boltzmann k]*Tabella51898[[#This Row],[Temperatura]])/101325</f>
        <v>1.6351135455218356E-25</v>
      </c>
      <c r="C47" s="1" cm="1">
        <f t="array" ref="C47">POWER((2*Tabella3397[Pi Greco]*Tabella3397[Massa]*Tabella3397[Boltzmann k]*Tabella51898[[#This Row],[Temperatura]])/(POWER(Tabella3397[Planck h],2)),1.5)*Tabella51898[[#This Row],[Volume]]</f>
        <v>97676797.982695296</v>
      </c>
      <c r="D47" s="1">
        <f t="shared" si="0"/>
        <v>4.4090344105660881E-3</v>
      </c>
      <c r="E47" s="1" cm="1">
        <f t="array" ref="E47">(8*POWER(Tabella3397[Pi Greco],2)*POWER(2*Tabella3397[Pi Greco]*Tabella3397[Boltzmann k]*Tabella51898[[#This Row],[Temperatura]],1.5)*Tabella1118[Total Moment of Inertia])/(Tabella61999[Simmetry Number]*POWER(Tabella3397[Planck h],3))</f>
        <v>352.35348296783945</v>
      </c>
      <c r="F47">
        <f>1</f>
        <v>1</v>
      </c>
    </row>
    <row r="48" spans="1:11" x14ac:dyDescent="0.3">
      <c r="A48">
        <v>1300</v>
      </c>
      <c r="B48" s="1" cm="1">
        <f t="array" ref="B48">(Tabella3397[Boltzmann k]*Tabella51898[[#This Row],[Temperatura]])/101325</f>
        <v>1.7713730076486554E-25</v>
      </c>
      <c r="C48" s="1" cm="1">
        <f t="array" ref="C48">POWER((2*Tabella3397[Pi Greco]*Tabella3397[Massa]*Tabella3397[Boltzmann k]*Tabella51898[[#This Row],[Temperatura]])/(POWER(Tabella3397[Planck h],2)),1.5)*Tabella51898[[#This Row],[Volume]]</f>
        <v>119315448.99737346</v>
      </c>
      <c r="D48" s="1">
        <f t="shared" si="0"/>
        <v>7.0331217939209349E-3</v>
      </c>
      <c r="E48" s="1" cm="1">
        <f t="array" ref="E48">(8*POWER(Tabella3397[Pi Greco],2)*POWER(2*Tabella3397[Pi Greco]*Tabella3397[Boltzmann k]*Tabella51898[[#This Row],[Temperatura]],1.5)*Tabella1118[Total Moment of Inertia])/(Tabella61999[Simmetry Number]*POWER(Tabella3397[Planck h],3))</f>
        <v>397.30289369745577</v>
      </c>
      <c r="F48">
        <f>1</f>
        <v>1</v>
      </c>
    </row>
    <row r="49" spans="1:16" x14ac:dyDescent="0.3">
      <c r="A49">
        <v>1400</v>
      </c>
      <c r="B49" s="1" cm="1">
        <f t="array" ref="B49">(Tabella3397[Boltzmann k]*Tabella51898[[#This Row],[Temperatura]])/101325</f>
        <v>1.9076324697754752E-25</v>
      </c>
      <c r="C49" s="1" cm="1">
        <f t="array" ref="C49">POWER((2*Tabella3397[Pi Greco]*Tabella3397[Massa]*Tabella3397[Boltzmann k]*Tabella51898[[#This Row],[Temperatura]])/(POWER(Tabella3397[Planck h],2)),1.5)*Tabella51898[[#This Row],[Volume]]</f>
        <v>143601305.55025297</v>
      </c>
      <c r="D49" s="1">
        <f t="shared" si="0"/>
        <v>1.0569845920345955E-2</v>
      </c>
      <c r="E49" s="1" cm="1">
        <f t="array" ref="E49">(8*POWER(Tabella3397[Pi Greco],2)*POWER(2*Tabella3397[Pi Greco]*Tabella3397[Boltzmann k]*Tabella51898[[#This Row],[Temperatura]],1.5)*Tabella1118[Total Moment of Inertia])/(Tabella61999[Simmetry Number]*POWER(Tabella3397[Planck h],3))</f>
        <v>444.01613614077957</v>
      </c>
      <c r="F49">
        <f>1</f>
        <v>1</v>
      </c>
    </row>
    <row r="50" spans="1:16" x14ac:dyDescent="0.3">
      <c r="A50">
        <v>1500</v>
      </c>
      <c r="B50" s="1" cm="1">
        <f t="array" ref="B50">(Tabella3397[Boltzmann k]*Tabella51898[[#This Row],[Temperatura]])/101325</f>
        <v>2.0438919319022949E-25</v>
      </c>
      <c r="C50" s="1" cm="1">
        <f t="array" ref="C50">POWER((2*Tabella3397[Pi Greco]*Tabella3397[Massa]*Tabella3397[Boltzmann k]*Tabella51898[[#This Row],[Temperatura]])/(POWER(Tabella3397[Planck h],2)),1.5)*Tabella51898[[#This Row],[Volume]]</f>
        <v>170634343.83892369</v>
      </c>
      <c r="D50" s="1">
        <f t="shared" si="0"/>
        <v>1.5147079011615151E-2</v>
      </c>
      <c r="E50" s="1" cm="1">
        <f t="array" ref="E50">(8*POWER(Tabella3397[Pi Greco],2)*POWER(2*Tabella3397[Pi Greco]*Tabella3397[Boltzmann k]*Tabella51898[[#This Row],[Temperatura]],1.5)*Tabella1118[Total Moment of Inertia])/(Tabella61999[Simmetry Number]*POWER(Tabella3397[Planck h],3))</f>
        <v>492.42896251556033</v>
      </c>
      <c r="F50">
        <f>1</f>
        <v>1</v>
      </c>
    </row>
    <row r="51" spans="1:16" x14ac:dyDescent="0.3">
      <c r="A51">
        <v>1600</v>
      </c>
      <c r="B51" s="1" cm="1">
        <f t="array" ref="B51">(Tabella3397[Boltzmann k]*Tabella51898[[#This Row],[Temperatura]])/101325</f>
        <v>2.1801513940291145E-25</v>
      </c>
      <c r="C51" s="1" cm="1">
        <f t="array" ref="C51">POWER((2*Tabella3397[Pi Greco]*Tabella3397[Massa]*Tabella3397[Boltzmann k]*Tabella51898[[#This Row],[Temperatura]])/(POWER(Tabella3397[Planck h],2)),1.5)*Tabella51898[[#This Row],[Volume]]</f>
        <v>200511024.3871657</v>
      </c>
      <c r="D51" s="1">
        <f t="shared" si="0"/>
        <v>2.0884625655887664E-2</v>
      </c>
      <c r="E51" s="1" cm="1">
        <f t="array" ref="E51">(8*POWER(Tabella3397[Pi Greco],2)*POWER(2*Tabella3397[Pi Greco]*Tabella3397[Boltzmann k]*Tabella51898[[#This Row],[Temperatura]],1.5)*Tabella1118[Total Moment of Inertia])/(Tabella61999[Simmetry Number]*POWER(Tabella3397[Planck h],3))</f>
        <v>542.48367531035535</v>
      </c>
      <c r="F51">
        <f>1</f>
        <v>1</v>
      </c>
    </row>
    <row r="52" spans="1:16" x14ac:dyDescent="0.3">
      <c r="A52">
        <v>1700</v>
      </c>
      <c r="B52" s="1" cm="1">
        <f t="array" ref="B52">(Tabella3397[Boltzmann k]*Tabella51898[[#This Row],[Temperatura]])/101325</f>
        <v>2.316410856155934E-25</v>
      </c>
      <c r="C52" s="1" cm="1">
        <f t="array" ref="C52">POWER((2*Tabella3397[Pi Greco]*Tabella3397[Massa]*Tabella3397[Boltzmann k]*Tabella51898[[#This Row],[Temperatura]])/(POWER(Tabella3397[Planck h],2)),1.5)*Tabella51898[[#This Row],[Volume]]</f>
        <v>233324638.99959299</v>
      </c>
      <c r="D52" s="1">
        <f t="shared" si="0"/>
        <v>2.7895034870526584E-2</v>
      </c>
      <c r="E52" s="1" cm="1">
        <f t="array" ref="E52">(8*POWER(Tabella3397[Pi Greco],2)*POWER(2*Tabella3397[Pi Greco]*Tabella3397[Boltzmann k]*Tabella51898[[#This Row],[Temperatura]],1.5)*Tabella1118[Total Moment of Inertia])/(Tabella61999[Simmetry Number]*POWER(Tabella3397[Planck h],3))</f>
        <v>594.1280842050636</v>
      </c>
      <c r="F52">
        <f>1</f>
        <v>1</v>
      </c>
    </row>
    <row r="53" spans="1:16" x14ac:dyDescent="0.3">
      <c r="A53">
        <v>1800</v>
      </c>
      <c r="B53" s="1" cm="1">
        <f t="array" ref="B53">(Tabella3397[Boltzmann k]*Tabella51898[[#This Row],[Temperatura]])/101325</f>
        <v>2.4526703182827536E-25</v>
      </c>
      <c r="C53" s="1" cm="1">
        <f t="array" ref="C53">POWER((2*Tabella3397[Pi Greco]*Tabella3397[Massa]*Tabella3397[Boltzmann k]*Tabella51898[[#This Row],[Temperatura]])/(POWER(Tabella3397[Planck h],2)),1.5)*Tabella51898[[#This Row],[Volume]]</f>
        <v>269165604.11233348</v>
      </c>
      <c r="D53" s="1">
        <f t="shared" si="0"/>
        <v>3.6284670561222712E-2</v>
      </c>
      <c r="E53" s="1" cm="1">
        <f t="array" ref="E53">(8*POWER(Tabella3397[Pi Greco],2)*POWER(2*Tabella3397[Pi Greco]*Tabella3397[Boltzmann k]*Tabella51898[[#This Row],[Temperatura]],1.5)*Tabella1118[Total Moment of Inertia])/(Tabella61999[Simmetry Number]*POWER(Tabella3397[Planck h],3))</f>
        <v>647.31468177273348</v>
      </c>
      <c r="F53">
        <f>1</f>
        <v>1</v>
      </c>
    </row>
    <row r="54" spans="1:16" x14ac:dyDescent="0.3">
      <c r="A54">
        <v>1900</v>
      </c>
      <c r="B54" s="1" cm="1">
        <f t="array" ref="B54">(Tabella3397[Boltzmann k]*Tabella51898[[#This Row],[Temperatura]])/101325</f>
        <v>2.5889297804095731E-25</v>
      </c>
      <c r="C54" s="1" cm="1">
        <f t="array" ref="C54">POWER((2*Tabella3397[Pi Greco]*Tabella3397[Massa]*Tabella3397[Boltzmann k]*Tabella51898[[#This Row],[Temperatura]])/(POWER(Tabella3397[Planck h],2)),1.5)*Tabella51898[[#This Row],[Volume]]</f>
        <v>308121711.47009856</v>
      </c>
      <c r="D54" s="1">
        <f t="shared" si="0"/>
        <v>4.6154801416935037E-2</v>
      </c>
      <c r="E54" s="1" cm="1">
        <f t="array" ref="E54">(8*POWER(Tabella3397[Pi Greco],2)*POWER(2*Tabella3397[Pi Greco]*Tabella3397[Boltzmann k]*Tabella51898[[#This Row],[Temperatura]],1.5)*Tabella1118[Total Moment of Inertia])/(Tabella61999[Simmetry Number]*POWER(Tabella3397[Planck h],3))</f>
        <v>701.9999822620174</v>
      </c>
      <c r="F54">
        <f>1</f>
        <v>1</v>
      </c>
    </row>
    <row r="55" spans="1:16" x14ac:dyDescent="0.3">
      <c r="A55">
        <v>2000</v>
      </c>
      <c r="B55" s="1" cm="1">
        <f t="array" ref="B55">(Tabella3397[Boltzmann k]*Tabella51898[[#This Row],[Temperatura]])/101325</f>
        <v>2.7251892425363931E-25</v>
      </c>
      <c r="C55" s="1" cm="1">
        <f t="array" ref="C55">POWER((2*Tabella3397[Pi Greco]*Tabella3397[Massa]*Tabella3397[Boltzmann k]*Tabella51898[[#This Row],[Temperatura]])/(POWER(Tabella3397[Planck h],2)),1.5)*Tabella51898[[#This Row],[Volume]]</f>
        <v>350278344.34985685</v>
      </c>
      <c r="D55" s="1">
        <f t="shared" si="0"/>
        <v>5.7602593952840973E-2</v>
      </c>
      <c r="E55" s="1" cm="1">
        <f t="array" ref="E55">(8*POWER(Tabella3397[Pi Greco],2)*POWER(2*Tabella3397[Pi Greco]*Tabella3397[Boltzmann k]*Tabella51898[[#This Row],[Temperatura]],1.5)*Tabella1118[Total Moment of Inertia])/(Tabella61999[Simmetry Number]*POWER(Tabella3397[Planck h],3))</f>
        <v>758.14398417366795</v>
      </c>
      <c r="F55">
        <f>1</f>
        <v>1</v>
      </c>
    </row>
    <row r="61" spans="1:16" x14ac:dyDescent="0.3">
      <c r="F61" t="s">
        <v>94</v>
      </c>
      <c r="G61" t="s">
        <v>95</v>
      </c>
      <c r="H61" t="s">
        <v>96</v>
      </c>
    </row>
    <row r="62" spans="1:16" x14ac:dyDescent="0.3">
      <c r="F62" s="23">
        <f>39.93428</f>
        <v>39.934280000000001</v>
      </c>
      <c r="G62" s="23">
        <f>20.32347</f>
        <v>20.32347</v>
      </c>
      <c r="H62" s="23">
        <f>13.46886</f>
        <v>13.468859999999999</v>
      </c>
    </row>
    <row r="64" spans="1:16" x14ac:dyDescent="0.3">
      <c r="A64" s="5" t="s">
        <v>4</v>
      </c>
      <c r="B64" s="5" t="s">
        <v>22</v>
      </c>
      <c r="C64" s="5" t="s">
        <v>19</v>
      </c>
      <c r="D64" s="5" t="s">
        <v>24</v>
      </c>
      <c r="J64" t="s">
        <v>70</v>
      </c>
      <c r="K64" t="s">
        <v>23</v>
      </c>
      <c r="N64" t="s">
        <v>35</v>
      </c>
      <c r="O64" t="s">
        <v>36</v>
      </c>
      <c r="P64" t="s">
        <v>37</v>
      </c>
    </row>
    <row r="65" spans="1:17" x14ac:dyDescent="0.3">
      <c r="A65" s="3">
        <v>298</v>
      </c>
      <c r="B65" cm="1">
        <f t="array" ref="B65">POWER((2*Tabella3397[Pi Greco]*Tabella3397[Massa]*Tabella3397[Boltzmann k]*Tabella122101[[#This Row],[Temperatura]])/(POWER(Tabella3397[Planck h],2)),1.5)</f>
        <v>7.3925798630094275E+31</v>
      </c>
      <c r="C65" s="1" cm="1">
        <f t="array" ref="C65">(Tabella122101[[#This Row],[Temperatura]]*Tabella3397[Rydberg R])/101325</f>
        <v>2.4453093274117942E-2</v>
      </c>
      <c r="D65" s="1" cm="1">
        <f t="array" ref="D65">Tabella3397[Rydberg R]*LN((Tabella122101[[#This Row],[Volume]]/Tabella3397[Avogadro N])*EXP(2.5)*Tabella122101[[#This Row],[Translational Factor]])</f>
        <v>144.79399541361065</v>
      </c>
      <c r="F65" s="5" t="s">
        <v>4</v>
      </c>
      <c r="G65" s="5" t="s">
        <v>44</v>
      </c>
      <c r="H65" s="5" t="s">
        <v>93</v>
      </c>
      <c r="J65" s="2">
        <f>B14</f>
        <v>48064396667040</v>
      </c>
      <c r="K65" s="8" cm="1">
        <f t="array" ref="K65">(Tabella3397[Planck h]*Tabella1023102[[#This Row],[Frequencies'[s^-1']]])/Tabella3397[Boltzmann k]</f>
        <v>2306.727227798182</v>
      </c>
      <c r="N65" s="8">
        <f>Tabella1023102[[#This Row],[Theta vib]]</f>
        <v>2306.727227798182</v>
      </c>
      <c r="O65" s="8">
        <f>K66</f>
        <v>5480.897193103845</v>
      </c>
      <c r="P65" s="1">
        <f>K67</f>
        <v>5656.44541098027</v>
      </c>
    </row>
    <row r="66" spans="1:17" x14ac:dyDescent="0.3">
      <c r="A66" s="3">
        <v>400</v>
      </c>
      <c r="B66" cm="1">
        <f t="array" ref="B66">POWER((2*Tabella3397[Pi Greco]*Tabella3397[Massa]*Tabella3397[Boltzmann k]*Tabella122101[[#This Row],[Temperatura]])/(POWER(Tabella3397[Planck h],2)),1.5)</f>
        <v>1.1496393377560486E+32</v>
      </c>
      <c r="C66" s="1" cm="1">
        <f t="array" ref="C66">(Tabella122101[[#This Row],[Temperatura]]*Tabella3397[Rydberg R])/101325</f>
        <v>3.2822943992104614E-2</v>
      </c>
      <c r="D66" s="1" cm="1">
        <f t="array" ref="D66">Tabella3397[Rydberg R]*LN((Tabella122101[[#This Row],[Volume]]/Tabella3397[Avogadro N])*EXP(2.5)*Tabella122101[[#This Row],[Translational Factor]])</f>
        <v>150.91283790681013</v>
      </c>
      <c r="F66" s="3">
        <v>298</v>
      </c>
      <c r="G66" s="18" cm="1">
        <f t="array" ref="G66">Tabella33[Rydberg R]*LN((EXP(1)*Tabella13266[[#This Row],[Temperatura]])/(Tabella3[Theta rot]*Tabella619[Simmetry Number]))</f>
        <v>-413.21462146156006</v>
      </c>
      <c r="H66" s="18" cm="1">
        <f t="array" ref="H66">Tabella33[Rydberg R]*(1.5 + LN(SQRT((PI()*POWER(Tabella1326105128151[[#This Row],[Temperatura]],3))/(Tabella619[Simmetry Number]*Tabella619[Simmetry Number]*PRODUCT(Tabella48[])))))</f>
        <v>44.160215883499525</v>
      </c>
      <c r="J66" s="2">
        <f>B15</f>
        <v>114203367266820</v>
      </c>
      <c r="K66" s="6" cm="1">
        <f t="array" ref="K66">(Tabella3397[Planck h]*Tabella1023102[[#This Row],[Frequencies'[s^-1']]])/Tabella3397[Boltzmann k]</f>
        <v>5480.897193103845</v>
      </c>
      <c r="M66" s="10" t="s">
        <v>4</v>
      </c>
      <c r="N66" s="10" t="s">
        <v>25</v>
      </c>
      <c r="O66" s="10" t="s">
        <v>26</v>
      </c>
      <c r="P66" s="10" t="s">
        <v>27</v>
      </c>
      <c r="Q66" s="10" t="s">
        <v>34</v>
      </c>
    </row>
    <row r="67" spans="1:17" x14ac:dyDescent="0.3">
      <c r="A67" s="3">
        <v>500</v>
      </c>
      <c r="B67" cm="1">
        <f t="array" ref="B67">POWER((2*Tabella3397[Pi Greco]*Tabella3397[Massa]*Tabella3397[Boltzmann k]*Tabella122101[[#This Row],[Temperatura]])/(POWER(Tabella3397[Planck h],2)),1.5)</f>
        <v>1.6066698180189874E+32</v>
      </c>
      <c r="C67" s="1" cm="1">
        <f t="array" ref="C67">(Tabella122101[[#This Row],[Temperatura]]*Tabella3397[Rydberg R])/101325</f>
        <v>4.1028679990130774E-2</v>
      </c>
      <c r="D67" s="1" cm="1">
        <f t="array" ref="D67">Tabella3397[Rydberg R]*LN((Tabella122101[[#This Row],[Volume]]/Tabella3397[Avogadro N])*EXP(2.5)*Tabella122101[[#This Row],[Translational Factor]])</f>
        <v>155.55113435167777</v>
      </c>
      <c r="F67" s="3">
        <v>400</v>
      </c>
      <c r="G67" s="18" cm="1">
        <f t="array" ref="G67">Tabella33[Rydberg R]*LN((EXP(1)*Tabella13266[[#This Row],[Temperatura]])/(Tabella3[Theta rot]*Tabella619[Simmetry Number]))</f>
        <v>-410.76708446428023</v>
      </c>
      <c r="H67" s="18" cm="1">
        <f t="array" ref="H67">Tabella33[Rydberg R]*(1.5 + LN(SQRT((PI()*POWER(Tabella13266[[#This Row],[Temperatura]],3))/(Tabella619[Simmetry Number]*Tabella619[Simmetry Number]*PRODUCT(Tabella48[])))))</f>
        <v>44.160215883499525</v>
      </c>
      <c r="J67" s="2">
        <f>B16</f>
        <v>117861198620490</v>
      </c>
      <c r="K67" s="6" cm="1">
        <f t="array" ref="K67">(Tabella3397[Planck h]*Tabella1023102[[#This Row],[Frequencies'[s^-1']]])/Tabella3397[Boltzmann k]</f>
        <v>5656.44541098027</v>
      </c>
      <c r="M67" s="9">
        <v>298</v>
      </c>
      <c r="N67" s="1" cm="1">
        <f t="array" ref="N67" xml:space="preserve">   ((Tabella1225104[Theta vib 1]/Tabella1124103[[#This Row],[Temperatura]]) /(EXP(Tabella1225104[Theta vib 1]/Tabella1124103[[#This Row],[Temperatura]])-1) )- LN(1-EXP(-Tabella1225104[Theta vib 1]/Tabella1124103[[#This Row],[Temperatura]]))</f>
        <v>3.8017429180711112E-3</v>
      </c>
      <c r="O67" s="1" cm="1">
        <f t="array" ref="O67">( (Tabella1225104[Theta vib2]/Tabella1124103[[#This Row],[Temperatura]]) /(EXP(Tabella1225104[Theta vib2]/Tabella1124103[[#This Row],[Temperatura]])-1)) - LN(1-EXP(-Tabella1225104[Theta vib2]/Tabella1124103[[#This Row],[Temperatura]]))</f>
        <v>1.9951073544137985E-7</v>
      </c>
      <c r="P67" s="1" cm="1">
        <f t="array" ref="P67">(  (Tabella1225104[Theta vib3]/Tabella1124103[[#This Row],[Temperatura]]) /(EXP(Tabella1225104[Theta vib3]/Tabella1124103[[#This Row],[Temperatura]])-1))- LN(1-EXP(-Tabella1225104[Theta vib3]/Tabella1124103[[#This Row],[Temperatura]]))</f>
        <v>1.1405779160267328E-7</v>
      </c>
      <c r="Q67" s="1" cm="1">
        <f t="array" ref="Q67">Tabella3397[Rydberg R]*SUM(Tabella1124103[[#This Row],[S vib 1]:[S vib 3]])</f>
        <v>3.1612054179673874E-2</v>
      </c>
    </row>
    <row r="68" spans="1:17" x14ac:dyDescent="0.3">
      <c r="A68" s="3">
        <v>600</v>
      </c>
      <c r="B68" cm="1">
        <f t="array" ref="B68">POWER((2*Tabella3397[Pi Greco]*Tabella3397[Massa]*Tabella3397[Boltzmann k]*Tabella122101[[#This Row],[Temperatura]])/(POWER(Tabella3397[Planck h],2)),1.5)</f>
        <v>2.1120223243001016E+32</v>
      </c>
      <c r="C68" s="1" cm="1">
        <f t="array" ref="C68">(Tabella122101[[#This Row],[Temperatura]]*Tabella3397[Rydberg R])/101325</f>
        <v>4.9234415988156921E-2</v>
      </c>
      <c r="D68" s="1" cm="1">
        <f t="array" ref="D68">Tabella3397[Rydberg R]*LN((Tabella122101[[#This Row],[Volume]]/Tabella3397[Avogadro N])*EXP(2.5)*Tabella122101[[#This Row],[Translational Factor]])</f>
        <v>159.34089849103813</v>
      </c>
      <c r="F68" s="3">
        <v>500</v>
      </c>
      <c r="G68" s="18" cm="1">
        <f t="array" ref="G68">Tabella33[Rydberg R]*LN((EXP(1)*Tabella13266[[#This Row],[Temperatura]])/(Tabella3[Theta rot]*Tabella619[Simmetry Number]))</f>
        <v>-408.91176588633323</v>
      </c>
      <c r="H68" s="18" cm="1">
        <f t="array" ref="H68">Tabella33[Rydberg R]*(1.5 + LN(SQRT((PI()*POWER(Tabella13266[[#This Row],[Temperatura]],3))/(Tabella619[Simmetry Number]*Tabella619[Simmetry Number]*PRODUCT(Tabella48[])))))</f>
        <v>46.9431937504201</v>
      </c>
      <c r="I68" s="19"/>
      <c r="J68" s="6"/>
      <c r="M68" s="9">
        <v>400</v>
      </c>
      <c r="N68" s="11" cm="1">
        <f t="array" ref="N68" xml:space="preserve">   ((Tabella1225104[Theta vib 1]/Tabella1124103[[#This Row],[Temperatura]]) /(EXP(Tabella1225104[Theta vib 1]/Tabella1124103[[#This Row],[Temperatura]])-1) )- LN(1-EXP(-Tabella1225104[Theta vib 1]/Tabella1124103[[#This Row],[Temperatura]]))</f>
        <v>2.1239682912241417E-2</v>
      </c>
      <c r="O68" s="1" cm="1">
        <f t="array" ref="O68">( (Tabella1225104[Theta vib2]/Tabella1124103[[#This Row],[Temperatura]]) /(EXP(Tabella1225104[Theta vib2]/Tabella1124103[[#This Row],[Temperatura]])-1)) - LN(1-EXP(-Tabella1225104[Theta vib2]/Tabella1124103[[#This Row],[Temperatura]]))</f>
        <v>1.646552371437804E-5</v>
      </c>
      <c r="P68" s="1" cm="1">
        <f t="array" ref="P68">(  (Tabella1225104[Theta vib3]/Tabella1124103[[#This Row],[Temperatura]]) /(EXP(Tabella1225104[Theta vib3]/Tabella1124103[[#This Row],[Temperatura]])-1))- LN(1-EXP(-Tabella1225104[Theta vib3]/Tabella1124103[[#This Row],[Temperatura]]))</f>
        <v>1.0933281903608853E-5</v>
      </c>
      <c r="Q68" s="1" cm="1">
        <f t="array" ref="Q68">Tabella3397[Rydberg R]*SUM(Tabella1124103[[#This Row],[S vib 1]:[S vib 3]])</f>
        <v>0.17682434279403675</v>
      </c>
    </row>
    <row r="69" spans="1:17" x14ac:dyDescent="0.3">
      <c r="A69" s="3">
        <v>700</v>
      </c>
      <c r="B69" cm="1">
        <f t="array" ref="B69">POWER((2*Tabella3397[Pi Greco]*Tabella3397[Massa]*Tabella3397[Boltzmann k]*Tabella122101[[#This Row],[Temperatura]])/(POWER(Tabella3397[Planck h],2)),1.5)</f>
        <v>2.6614523119795776E+32</v>
      </c>
      <c r="C69" s="1" cm="1">
        <f t="array" ref="C69">(Tabella122101[[#This Row],[Temperatura]]*Tabella3397[Rydberg R])/101325</f>
        <v>5.7440151986183081E-2</v>
      </c>
      <c r="D69" s="1" cm="1">
        <f t="array" ref="D69">Tabella3397[Rydberg R]*LN((Tabella122101[[#This Row],[Volume]]/Tabella3397[Avogadro N])*EXP(2.5)*Tabella122101[[#This Row],[Translational Factor]])</f>
        <v>162.54509841528304</v>
      </c>
      <c r="F69" s="3">
        <v>600</v>
      </c>
      <c r="G69" s="18" cm="1">
        <f t="array" ref="G69">Tabella33[Rydberg R]*LN((EXP(1)*Tabella13266[[#This Row],[Temperatura]])/(Tabella3[Theta rot]*Tabella619[Simmetry Number]))</f>
        <v>-407.39586023058905</v>
      </c>
      <c r="H69" s="18" cm="1">
        <f t="array" ref="H69">Tabella33[Rydberg R]*(1.5 + LN(SQRT((PI()*POWER(Tabella13266[[#This Row],[Temperatura]],3))/(Tabella619[Simmetry Number]*Tabella619[Simmetry Number]*PRODUCT(Tabella48[])))))</f>
        <v>49.217052234036366</v>
      </c>
      <c r="I69" s="19"/>
      <c r="J69" s="6"/>
      <c r="M69" s="9">
        <v>500</v>
      </c>
      <c r="N69" s="11" cm="1">
        <f t="array" ref="N69" xml:space="preserve">   ((Tabella1225104[Theta vib 1]/Tabella1124103[[#This Row],[Temperatura]]) /(EXP(Tabella1225104[Theta vib 1]/Tabella1124103[[#This Row],[Temperatura]])-1) )- LN(1-EXP(-Tabella1225104[Theta vib 1]/Tabella1124103[[#This Row],[Temperatura]]))</f>
        <v>5.6179247654619423E-2</v>
      </c>
      <c r="O69" s="1" cm="1">
        <f t="array" ref="O69">( (Tabella1225104[Theta vib2]/Tabella1124103[[#This Row],[Temperatura]]) /(EXP(Tabella1225104[Theta vib2]/Tabella1124103[[#This Row],[Temperatura]])-1)) - LN(1-EXP(-Tabella1225104[Theta vib2]/Tabella1124103[[#This Row],[Temperatura]]))</f>
        <v>2.0756625051317808E-4</v>
      </c>
      <c r="P69" s="1" cm="1">
        <f t="array" ref="P69">(  (Tabella1225104[Theta vib3]/Tabella1124103[[#This Row],[Temperatura]]) /(EXP(Tabella1225104[Theta vib3]/Tabella1124103[[#This Row],[Temperatura]])-1))- LN(1-EXP(-Tabella1225104[Theta vib3]/Tabella1124103[[#This Row],[Temperatura]]))</f>
        <v>1.5039696058032523E-4</v>
      </c>
      <c r="Q69" s="1" cm="1">
        <f t="array" ref="Q69">Tabella3397[Rydberg R]*SUM(Tabella1124103[[#This Row],[S vib 1]:[S vib 3]])</f>
        <v>0.47007649132895729</v>
      </c>
    </row>
    <row r="70" spans="1:17" x14ac:dyDescent="0.3">
      <c r="A70" s="3">
        <v>800</v>
      </c>
      <c r="B70" cm="1">
        <f t="array" ref="B70">POWER((2*Tabella3397[Pi Greco]*Tabella3397[Massa]*Tabella3397[Boltzmann k]*Tabella122101[[#This Row],[Temperatura]])/(POWER(Tabella3397[Planck h],2)),1.5)</f>
        <v>3.2516710865844632E+32</v>
      </c>
      <c r="C70" s="1" cm="1">
        <f t="array" ref="C70">(Tabella122101[[#This Row],[Temperatura]]*Tabella3397[Rydberg R])/101325</f>
        <v>6.5645887984209228E-2</v>
      </c>
      <c r="D70" s="1" cm="1">
        <f t="array" ref="D70">Tabella3397[Rydberg R]*LN((Tabella122101[[#This Row],[Volume]]/Tabella3397[Avogadro N])*EXP(2.5)*Tabella122101[[#This Row],[Translational Factor]])</f>
        <v>165.32070263974214</v>
      </c>
      <c r="F70" s="3">
        <v>700</v>
      </c>
      <c r="G70" s="18" cm="1">
        <f t="array" ref="G70">Tabella33[Rydberg R]*LN((EXP(1)*Tabella13266[[#This Row],[Temperatura]])/(Tabella3[Theta rot]*Tabella619[Simmetry Number]))</f>
        <v>-406.11418026089115</v>
      </c>
      <c r="H70" s="18" cm="1">
        <f t="array" ref="H70">Tabella33[Rydberg R]*(1.5 + LN(SQRT((PI()*POWER(Tabella13266[[#This Row],[Temperatura]],3))/(Tabella619[Simmetry Number]*Tabella619[Simmetry Number]*PRODUCT(Tabella48[])))))</f>
        <v>51.139572188583223</v>
      </c>
      <c r="I70" s="19"/>
      <c r="J70" s="6"/>
      <c r="M70" s="9">
        <v>600</v>
      </c>
      <c r="N70" s="11" cm="1">
        <f t="array" ref="N70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0.10568521246854951</v>
      </c>
      <c r="O70" s="1" cm="1">
        <f t="array" ref="O70">( (Tabella1225104[Theta vib2]/Tabella1124103[[#This Row],[Temperatura]]) /(EXP(Tabella1225104[Theta vib2]/Tabella1124103[[#This Row],[Temperatura]])-1)) - LN(1-EXP(-Tabella1225104[Theta vib2]/Tabella1124103[[#This Row],[Temperatura]]))</f>
        <v>1.0930883364186734E-3</v>
      </c>
      <c r="P70" s="1" cm="1">
        <f t="array" ref="P70">(  (Tabella1225104[Theta vib3]/Tabella1124103[[#This Row],[Temperatura]]) /(EXP(Tabella1225104[Theta vib3]/Tabella1124103[[#This Row],[Temperatura]])-1))- LN(1-EXP(-Tabella1225104[Theta vib3]/Tabella1124103[[#This Row],[Temperatura]]))</f>
        <v>8.3934010408707918E-4</v>
      </c>
      <c r="Q70" s="1" cm="1">
        <f t="array" ref="Q70">Tabella3397[Rydberg R]*SUM(Tabella1124103[[#This Row],[S vib 1]:[S vib 3]])</f>
        <v>0.89478278586798554</v>
      </c>
    </row>
    <row r="71" spans="1:17" x14ac:dyDescent="0.3">
      <c r="A71" s="3">
        <v>900</v>
      </c>
      <c r="B71" cm="1">
        <f t="array" ref="B71">POWER((2*Tabella3397[Pi Greco]*Tabella3397[Massa]*Tabella3397[Boltzmann k]*Tabella122101[[#This Row],[Temperatura]])/(POWER(Tabella3397[Planck h],2)),1.5)</f>
        <v>3.8800327649266695E+32</v>
      </c>
      <c r="C71" s="1" cm="1">
        <f t="array" ref="C71">(Tabella122101[[#This Row],[Temperatura]]*Tabella3397[Rydberg R])/101325</f>
        <v>7.3851623982235395E-2</v>
      </c>
      <c r="D71" s="1" cm="1">
        <f t="array" ref="D71">Tabella3397[Rydberg R]*LN((Tabella122101[[#This Row],[Volume]]/Tabella3397[Avogadro N])*EXP(2.5)*Tabella122101[[#This Row],[Translational Factor]])</f>
        <v>167.76895907526625</v>
      </c>
      <c r="F71" s="3">
        <v>800</v>
      </c>
      <c r="G71" s="18" cm="1">
        <f t="array" ref="G71">Tabella33[Rydberg R]*LN((EXP(1)*Tabella13266[[#This Row],[Temperatura]])/(Tabella3[Theta rot]*Tabella619[Simmetry Number]))</f>
        <v>-405.00393857110748</v>
      </c>
      <c r="H71" s="18" cm="1">
        <f t="array" ref="H71">Tabella33[Rydberg R]*(1.5 + LN(SQRT((PI()*POWER(Tabella13266[[#This Row],[Temperatura]],3))/(Tabella619[Simmetry Number]*Tabella619[Simmetry Number]*PRODUCT(Tabella48[])))))</f>
        <v>52.804934723258732</v>
      </c>
      <c r="I71" s="19"/>
      <c r="J71" s="6"/>
      <c r="M71" s="9">
        <v>700</v>
      </c>
      <c r="N71" s="11" cm="1">
        <f t="array" ref="N71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0.16457073016760121</v>
      </c>
      <c r="O71" s="1" cm="1">
        <f t="array" ref="O71">( (Tabella1225104[Theta vib2]/Tabella1124103[[#This Row],[Temperatura]]) /(EXP(Tabella1225104[Theta vib2]/Tabella1124103[[#This Row],[Temperatura]])-1)) - LN(1-EXP(-Tabella1225104[Theta vib2]/Tabella1124103[[#This Row],[Temperatura]]))</f>
        <v>3.51280817752636E-3</v>
      </c>
      <c r="P71" s="1" cm="1">
        <f t="array" ref="P71">(  (Tabella1225104[Theta vib3]/Tabella1124103[[#This Row],[Temperatura]]) /(EXP(Tabella1225104[Theta vib3]/Tabella1124103[[#This Row],[Temperatura]])-1))- LN(1-EXP(-Tabella1225104[Theta vib3]/Tabella1124103[[#This Row],[Temperatura]]))</f>
        <v>2.811043381882007E-3</v>
      </c>
      <c r="Q71" s="1" cm="1">
        <f t="array" ref="Q71">Tabella3397[Rydberg R]*SUM(Tabella1124103[[#This Row],[S vib 1]:[S vib 3]])</f>
        <v>1.4208965057751157</v>
      </c>
    </row>
    <row r="72" spans="1:17" x14ac:dyDescent="0.3">
      <c r="A72" s="3">
        <v>1000</v>
      </c>
      <c r="B72" cm="1">
        <f t="array" ref="B72">POWER((2*Tabella3397[Pi Greco]*Tabella3397[Massa]*Tabella3397[Boltzmann k]*Tabella122101[[#This Row],[Temperatura]])/(POWER(Tabella3397[Planck h],2)),1.5)</f>
        <v>4.5443484937959417E+32</v>
      </c>
      <c r="C72" s="1" cm="1">
        <f t="array" ref="C72">(Tabella122101[[#This Row],[Temperatura]]*Tabella3397[Rydberg R])/101325</f>
        <v>8.2057359980261549E-2</v>
      </c>
      <c r="D72" s="1" cm="1">
        <f t="array" ref="D72">Tabella3397[Rydberg R]*LN((Tabella122101[[#This Row],[Volume]]/Tabella3397[Avogadro N])*EXP(2.5)*Tabella122101[[#This Row],[Translational Factor]])</f>
        <v>169.95899908460981</v>
      </c>
      <c r="F72" s="3">
        <v>900</v>
      </c>
      <c r="G72" s="18" cm="1">
        <f t="array" ref="G72">Tabella33[Rydberg R]*LN((EXP(1)*Tabella13266[[#This Row],[Temperatura]])/(Tabella3[Theta rot]*Tabella619[Simmetry Number]))</f>
        <v>-404.02463599689781</v>
      </c>
      <c r="H72" s="18" cm="1">
        <f t="array" ref="H72">Tabella33[Rydberg R]*(1.5 + LN(SQRT((PI()*POWER(Tabella13266[[#This Row],[Temperatura]],3))/(Tabella619[Simmetry Number]*Tabella619[Simmetry Number]*PRODUCT(Tabella48[])))))</f>
        <v>54.273888584573207</v>
      </c>
      <c r="I72" s="19"/>
      <c r="J72" s="6"/>
      <c r="M72" s="9">
        <v>800</v>
      </c>
      <c r="N72" s="11" cm="1">
        <f t="array" ref="N72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0.22843710677921483</v>
      </c>
      <c r="O72" s="1" cm="1">
        <f t="array" ref="O72">( (Tabella1225104[Theta vib2]/Tabella1124103[[#This Row],[Temperatura]]) /(EXP(Tabella1225104[Theta vib2]/Tabella1124103[[#This Row],[Temperatura]])-1)) - LN(1-EXP(-Tabella1225104[Theta vib2]/Tabella1124103[[#This Row],[Temperatura]]))</f>
        <v>8.3168333951181058E-3</v>
      </c>
      <c r="P72" s="1" cm="1">
        <f t="array" ref="P72">(  (Tabella1225104[Theta vib3]/Tabella1124103[[#This Row],[Temperatura]]) /(EXP(Tabella1225104[Theta vib3]/Tabella1124103[[#This Row],[Temperatura]])-1))- LN(1-EXP(-Tabella1225104[Theta vib3]/Tabella1124103[[#This Row],[Temperatura]]))</f>
        <v>6.863506385573561E-3</v>
      </c>
      <c r="Q72" s="1" cm="1">
        <f t="array" ref="Q72">Tabella3397[Rydberg R]*SUM(Tabella1124103[[#This Row],[S vib 1]:[S vib 3]])</f>
        <v>2.0255480019593737</v>
      </c>
    </row>
    <row r="73" spans="1:17" x14ac:dyDescent="0.3">
      <c r="A73" s="3">
        <v>1100</v>
      </c>
      <c r="B73" cm="1">
        <f t="array" ref="B73">POWER((2*Tabella3397[Pi Greco]*Tabella3397[Massa]*Tabella3397[Boltzmann k]*Tabella122101[[#This Row],[Temperatura]])/(POWER(Tabella3397[Planck h],2)),1.5)</f>
        <v>5.2427682004080322E+32</v>
      </c>
      <c r="C73" s="1" cm="1">
        <f t="array" ref="C73">(Tabella122101[[#This Row],[Temperatura]]*Tabella3397[Rydberg R])/101325</f>
        <v>9.0263095978287688E-2</v>
      </c>
      <c r="D73" s="1" cm="1">
        <f t="array" ref="D73">Tabella3397[Rydberg R]*LN((Tabella122101[[#This Row],[Volume]]/Tabella3397[Avogadro N])*EXP(2.5)*Tabella122101[[#This Row],[Translational Factor]])</f>
        <v>171.94013125510034</v>
      </c>
      <c r="F73" s="3">
        <v>1000</v>
      </c>
      <c r="G73" s="18" cm="1">
        <f t="array" ref="G73">Tabella33[Rydberg R]*LN((EXP(1)*Tabella13266[[#This Row],[Temperatura]])/(Tabella3[Theta rot]*Tabella619[Simmetry Number]))</f>
        <v>-403.14861999316037</v>
      </c>
      <c r="H73" s="18" cm="1">
        <f t="array" ref="H73">Tabella33[Rydberg R]*(1.5 + LN(SQRT((PI()*POWER(Tabella13266[[#This Row],[Temperatura]],3))/(Tabella619[Simmetry Number]*Tabella619[Simmetry Number]*PRODUCT(Tabella48[])))))</f>
        <v>55.587912590179307</v>
      </c>
      <c r="I73" s="20"/>
      <c r="J73" s="7"/>
      <c r="M73" s="9">
        <v>900</v>
      </c>
      <c r="N73" s="11" cm="1">
        <f t="array" ref="N73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0.29423320269505576</v>
      </c>
      <c r="O73" s="1" cm="1">
        <f t="array" ref="O73">( (Tabella1225104[Theta vib2]/Tabella1124103[[#This Row],[Temperatura]]) /(EXP(Tabella1225104[Theta vib2]/Tabella1124103[[#This Row],[Temperatura]])-1)) - LN(1-EXP(-Tabella1225104[Theta vib2]/Tabella1124103[[#This Row],[Temperatura]]))</f>
        <v>1.6097227638808005E-2</v>
      </c>
      <c r="P73" s="1" cm="1">
        <f t="array" ref="P73">(  (Tabella1225104[Theta vib3]/Tabella1124103[[#This Row],[Temperatura]]) /(EXP(Tabella1225104[Theta vib3]/Tabella1124103[[#This Row],[Temperatura]])-1))- LN(1-EXP(-Tabella1225104[Theta vib3]/Tabella1124103[[#This Row],[Temperatura]]))</f>
        <v>1.3603987145844831E-2</v>
      </c>
      <c r="Q73" s="1" cm="1">
        <f t="array" ref="Q73">Tabella3397[Rydberg R]*SUM(Tabella1124103[[#This Row],[S vib 1]:[S vib 3]])</f>
        <v>2.6933404046271732</v>
      </c>
    </row>
    <row r="74" spans="1:17" x14ac:dyDescent="0.3">
      <c r="A74" s="3">
        <v>1200</v>
      </c>
      <c r="B74" cm="1">
        <f t="array" ref="B74">POWER((2*Tabella3397[Pi Greco]*Tabella3397[Massa]*Tabella3397[Boltzmann k]*Tabella122101[[#This Row],[Temperatura]])/(POWER(Tabella3397[Planck h],2)),1.5)</f>
        <v>5.973701230119918E+32</v>
      </c>
      <c r="C74" s="1" cm="1">
        <f t="array" ref="C74">(Tabella122101[[#This Row],[Temperatura]]*Tabella3397[Rydberg R])/101325</f>
        <v>9.8468831976313842E-2</v>
      </c>
      <c r="D74" s="1" cm="1">
        <f t="array" ref="D74">Tabella3397[Rydberg R]*LN((Tabella122101[[#This Row],[Volume]]/Tabella3397[Avogadro N])*EXP(2.5)*Tabella122101[[#This Row],[Translational Factor]])</f>
        <v>173.74876322397017</v>
      </c>
      <c r="F74" s="3">
        <v>1100</v>
      </c>
      <c r="G74" s="18" cm="1">
        <f t="array" ref="G74">Tabella33[Rydberg R]*LN((EXP(1)*Tabella13266[[#This Row],[Temperatura]])/(Tabella3[Theta rot]*Tabella619[Simmetry Number]))</f>
        <v>-402.3561671249642</v>
      </c>
      <c r="H74" s="18" cm="1">
        <f t="array" ref="H74">Tabella33[Rydberg R]*(1.5 + LN(SQRT((PI()*POWER(Tabella13266[[#This Row],[Temperatura]],3))/(Tabella619[Simmetry Number]*Tabella619[Simmetry Number]*PRODUCT(Tabella48[])))))</f>
        <v>56.776591892473647</v>
      </c>
      <c r="M74" s="9">
        <v>1000</v>
      </c>
      <c r="N74" s="11" cm="1">
        <f t="array" ref="N74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0.36002773927714637</v>
      </c>
      <c r="O74" s="1" cm="1">
        <f t="array" ref="O74">( (Tabella1225104[Theta vib2]/Tabella1124103[[#This Row],[Temperatura]]) /(EXP(Tabella1225104[Theta vib2]/Tabella1124103[[#This Row],[Temperatura]])-1)) - LN(1-EXP(-Tabella1225104[Theta vib2]/Tabella1124103[[#This Row],[Temperatura]]))</f>
        <v>2.7100968352303519E-2</v>
      </c>
      <c r="P74" s="1" cm="1">
        <f t="array" ref="P74">(  (Tabella1225104[Theta vib3]/Tabella1124103[[#This Row],[Temperatura]]) /(EXP(Tabella1225104[Theta vib3]/Tabella1124103[[#This Row],[Temperatura]])-1))- LN(1-EXP(-Tabella1225104[Theta vib3]/Tabella1124103[[#This Row],[Temperatura]]))</f>
        <v>2.3339184006564963E-2</v>
      </c>
      <c r="Q74" s="1" cm="1">
        <f t="array" ref="Q74">Tabella3397[Rydberg R]*SUM(Tabella1124103[[#This Row],[S vib 1]:[S vib 3]])</f>
        <v>3.4128196872277639</v>
      </c>
    </row>
    <row r="75" spans="1:17" x14ac:dyDescent="0.3">
      <c r="A75" s="3">
        <v>1300</v>
      </c>
      <c r="B75" cm="1">
        <f t="array" ref="B75">POWER((2*Tabella3397[Pi Greco]*Tabella3397[Massa]*Tabella3397[Boltzmann k]*Tabella122101[[#This Row],[Temperatura]])/(POWER(Tabella3397[Planck h],2)),1.5)</f>
        <v>6.7357608184260642E+32</v>
      </c>
      <c r="C75" s="1" cm="1">
        <f t="array" ref="C75">(Tabella122101[[#This Row],[Temperatura]]*Tabella3397[Rydberg R])/101325</f>
        <v>0.10667456797434</v>
      </c>
      <c r="D75" s="1" cm="1">
        <f t="array" ref="D75">Tabella3397[Rydberg R]*LN((Tabella122101[[#This Row],[Volume]]/Tabella3397[Avogadro N])*EXP(2.5)*Tabella122101[[#This Row],[Translational Factor]])</f>
        <v>175.41254335229198</v>
      </c>
      <c r="F75" s="3">
        <v>1200</v>
      </c>
      <c r="G75" s="18" cm="1">
        <f t="array" ref="G75">Tabella33[Rydberg R]*LN((EXP(1)*Tabella13266[[#This Row],[Temperatura]])/(Tabella3[Theta rot]*Tabella619[Simmetry Number]))</f>
        <v>-401.63271433741625</v>
      </c>
      <c r="H75" s="18" cm="1">
        <f t="array" ref="H75">Tabella33[Rydberg R]*(1.5 + LN(SQRT((PI()*POWER(Tabella13266[[#This Row],[Temperatura]],3))/(Tabella619[Simmetry Number]*Tabella619[Simmetry Number]*PRODUCT(Tabella48[])))))</f>
        <v>57.861771073795573</v>
      </c>
      <c r="M75" s="9">
        <v>1100</v>
      </c>
      <c r="N75" s="11" cm="1">
        <f t="array" ref="N75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0.42466696906780665</v>
      </c>
      <c r="O75" s="1" cm="1">
        <f t="array" ref="O75">( (Tabella1225104[Theta vib2]/Tabella1124103[[#This Row],[Temperatura]]) /(EXP(Tabella1225104[Theta vib2]/Tabella1124103[[#This Row],[Temperatura]])-1)) - LN(1-EXP(-Tabella1225104[Theta vib2]/Tabella1124103[[#This Row],[Temperatura]]))</f>
        <v>4.1276259214862193E-2</v>
      </c>
      <c r="P75" s="1" cm="1">
        <f t="array" ref="P75">(  (Tabella1225104[Theta vib3]/Tabella1124103[[#This Row],[Temperatura]]) /(EXP(Tabella1225104[Theta vib3]/Tabella1124103[[#This Row],[Temperatura]])-1))- LN(1-EXP(-Tabella1225104[Theta vib3]/Tabella1124103[[#This Row],[Temperatura]]))</f>
        <v>3.6093180073845509E-2</v>
      </c>
      <c r="Q75" s="1" cm="1">
        <f t="array" ref="Q75">Tabella3397[Rydberg R]*SUM(Tabella1124103[[#This Row],[S vib 1]:[S vib 3]])</f>
        <v>4.1741626398967222</v>
      </c>
    </row>
    <row r="76" spans="1:17" x14ac:dyDescent="0.3">
      <c r="A76" s="3">
        <v>1400</v>
      </c>
      <c r="B76" cm="1">
        <f t="array" ref="B76">POWER((2*Tabella3397[Pi Greco]*Tabella3397[Massa]*Tabella3397[Boltzmann k]*Tabella122101[[#This Row],[Temperatura]])/(POWER(Tabella3397[Planck h],2)),1.5)</f>
        <v>7.5277239104215174E+32</v>
      </c>
      <c r="C76" s="1" cm="1">
        <f t="array" ref="C76">(Tabella122101[[#This Row],[Temperatura]]*Tabella3397[Rydberg R])/101325</f>
        <v>0.11488030397236616</v>
      </c>
      <c r="D76" s="1" cm="1">
        <f t="array" ref="D76">Tabella3397[Rydberg R]*LN((Tabella122101[[#This Row],[Volume]]/Tabella3397[Avogadro N])*EXP(2.5)*Tabella122101[[#This Row],[Translational Factor]])</f>
        <v>176.95296314821505</v>
      </c>
      <c r="F76" s="3">
        <v>1300</v>
      </c>
      <c r="G76" s="18" cm="1">
        <f t="array" ref="G76">Tabella33[Rydberg R]*LN((EXP(1)*Tabella13266[[#This Row],[Temperatura]])/(Tabella3[Theta rot]*Tabella619[Simmetry Number]))</f>
        <v>-400.96720228608751</v>
      </c>
      <c r="H76" s="18" cm="1">
        <f t="array" ref="H76">Tabella33[Rydberg R]*(1.5 + LN(SQRT((PI()*POWER(Tabella13266[[#This Row],[Temperatura]],3))/(Tabella619[Simmetry Number]*Tabella619[Simmetry Number]*PRODUCT(Tabella48[])))))</f>
        <v>58.860039150788658</v>
      </c>
      <c r="M76" s="9">
        <v>1200</v>
      </c>
      <c r="N76" s="11" cm="1">
        <f t="array" ref="N76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0.48750006288454695</v>
      </c>
      <c r="O76" s="1" cm="1">
        <f t="array" ref="O76">( (Tabella1225104[Theta vib2]/Tabella1124103[[#This Row],[Temperatura]]) /(EXP(Tabella1225104[Theta vib2]/Tabella1124103[[#This Row],[Temperatura]])-1)) - LN(1-EXP(-Tabella1225104[Theta vib2]/Tabella1124103[[#This Row],[Temperatura]]))</f>
        <v>5.8368387630036281E-2</v>
      </c>
      <c r="P76" s="1" cm="1">
        <f t="array" ref="P76">(  (Tabella1225104[Theta vib3]/Tabella1124103[[#This Row],[Temperatura]]) /(EXP(Tabella1225104[Theta vib3]/Tabella1124103[[#This Row],[Temperatura]])-1))- LN(1-EXP(-Tabella1225104[Theta vib3]/Tabella1124103[[#This Row],[Temperatura]]))</f>
        <v>5.1683706281781594E-2</v>
      </c>
      <c r="Q76" s="1" cm="1">
        <f t="array" ref="Q76">Tabella3397[Rydberg R]*SUM(Tabella1124103[[#This Row],[S vib 1]:[S vib 3]])</f>
        <v>4.9683247007014177</v>
      </c>
    </row>
    <row r="77" spans="1:17" x14ac:dyDescent="0.3">
      <c r="A77" s="3">
        <v>1500</v>
      </c>
      <c r="B77" cm="1">
        <f t="array" ref="B77">POWER((2*Tabella3397[Pi Greco]*Tabella3397[Massa]*Tabella3397[Boltzmann k]*Tabella122101[[#This Row],[Temperatura]])/(POWER(Tabella3397[Planck h],2)),1.5)</f>
        <v>8.348501267388955E+32</v>
      </c>
      <c r="C77" s="1" cm="1">
        <f t="array" ref="C77">(Tabella122101[[#This Row],[Temperatura]]*Tabella3397[Rydberg R])/101325</f>
        <v>0.12308603997039232</v>
      </c>
      <c r="D77" s="1" cm="1">
        <f t="array" ref="D77">Tabella3397[Rydberg R]*LN((Tabella122101[[#This Row],[Volume]]/Tabella3397[Avogadro N])*EXP(2.5)*Tabella122101[[#This Row],[Translational Factor]])</f>
        <v>178.38705966883782</v>
      </c>
      <c r="F77" s="3">
        <v>1400</v>
      </c>
      <c r="G77" s="18" cm="1">
        <f t="array" ref="G77">Tabella33[Rydberg R]*LN((EXP(1)*Tabella13266[[#This Row],[Temperatura]])/(Tabella3[Theta rot]*Tabella619[Simmetry Number]))</f>
        <v>-400.35103436771828</v>
      </c>
      <c r="H77" s="18" cm="1">
        <f t="array" ref="H77">Tabella33[Rydberg R]*(1.5 + LN(SQRT((PI()*POWER(Tabella13266[[#This Row],[Temperatura]],3))/(Tabella619[Simmetry Number]*Tabella619[Simmetry Number]*PRODUCT(Tabella48[])))))</f>
        <v>59.78429102834243</v>
      </c>
      <c r="M77" s="9">
        <v>1300</v>
      </c>
      <c r="N77" s="11" cm="1">
        <f t="array" ref="N77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0.54819086332649991</v>
      </c>
      <c r="O77" s="1" cm="1">
        <f t="array" ref="O77">( (Tabella1225104[Theta vib2]/Tabella1124103[[#This Row],[Temperatura]]) /(EXP(Tabella1225104[Theta vib2]/Tabella1124103[[#This Row],[Temperatura]])-1)) - LN(1-EXP(-Tabella1225104[Theta vib2]/Tabella1124103[[#This Row],[Temperatura]]))</f>
        <v>7.8012537292575637E-2</v>
      </c>
      <c r="P77" s="1" cm="1">
        <f t="array" ref="P77">(  (Tabella1225104[Theta vib3]/Tabella1124103[[#This Row],[Temperatura]]) /(EXP(Tabella1225104[Theta vib3]/Tabella1124103[[#This Row],[Temperatura]])-1))- LN(1-EXP(-Tabella1225104[Theta vib3]/Tabella1124103[[#This Row],[Temperatura]]))</f>
        <v>6.9805547922647149E-2</v>
      </c>
      <c r="Q77" s="1" cm="1">
        <f t="array" ref="Q77">Tabella3397[Rydberg R]*SUM(Tabella1124103[[#This Row],[S vib 1]:[S vib 3]])</f>
        <v>5.7869399543101094</v>
      </c>
    </row>
    <row r="78" spans="1:17" x14ac:dyDescent="0.3">
      <c r="A78" s="3">
        <v>1600</v>
      </c>
      <c r="B78" cm="1">
        <f t="array" ref="B78">POWER((2*Tabella3397[Pi Greco]*Tabella3397[Massa]*Tabella3397[Boltzmann k]*Tabella122101[[#This Row],[Temperatura]])/(POWER(Tabella3397[Planck h],2)),1.5)</f>
        <v>9.1971147020484392E+32</v>
      </c>
      <c r="C78" s="1" cm="1">
        <f t="array" ref="C78">(Tabella122101[[#This Row],[Temperatura]]*Tabella3397[Rydberg R])/101325</f>
        <v>0.13129177596841846</v>
      </c>
      <c r="D78" s="1" cm="1">
        <f t="array" ref="D78">Tabella3397[Rydberg R]*LN((Tabella122101[[#This Row],[Volume]]/Tabella3397[Avogadro N])*EXP(2.5)*Tabella122101[[#This Row],[Translational Factor]])</f>
        <v>179.72856737267418</v>
      </c>
      <c r="F78" s="3">
        <v>1500</v>
      </c>
      <c r="G78" s="18" cm="1">
        <f t="array" ref="G78">Tabella33[Rydberg R]*LN((EXP(1)*Tabella13266[[#This Row],[Temperatura]])/(Tabella3[Theta rot]*Tabella619[Simmetry Number]))</f>
        <v>-399.77739575946919</v>
      </c>
      <c r="H78" s="18" cm="1">
        <f t="array" ref="H78">Tabella33[Rydberg R]*(1.5 + LN(SQRT((PI()*POWER(Tabella13266[[#This Row],[Temperatura]],3))/(Tabella619[Simmetry Number]*Tabella619[Simmetry Number]*PRODUCT(Tabella48[])))))</f>
        <v>60.644748940716148</v>
      </c>
      <c r="M78" s="9">
        <v>1400</v>
      </c>
      <c r="N78" s="11" cm="1">
        <f t="array" ref="N78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0.606596288815208</v>
      </c>
      <c r="O78" s="1" cm="1">
        <f t="array" ref="O78">( (Tabella1225104[Theta vib2]/Tabella1124103[[#This Row],[Temperatura]]) /(EXP(Tabella1225104[Theta vib2]/Tabella1124103[[#This Row],[Temperatura]])-1)) - LN(1-EXP(-Tabella1225104[Theta vib2]/Tabella1124103[[#This Row],[Temperatura]]))</f>
        <v>9.9803637895823194E-2</v>
      </c>
      <c r="P78" s="1" cm="1">
        <f t="array" ref="P78">(  (Tabella1225104[Theta vib3]/Tabella1124103[[#This Row],[Temperatura]]) /(EXP(Tabella1225104[Theta vib3]/Tabella1124103[[#This Row],[Temperatura]])-1))- LN(1-EXP(-Tabella1225104[Theta vib3]/Tabella1124103[[#This Row],[Temperatura]]))</f>
        <v>9.0097985140025857E-2</v>
      </c>
      <c r="Q78" s="1" cm="1">
        <f t="array" ref="Q78">Tabella3397[Rydberg R]*SUM(Tabella1124103[[#This Row],[S vib 1]:[S vib 3]])</f>
        <v>6.6224516211649647</v>
      </c>
    </row>
    <row r="79" spans="1:17" x14ac:dyDescent="0.3">
      <c r="A79" s="3">
        <v>1700</v>
      </c>
      <c r="B79" cm="1">
        <f t="array" ref="B79">POWER((2*Tabella3397[Pi Greco]*Tabella3397[Massa]*Tabella3397[Boltzmann k]*Tabella122101[[#This Row],[Temperatura]])/(POWER(Tabella3397[Planck h],2)),1.5)</f>
        <v>1.0072679394483301E+33</v>
      </c>
      <c r="C79" s="1" cm="1">
        <f t="array" ref="C79">(Tabella122101[[#This Row],[Temperatura]]*Tabella3397[Rydberg R])/101325</f>
        <v>0.13949751196644464</v>
      </c>
      <c r="D79" s="1" cm="1">
        <f t="array" ref="D79">Tabella3397[Rydberg R]*LN((Tabella122101[[#This Row],[Volume]]/Tabella3397[Avogadro N])*EXP(2.5)*Tabella122101[[#This Row],[Translational Factor]])</f>
        <v>180.98872015856691</v>
      </c>
      <c r="F79" s="3">
        <v>1600</v>
      </c>
      <c r="G79" s="18" cm="1">
        <f t="array" ref="G79">Tabella33[Rydberg R]*LN((EXP(1)*Tabella13266[[#This Row],[Temperatura]])/(Tabella3[Theta rot]*Tabella619[Simmetry Number]))</f>
        <v>-399.24079267793468</v>
      </c>
      <c r="H79" s="18" cm="1">
        <f t="array" ref="H79">Tabella33[Rydberg R]*(1.5 + LN(SQRT((PI()*POWER(Tabella13266[[#This Row],[Temperatura]],3))/(Tabella619[Simmetry Number]*Tabella619[Simmetry Number]*PRODUCT(Tabella48[])))))</f>
        <v>61.449653563017939</v>
      </c>
      <c r="M79" s="9">
        <v>1500</v>
      </c>
      <c r="N79" s="11" cm="1">
        <f t="array" ref="N79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0.66268968430644171</v>
      </c>
      <c r="O79" s="1" cm="1">
        <f t="array" ref="O79">( (Tabella1225104[Theta vib2]/Tabella1124103[[#This Row],[Temperatura]]) /(EXP(Tabella1225104[Theta vib2]/Tabella1124103[[#This Row],[Temperatura]])-1)) - LN(1-EXP(-Tabella1225104[Theta vib2]/Tabella1124103[[#This Row],[Temperatura]]))</f>
        <v>0.12334146341389596</v>
      </c>
      <c r="P79" s="1" cm="1">
        <f t="array" ref="P79">(  (Tabella1225104[Theta vib3]/Tabella1124103[[#This Row],[Temperatura]]) /(EXP(Tabella1225104[Theta vib3]/Tabella1124103[[#This Row],[Temperatura]])-1))- LN(1-EXP(-Tabella1225104[Theta vib3]/Tabella1124103[[#This Row],[Temperatura]]))</f>
        <v>0.11219112728568775</v>
      </c>
      <c r="Q79" s="1" cm="1">
        <f t="array" ref="Q79">Tabella3397[Rydberg R]*SUM(Tabella1124103[[#This Row],[S vib 1]:[S vib 3]])</f>
        <v>7.4682349730911479</v>
      </c>
    </row>
    <row r="80" spans="1:17" x14ac:dyDescent="0.3">
      <c r="A80" s="3">
        <v>1800</v>
      </c>
      <c r="B80" cm="1">
        <f t="array" ref="B80">POWER((2*Tabella3397[Pi Greco]*Tabella3397[Massa]*Tabella3397[Boltzmann k]*Tabella122101[[#This Row],[Temperatura]])/(POWER(Tabella3397[Planck h],2)),1.5)</f>
        <v>1.0974389917222581E+33</v>
      </c>
      <c r="C80" s="1" cm="1">
        <f t="array" ref="C80">(Tabella122101[[#This Row],[Temperatura]]*Tabella3397[Rydberg R])/101325</f>
        <v>0.14770324796447079</v>
      </c>
      <c r="D80" s="1" cm="1">
        <f t="array" ref="D80">Tabella3397[Rydberg R]*LN((Tabella122101[[#This Row],[Volume]]/Tabella3397[Avogadro N])*EXP(2.5)*Tabella122101[[#This Row],[Translational Factor]])</f>
        <v>182.17682380819829</v>
      </c>
      <c r="F80" s="3">
        <v>1700</v>
      </c>
      <c r="G80" s="18" cm="1">
        <f t="array" ref="G80">Tabella33[Rydberg R]*LN((EXP(1)*Tabella13266[[#This Row],[Temperatura]])/(Tabella3[Theta rot]*Tabella619[Simmetry Number]))</f>
        <v>-398.73673156357751</v>
      </c>
      <c r="H80" s="18" cm="1">
        <f t="array" ref="H80">Tabella33[Rydberg R]*(1.5 + LN(SQRT((PI()*POWER(Tabella13266[[#This Row],[Temperatura]],3))/(Tabella619[Simmetry Number]*Tabella619[Simmetry Number]*PRODUCT(Tabella48[])))))</f>
        <v>62.205745234553618</v>
      </c>
      <c r="M80" s="9">
        <v>1600</v>
      </c>
      <c r="N80" s="11" cm="1">
        <f t="array" ref="N80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0.71651298086052084</v>
      </c>
      <c r="O80" s="1" cm="1">
        <f t="array" ref="O80">( (Tabella1225104[Theta vib2]/Tabella1124103[[#This Row],[Temperatura]]) /(EXP(Tabella1225104[Theta vib2]/Tabella1124103[[#This Row],[Temperatura]])-1)) - LN(1-EXP(-Tabella1225104[Theta vib2]/Tabella1124103[[#This Row],[Temperatura]]))</f>
        <v>0.14825602284472678</v>
      </c>
      <c r="P80" s="1" cm="1">
        <f t="array" ref="P80">(  (Tabella1225104[Theta vib3]/Tabella1124103[[#This Row],[Temperatura]]) /(EXP(Tabella1225104[Theta vib3]/Tabella1124103[[#This Row],[Temperatura]])-1))- LN(1-EXP(-Tabella1225104[Theta vib3]/Tabella1124103[[#This Row],[Temperatura]]))</f>
        <v>0.13573393270198794</v>
      </c>
      <c r="Q80" s="1" cm="1">
        <f t="array" ref="Q80">Tabella3397[Rydberg R]*SUM(Tabella1124103[[#This Row],[S vib 1]:[S vib 3]])</f>
        <v>8.318643645646377</v>
      </c>
    </row>
    <row r="81" spans="1:17" x14ac:dyDescent="0.3">
      <c r="A81" s="3">
        <v>1900</v>
      </c>
      <c r="B81" cm="1">
        <f t="array" ref="B81">POWER((2*Tabella3397[Pi Greco]*Tabella3397[Massa]*Tabella3397[Boltzmann k]*Tabella122101[[#This Row],[Temperatura]])/(POWER(Tabella3397[Planck h],2)),1.5)</f>
        <v>1.1901509025144482E+33</v>
      </c>
      <c r="C81" s="1" cm="1">
        <f t="array" ref="C81">(Tabella122101[[#This Row],[Temperatura]]*Tabella3397[Rydberg R])/101325</f>
        <v>0.15590898396249692</v>
      </c>
      <c r="D81" s="1" cm="1">
        <f t="array" ref="D81">Tabella3397[Rydberg R]*LN((Tabella122101[[#This Row],[Volume]]/Tabella3397[Avogadro N])*EXP(2.5)*Tabella122101[[#This Row],[Translational Factor]])</f>
        <v>183.30067344994157</v>
      </c>
      <c r="F81" s="3">
        <v>1800</v>
      </c>
      <c r="G81" s="18" cm="1">
        <f t="array" ref="G81">Tabella33[Rydberg R]*LN((EXP(1)*Tabella13266[[#This Row],[Temperatura]])/(Tabella3[Theta rot]*Tabella619[Simmetry Number]))</f>
        <v>-398.26149010372501</v>
      </c>
      <c r="H81" s="18" cm="1">
        <f t="array" ref="H81">Tabella33[Rydberg R]*(1.5 + LN(SQRT((PI()*POWER(Tabella13266[[#This Row],[Temperatura]],3))/(Tabella619[Simmetry Number]*Tabella619[Simmetry Number]*PRODUCT(Tabella48[])))))</f>
        <v>62.918607424332407</v>
      </c>
      <c r="M81" s="9">
        <v>1700</v>
      </c>
      <c r="N81" s="11" cm="1">
        <f t="array" ref="N81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0.76814696344441136</v>
      </c>
      <c r="O81" s="1" cm="1">
        <f t="array" ref="O81">( (Tabella1225104[Theta vib2]/Tabella1124103[[#This Row],[Temperatura]]) /(EXP(Tabella1225104[Theta vib2]/Tabella1124103[[#This Row],[Temperatura]])-1)) - LN(1-EXP(-Tabella1225104[Theta vib2]/Tabella1124103[[#This Row],[Temperatura]]))</f>
        <v>0.17421939116687452</v>
      </c>
      <c r="P81" s="1" cm="1">
        <f t="array" ref="P81">(  (Tabella1225104[Theta vib3]/Tabella1124103[[#This Row],[Temperatura]]) /(EXP(Tabella1225104[Theta vib3]/Tabella1124103[[#This Row],[Temperatura]])-1))- LN(1-EXP(-Tabella1225104[Theta vib3]/Tabella1124103[[#This Row],[Temperatura]]))</f>
        <v>0.16040885100273317</v>
      </c>
      <c r="Q81" s="1" cm="1">
        <f t="array" ref="Q81">Tabella3397[Rydberg R]*SUM(Tabella1124103[[#This Row],[S vib 1]:[S vib 3]])</f>
        <v>9.1689825416199486</v>
      </c>
    </row>
    <row r="82" spans="1:17" x14ac:dyDescent="0.3">
      <c r="A82" s="3">
        <v>2000</v>
      </c>
      <c r="B82" s="3" cm="1">
        <f t="array" ref="B82">POWER((2*Tabella3397[Pi Greco]*Tabella3397[Massa]*Tabella3397[Boltzmann k]*Tabella122101[[#This Row],[Temperatura]])/(POWER(Tabella3397[Planck h],2)),1.5)</f>
        <v>1.2853358544151788E+33</v>
      </c>
      <c r="C82" s="1" cm="1">
        <f t="array" ref="C82">(Tabella122101[[#This Row],[Temperatura]]*Tabella3397[Rydberg R])/101325</f>
        <v>0.1641147199605231</v>
      </c>
      <c r="D82" s="1" cm="1">
        <f t="array" ref="D82">Tabella3397[Rydberg R]*LN((Tabella122101[[#This Row],[Volume]]/Tabella3397[Avogadro N])*EXP(2.5)*Tabella122101[[#This Row],[Translational Factor]])</f>
        <v>184.36686381754171</v>
      </c>
      <c r="F82" s="3">
        <v>1900</v>
      </c>
      <c r="G82" s="18" cm="1">
        <f t="array" ref="G82">Tabella33[Rydberg R]*LN((EXP(1)*Tabella13266[[#This Row],[Temperatura]])/(Tabella3[Theta rot]*Tabella619[Simmetry Number]))</f>
        <v>-397.81195024702771</v>
      </c>
      <c r="H82" s="18" cm="1">
        <f t="array" ref="H82">Tabella33[Rydberg R]*(1.5 + LN(SQRT((PI()*POWER(Tabella13266[[#This Row],[Temperatura]],3))/(Tabella619[Simmetry Number]*Tabella619[Simmetry Number]*PRODUCT(Tabella48[])))))</f>
        <v>63.592917209378363</v>
      </c>
      <c r="M82" s="9">
        <v>1800</v>
      </c>
      <c r="N82" s="11" cm="1">
        <f t="array" ref="N82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0.8176928546766522</v>
      </c>
      <c r="O82" s="1" cm="1">
        <f t="array" ref="O82">( (Tabella1225104[Theta vib2]/Tabella1124103[[#This Row],[Temperatura]]) /(EXP(Tabella1225104[Theta vib2]/Tabella1124103[[#This Row],[Temperatura]])-1)) - LN(1-EXP(-Tabella1225104[Theta vib2]/Tabella1124103[[#This Row],[Temperatura]]))</f>
        <v>0.20094909373402881</v>
      </c>
      <c r="P82" s="1" cm="1">
        <f t="array" ref="P82">(  (Tabella1225104[Theta vib3]/Tabella1124103[[#This Row],[Temperatura]]) /(EXP(Tabella1225104[Theta vib3]/Tabella1124103[[#This Row],[Temperatura]])-1))- LN(1-EXP(-Tabella1225104[Theta vib3]/Tabella1124103[[#This Row],[Temperatura]]))</f>
        <v>0.18593767201468148</v>
      </c>
      <c r="Q82" s="1" cm="1">
        <f t="array" ref="Q82">Tabella3397[Rydberg R]*SUM(Tabella1124103[[#This Row],[S vib 1]:[S vib 3]])</f>
        <v>10.015431480001102</v>
      </c>
    </row>
    <row r="83" spans="1:17" x14ac:dyDescent="0.3">
      <c r="F83" s="3">
        <v>2000</v>
      </c>
      <c r="G83" s="18" cm="1">
        <f t="array" ref="G83">Tabella33[Rydberg R]*LN((EXP(1)*Tabella13266[[#This Row],[Temperatura]])/(Tabella3[Theta rot]*Tabella619[Simmetry Number]))</f>
        <v>-397.38547409998762</v>
      </c>
      <c r="H83" s="18" cm="1">
        <f t="array" ref="H83">Tabella33[Rydberg R]*(1.5 + LN(SQRT((PI()*POWER(Tabella13266[[#This Row],[Temperatura]],3))/(Tabella619[Simmetry Number]*Tabella619[Simmetry Number]*PRODUCT(Tabella48[])))))</f>
        <v>64.232631429938522</v>
      </c>
      <c r="M83" s="9">
        <v>1900</v>
      </c>
      <c r="N83" s="11" cm="1">
        <f t="array" ref="N83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0.86526097204133967</v>
      </c>
      <c r="O83" s="1" cm="1">
        <f t="array" ref="O83">( (Tabella1225104[Theta vib2]/Tabella1124103[[#This Row],[Temperatura]]) /(EXP(Tabella1225104[Theta vib2]/Tabella1124103[[#This Row],[Temperatura]])-1)) - LN(1-EXP(-Tabella1225104[Theta vib2]/Tabella1124103[[#This Row],[Temperatura]]))</f>
        <v>0.22820668949219275</v>
      </c>
      <c r="P83" s="1" cm="1">
        <f t="array" ref="P83">(  (Tabella1225104[Theta vib3]/Tabella1124103[[#This Row],[Temperatura]]) /(EXP(Tabella1225104[Theta vib3]/Tabella1124103[[#This Row],[Temperatura]])-1))- LN(1-EXP(-Tabella1225104[Theta vib3]/Tabella1124103[[#This Row],[Temperatura]]))</f>
        <v>0.21208206838575411</v>
      </c>
      <c r="Q83" s="1" cm="1">
        <f t="array" ref="Q83">Tabella3397[Rydberg R]*SUM(Tabella1124103[[#This Row],[S vib 1]:[S vib 3]])</f>
        <v>10.854943618524171</v>
      </c>
    </row>
    <row r="84" spans="1:17" x14ac:dyDescent="0.3">
      <c r="M84" s="9">
        <v>2000</v>
      </c>
      <c r="N84" s="11" cm="1">
        <f t="array" ref="N84" xml:space="preserve">   ((Tabella1225104[Theta vib 1]/Tabella1124103[[#This Row],[Temperatura]]) /(EXP(Tabella1225104[Theta vib 1]/Tabella1124103[[#This Row],[Temperatura]])-1) )- LN(1-EXP(-Tabella1225104[Theta vib 1]/Tabella1124103[[#This Row],[Temperatura]]))</f>
        <v>0.91096381827927675</v>
      </c>
      <c r="O84" s="1" cm="1">
        <f t="array" ref="O84">( (Tabella1225104[Theta vib2]/Tabella1124103[[#This Row],[Temperatura]]) /(EXP(Tabella1225104[Theta vib2]/Tabella1124103[[#This Row],[Temperatura]])-1)) - LN(1-EXP(-Tabella1225104[Theta vib2]/Tabella1124103[[#This Row],[Temperatura]]))</f>
        <v>0.25579392803139589</v>
      </c>
      <c r="P84" s="1" cm="1">
        <f t="array" ref="P84">(  (Tabella1225104[Theta vib3]/Tabella1124103[[#This Row],[Temperatura]]) /(EXP(Tabella1225104[Theta vib3]/Tabella1124103[[#This Row],[Temperatura]])-1))- LN(1-EXP(-Tabella1225104[Theta vib3]/Tabella1124103[[#This Row],[Temperatura]]))</f>
        <v>0.23864122114833441</v>
      </c>
      <c r="Q84" s="1" cm="1">
        <f t="array" ref="Q84">Tabella3397[Rydberg R]*SUM(Tabella1124103[[#This Row],[S vib 1]:[S vib 3]])</f>
        <v>11.685136309777151</v>
      </c>
    </row>
    <row r="94" spans="1:17" x14ac:dyDescent="0.3">
      <c r="A94" t="s">
        <v>71</v>
      </c>
      <c r="B94" t="s">
        <v>72</v>
      </c>
      <c r="C94" t="s">
        <v>73</v>
      </c>
      <c r="D94" t="s">
        <v>74</v>
      </c>
    </row>
    <row r="95" spans="1:17" x14ac:dyDescent="0.3">
      <c r="A95" t="s">
        <v>76</v>
      </c>
      <c r="B95" s="1">
        <f>D65</f>
        <v>144.79399541361065</v>
      </c>
      <c r="C95" s="1">
        <f>(34.608*4.184)</f>
        <v>144.79987199999999</v>
      </c>
      <c r="D95" s="17">
        <f>ABS(Tabella2054115[[#This Row],[My value]]-Tabella2054115[[#This Row],[Gaussian]])/Tabella2054115[[#This Row],[Gaussian]]</f>
        <v>4.0584196022966125E-5</v>
      </c>
    </row>
    <row r="96" spans="1:17" x14ac:dyDescent="0.3">
      <c r="A96" t="s">
        <v>77</v>
      </c>
      <c r="B96" s="1">
        <f>Q67</f>
        <v>3.1612054179673874E-2</v>
      </c>
      <c r="C96" s="1">
        <f>0.008*4.184</f>
        <v>3.3472000000000002E-2</v>
      </c>
      <c r="D96" s="17">
        <f>ABS(Tabella2054115[[#This Row],[My value]]-Tabella2054115[[#This Row],[Gaussian]])/Tabella2054115[[#This Row],[Gaussian]]</f>
        <v>5.5567214995402965E-2</v>
      </c>
    </row>
    <row r="97" spans="1:10" x14ac:dyDescent="0.3">
      <c r="A97" t="s">
        <v>78</v>
      </c>
      <c r="B97" s="1">
        <f>G66</f>
        <v>-413.21462146156006</v>
      </c>
      <c r="C97" s="1">
        <f>10.484*4.184</f>
        <v>43.865056000000003</v>
      </c>
      <c r="D97" s="17">
        <f>ABS(Tabella2054115[[#This Row],[My value]]-Tabella2054115[[#This Row],[Gaussian]])/Tabella2054115[[#This Row],[Gaussian]]</f>
        <v>10.420132085584481</v>
      </c>
    </row>
    <row r="98" spans="1:10" x14ac:dyDescent="0.3">
      <c r="A98" t="s">
        <v>97</v>
      </c>
      <c r="B98" s="1">
        <f>H66</f>
        <v>44.160215883499525</v>
      </c>
      <c r="C98">
        <f>10.484*4.184</f>
        <v>43.865056000000003</v>
      </c>
      <c r="D98" s="15">
        <f>ABS(Tabella2054115[[#This Row],[My value]]-Tabella2054115[[#This Row],[Gaussian]])/Tabella2054115[[#This Row],[Gaussian]]</f>
        <v>6.7288158369049472E-3</v>
      </c>
    </row>
    <row r="99" spans="1:10" x14ac:dyDescent="0.3">
      <c r="A99" t="s">
        <v>79</v>
      </c>
      <c r="B99">
        <v>0</v>
      </c>
      <c r="C99">
        <v>0</v>
      </c>
      <c r="D99" s="15">
        <f>0</f>
        <v>0</v>
      </c>
    </row>
    <row r="102" spans="1:10" x14ac:dyDescent="0.3">
      <c r="A102" s="5" t="s">
        <v>4</v>
      </c>
      <c r="B102" s="5" t="s">
        <v>45</v>
      </c>
      <c r="C102" s="5" t="s">
        <v>46</v>
      </c>
      <c r="G102" t="s">
        <v>57</v>
      </c>
      <c r="H102" t="s">
        <v>36</v>
      </c>
      <c r="I102" t="s">
        <v>37</v>
      </c>
    </row>
    <row r="103" spans="1:10" x14ac:dyDescent="0.3">
      <c r="A103" s="3">
        <v>298</v>
      </c>
      <c r="B103" s="1" cm="1">
        <f t="array" ref="B103">(3/2)*Tabella3397[Rydberg R]</f>
        <v>12.471693000000002</v>
      </c>
      <c r="C103" s="1" cm="1">
        <f t="array" ref="C103">(3/2)*Tabella3397[Rydberg R]</f>
        <v>12.471693000000002</v>
      </c>
      <c r="G103" s="8">
        <f>K65</f>
        <v>2306.727227798182</v>
      </c>
      <c r="H103" s="8">
        <f>K66</f>
        <v>5480.897193103845</v>
      </c>
      <c r="I103" s="8">
        <f>K67</f>
        <v>5656.44541098027</v>
      </c>
    </row>
    <row r="104" spans="1:10" x14ac:dyDescent="0.3">
      <c r="A104" s="3">
        <v>400</v>
      </c>
      <c r="B104" s="1" cm="1">
        <f t="array" ref="B104">(3/2)*Tabella3397[Rydberg R]</f>
        <v>12.471693000000002</v>
      </c>
      <c r="C104" s="1" cm="1">
        <f t="array" ref="C104">(3/2)*Tabella3397[Rydberg R]</f>
        <v>12.471693000000002</v>
      </c>
      <c r="F104" s="5" t="s">
        <v>4</v>
      </c>
      <c r="G104" s="5" t="s">
        <v>47</v>
      </c>
      <c r="H104" s="5" t="s">
        <v>48</v>
      </c>
      <c r="I104" s="5" t="s">
        <v>49</v>
      </c>
      <c r="J104" s="5" t="s">
        <v>56</v>
      </c>
    </row>
    <row r="105" spans="1:10" x14ac:dyDescent="0.3">
      <c r="A105" s="3">
        <v>500</v>
      </c>
      <c r="B105" s="1" cm="1">
        <f t="array" ref="B105">(3/2)*Tabella3397[Rydberg R]</f>
        <v>12.471693000000002</v>
      </c>
      <c r="C105" s="1" cm="1">
        <f t="array" ref="C105">(3/2)*Tabella3397[Rydberg R]</f>
        <v>12.471693000000002</v>
      </c>
      <c r="F105" s="3">
        <v>298</v>
      </c>
      <c r="G105" s="12" cm="1">
        <f t="array" ref="G105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2.607332254449574E-2</v>
      </c>
      <c r="H105" s="12" cm="1">
        <f t="array" ref="H105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3.4802332634630541E-6</v>
      </c>
      <c r="I105" s="12" cm="1">
        <f t="array" ref="I105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1.9309484993978373E-6</v>
      </c>
      <c r="J105" s="1" cm="1">
        <f t="array" ref="J105">SUM(G104:I105)*Tabella3397[Rydberg R]</f>
        <v>0.21683064057509557</v>
      </c>
    </row>
    <row r="106" spans="1:10" x14ac:dyDescent="0.3">
      <c r="A106" s="3">
        <v>600</v>
      </c>
      <c r="B106" s="1" cm="1">
        <f t="array" ref="B106">(3/2)*Tabella3397[Rydberg R]</f>
        <v>12.471693000000002</v>
      </c>
      <c r="C106" s="1" cm="1">
        <f t="array" ref="C106">(3/2)*Tabella3397[Rydberg R]</f>
        <v>12.471693000000002</v>
      </c>
      <c r="F106" s="3">
        <v>400</v>
      </c>
      <c r="G106" s="12" cm="1">
        <f t="array" ref="G106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0.10473646729760502</v>
      </c>
      <c r="H106" s="1" cm="1">
        <f t="array" ref="H106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2.1026925932390839E-4</v>
      </c>
      <c r="I106" s="1" cm="1">
        <f t="array" ref="I106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1.3557399181051983E-4</v>
      </c>
      <c r="J106" s="1" cm="1">
        <f t="array" ref="J106">SUM(G105:I106)*Tabella3397[Rydberg R]</f>
        <v>1.0905335185047891</v>
      </c>
    </row>
    <row r="107" spans="1:10" x14ac:dyDescent="0.3">
      <c r="A107" s="3">
        <v>700</v>
      </c>
      <c r="B107" s="1" cm="1">
        <f t="array" ref="B107">(3/2)*Tabella3397[Rydberg R]</f>
        <v>12.471693000000002</v>
      </c>
      <c r="C107" s="1" cm="1">
        <f t="array" ref="C107">(3/2)*Tabella3397[Rydberg R]</f>
        <v>12.471693000000002</v>
      </c>
      <c r="F107" s="3">
        <v>500</v>
      </c>
      <c r="G107" s="12" cm="1">
        <f t="array" ref="G107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0.2153336458379348</v>
      </c>
      <c r="H107" s="1" cm="1">
        <f t="array" ref="H107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2.0851224370733641E-3</v>
      </c>
      <c r="I107" s="1" cm="1">
        <f t="array" ref="I107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1.4677356881667503E-3</v>
      </c>
      <c r="J107" s="1" cm="1">
        <f t="array" ref="J107">SUM(G106:I107)*Tabella3397[Rydberg R]</f>
        <v>2.6936263974443611</v>
      </c>
    </row>
    <row r="108" spans="1:10" x14ac:dyDescent="0.3">
      <c r="A108" s="3">
        <v>800</v>
      </c>
      <c r="B108" s="1" cm="1">
        <f t="array" ref="B108">(3/2)*Tabella3397[Rydberg R]</f>
        <v>12.471693000000002</v>
      </c>
      <c r="C108" s="1" cm="1">
        <f t="array" ref="C108">(3/2)*Tabella3397[Rydberg R]</f>
        <v>12.471693000000002</v>
      </c>
      <c r="F108" s="3">
        <v>600</v>
      </c>
      <c r="G108" s="12" cm="1">
        <f t="array" ref="G108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0.33022601089034603</v>
      </c>
      <c r="H108" s="1" cm="1">
        <f t="array" ref="H108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9.0009595471358429E-3</v>
      </c>
      <c r="I108" s="1" cm="1">
        <f t="array" ref="I108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6.7173659602388696E-3</v>
      </c>
      <c r="J108" s="1" cm="1">
        <f t="array" ref="J108">SUM(G107:I108)*Tabella3397[Rydberg R]</f>
        <v>4.6962645586087337</v>
      </c>
    </row>
    <row r="109" spans="1:10" x14ac:dyDescent="0.3">
      <c r="A109" s="3">
        <v>900</v>
      </c>
      <c r="B109" s="1" cm="1">
        <f t="array" ref="B109">(3/2)*Tabella3397[Rydberg R]</f>
        <v>12.471693000000002</v>
      </c>
      <c r="C109" s="1" cm="1">
        <f t="array" ref="C109">(3/2)*Tabella3397[Rydberg R]</f>
        <v>12.471693000000002</v>
      </c>
      <c r="F109" s="3">
        <v>700</v>
      </c>
      <c r="G109" s="12" cm="1">
        <f t="array" ref="G109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0.43396335596406238</v>
      </c>
      <c r="H109" s="1" cm="1">
        <f t="array" ref="H109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2.4400049907112146E-2</v>
      </c>
      <c r="I109" s="1" cm="1">
        <f t="array" ref="I109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1.8984550697461314E-2</v>
      </c>
      <c r="J109" s="1" cm="1">
        <f t="array" ref="J109">SUM(G108:I109)*Tabella3397[Rydberg R]</f>
        <v>6.8452324847616399</v>
      </c>
    </row>
    <row r="110" spans="1:10" x14ac:dyDescent="0.3">
      <c r="A110" s="3">
        <v>1000</v>
      </c>
      <c r="B110" s="1" cm="1">
        <f t="array" ref="B110">(3/2)*Tabella3397[Rydberg R]</f>
        <v>12.471693000000002</v>
      </c>
      <c r="C110" s="1" cm="1">
        <f t="array" ref="C110">(3/2)*Tabella3397[Rydberg R]</f>
        <v>12.471693000000002</v>
      </c>
      <c r="F110" s="3">
        <v>800</v>
      </c>
      <c r="G110" s="12" cm="1">
        <f t="array" ref="G110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0.52187694193030743</v>
      </c>
      <c r="H110" s="1" cm="1">
        <f t="array" ref="H110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4.9778151615668627E-2</v>
      </c>
      <c r="I110" s="1" cm="1">
        <f t="array" ref="I110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3.9953787669445587E-2</v>
      </c>
      <c r="J110" s="1" cm="1">
        <f t="array" ref="J110">SUM(G109:I110)*Tabella3397[Rydberg R]</f>
        <v>9.0540902473957114</v>
      </c>
    </row>
    <row r="111" spans="1:10" x14ac:dyDescent="0.3">
      <c r="A111" s="3">
        <v>1100</v>
      </c>
      <c r="B111" s="1" cm="1">
        <f t="array" ref="B111">(3/2)*Tabella3397[Rydberg R]</f>
        <v>12.471693000000002</v>
      </c>
      <c r="C111" s="1" cm="1">
        <f t="array" ref="C111">(3/2)*Tabella3397[Rydberg R]</f>
        <v>12.471693000000002</v>
      </c>
      <c r="F111" s="3">
        <v>900</v>
      </c>
      <c r="G111" s="12" cm="1">
        <f t="array" ref="G111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0.59437541224951462</v>
      </c>
      <c r="H111" s="1" cm="1">
        <f t="array" ref="H111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8.4408206853044801E-2</v>
      </c>
      <c r="I111" s="1" cm="1">
        <f t="array" ref="I111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6.9394415928409475E-2</v>
      </c>
      <c r="J111" s="1" cm="1">
        <f t="array" ref="J111">SUM(G110:I111)*Tabella3397[Rydberg R]</f>
        <v>11.305896643227797</v>
      </c>
    </row>
    <row r="112" spans="1:10" x14ac:dyDescent="0.3">
      <c r="A112" s="3">
        <v>1200</v>
      </c>
      <c r="B112" s="1" cm="1">
        <f t="array" ref="B112">(3/2)*Tabella3397[Rydberg R]</f>
        <v>12.471693000000002</v>
      </c>
      <c r="C112" s="1" cm="1">
        <f t="array" ref="C112">(3/2)*Tabella3397[Rydberg R]</f>
        <v>12.471693000000002</v>
      </c>
      <c r="F112" s="3">
        <v>1000</v>
      </c>
      <c r="G112" s="12" cm="1">
        <f t="array" ref="G112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0.65359650328313945</v>
      </c>
      <c r="H112" s="1" cm="1">
        <f t="array" ref="H112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0.12618439450199626</v>
      </c>
      <c r="I112" s="1" cm="1">
        <f t="array" ref="I112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0.10572586495750155</v>
      </c>
      <c r="J112" s="1" cm="1">
        <f t="array" ref="J112">SUM(G111:I112)*Tabella3397[Rydberg R]</f>
        <v>13.583210171066334</v>
      </c>
    </row>
    <row r="113" spans="1:10" x14ac:dyDescent="0.3">
      <c r="A113" s="3">
        <v>1300</v>
      </c>
      <c r="B113" s="1" cm="1">
        <f t="array" ref="B113">(3/2)*Tabella3397[Rydberg R]</f>
        <v>12.471693000000002</v>
      </c>
      <c r="C113" s="1" cm="1">
        <f t="array" ref="C113">(3/2)*Tabella3397[Rydberg R]</f>
        <v>12.471693000000002</v>
      </c>
      <c r="F113" s="3">
        <v>1100</v>
      </c>
      <c r="G113" s="12" cm="1">
        <f t="array" ref="G113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0.70194759288909125</v>
      </c>
      <c r="H113" s="1" cm="1">
        <f t="array" ref="H113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0.17256912977889718</v>
      </c>
      <c r="I113" s="1" cm="1">
        <f t="array" ref="I113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0.14681497113969044</v>
      </c>
      <c r="J113" s="1" cm="1">
        <f t="array" ref="J113">SUM(G112:I113)*Tabella3397[Rydberg R]</f>
        <v>15.854335887126258</v>
      </c>
    </row>
    <row r="114" spans="1:10" x14ac:dyDescent="0.3">
      <c r="A114" s="3">
        <v>1400</v>
      </c>
      <c r="B114" s="1" cm="1">
        <f t="array" ref="B114">(3/2)*Tabella3397[Rydberg R]</f>
        <v>12.471693000000002</v>
      </c>
      <c r="C114" s="1" cm="1">
        <f t="array" ref="C114">(3/2)*Tabella3397[Rydberg R]</f>
        <v>12.471693000000002</v>
      </c>
      <c r="F114" s="3">
        <v>1200</v>
      </c>
      <c r="G114" s="12" cm="1">
        <f t="array" ref="G114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0.74158460393300274</v>
      </c>
      <c r="H114" s="1" cm="1">
        <f t="array" ref="H114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0.22121024963104657</v>
      </c>
      <c r="I114" s="1" cm="1">
        <f t="array" ref="I114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0.19056040068120791</v>
      </c>
      <c r="J114" s="1" cm="1">
        <f t="array" ref="J114">SUM(G113:I114)*Tabella3397[Rydberg R]</f>
        <v>18.081351991482112</v>
      </c>
    </row>
    <row r="115" spans="1:10" x14ac:dyDescent="0.3">
      <c r="A115" s="3">
        <v>1500</v>
      </c>
      <c r="B115" s="1" cm="1">
        <f t="array" ref="B115">(3/2)*Tabella3397[Rydberg R]</f>
        <v>12.471693000000002</v>
      </c>
      <c r="C115" s="1" cm="1">
        <f t="array" ref="C115">(3/2)*Tabella3397[Rydberg R]</f>
        <v>12.471693000000002</v>
      </c>
      <c r="F115" s="3">
        <v>1300</v>
      </c>
      <c r="G115" s="12" cm="1">
        <f t="array" ref="G115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0.77428359337631758</v>
      </c>
      <c r="H115" s="1" cm="1">
        <f t="array" ref="H115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0.27021621373285859</v>
      </c>
      <c r="I115" s="1" cm="1">
        <f t="array" ref="I115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0.23519268439544236</v>
      </c>
      <c r="J115" s="1" cm="1">
        <f t="array" ref="J115">SUM(G114:I115)*Tabella3397[Rydberg R]</f>
        <v>20.229483026223001</v>
      </c>
    </row>
    <row r="116" spans="1:10" x14ac:dyDescent="0.3">
      <c r="A116" s="3">
        <v>1600</v>
      </c>
      <c r="B116" s="1" cm="1">
        <f t="array" ref="B116">(3/2)*Tabella3397[Rydberg R]</f>
        <v>12.471693000000002</v>
      </c>
      <c r="C116" s="1" cm="1">
        <f t="array" ref="C116">(3/2)*Tabella3397[Rydberg R]</f>
        <v>12.471693000000002</v>
      </c>
      <c r="F116" s="3">
        <v>1400</v>
      </c>
      <c r="G116" s="12" cm="1">
        <f t="array" ref="G116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0.80145666444109687</v>
      </c>
      <c r="H116" s="1" cm="1">
        <f t="array" ref="H116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0.3182091701842869</v>
      </c>
      <c r="I116" s="1" cm="1">
        <f t="array" ref="I116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0.27936723598475122</v>
      </c>
      <c r="J116" s="1" cm="1">
        <f t="array" ref="J116">SUM(G115:I116)*Tabella3397[Rydberg R]</f>
        <v>22.272161894631761</v>
      </c>
    </row>
    <row r="117" spans="1:10" x14ac:dyDescent="0.3">
      <c r="A117" s="3">
        <v>1700</v>
      </c>
      <c r="B117" s="1" cm="1">
        <f t="array" ref="B117">(3/2)*Tabella3397[Rydberg R]</f>
        <v>12.471693000000002</v>
      </c>
      <c r="C117" s="1" cm="1">
        <f t="array" ref="C117">(3/2)*Tabella3397[Rydberg R]</f>
        <v>12.471693000000002</v>
      </c>
      <c r="F117" s="3">
        <v>1500</v>
      </c>
      <c r="G117" s="12" cm="1">
        <f t="array" ref="G117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0.82421032200024358</v>
      </c>
      <c r="H117" s="1" cm="1">
        <f t="array" ref="H117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0.36426861777629466</v>
      </c>
      <c r="I117" s="1" cm="1">
        <f t="array" ref="I117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0.3221436151033038</v>
      </c>
      <c r="J117" s="1" cm="1">
        <f t="array" ref="J117">SUM(G116:I117)*Tabella3397[Rydberg R]</f>
        <v>24.192221131222649</v>
      </c>
    </row>
    <row r="118" spans="1:10" x14ac:dyDescent="0.3">
      <c r="A118" s="3">
        <v>1800</v>
      </c>
      <c r="B118" s="1" cm="1">
        <f t="array" ref="B118">(3/2)*Tabella3397[Rydberg R]</f>
        <v>12.471693000000002</v>
      </c>
      <c r="C118" s="1" cm="1">
        <f t="array" ref="C118">(3/2)*Tabella3397[Rydberg R]</f>
        <v>12.471693000000002</v>
      </c>
      <c r="F118" s="3">
        <v>1600</v>
      </c>
      <c r="G118" s="12" cm="1">
        <f t="array" ref="G118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0.84340799478198936</v>
      </c>
      <c r="H118" s="1" cm="1">
        <f t="array" ref="H118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0.40783747738500753</v>
      </c>
      <c r="I118" s="1" cm="1">
        <f t="array" ref="I118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0.36291737154346665</v>
      </c>
      <c r="J118" s="1" cm="1">
        <f t="array" ref="J118">SUM(G117:I118)*Tabella3397[Rydberg R]</f>
        <v>25.980909454733954</v>
      </c>
    </row>
    <row r="119" spans="1:10" x14ac:dyDescent="0.3">
      <c r="A119" s="3">
        <v>1900</v>
      </c>
      <c r="B119" s="1" cm="1">
        <f t="array" ref="B119">(3/2)*Tabella3397[Rydberg R]</f>
        <v>12.471693000000002</v>
      </c>
      <c r="C119" s="1" cm="1">
        <f t="array" ref="C119">(3/2)*Tabella3397[Rydberg R]</f>
        <v>12.471693000000002</v>
      </c>
      <c r="F119" s="3">
        <v>1700</v>
      </c>
      <c r="G119" s="12" cm="1">
        <f t="array" ref="G119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0.85972432170203983</v>
      </c>
      <c r="H119" s="1" cm="1">
        <f t="array" ref="H119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0.4486273534664113</v>
      </c>
      <c r="I119" s="1" cm="1">
        <f t="array" ref="I119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0.40134183672206664</v>
      </c>
      <c r="J119" s="1" cm="1">
        <f t="array" ref="J119">SUM(G118:I119)*Tabella3397[Rydberg R]</f>
        <v>27.636077362102853</v>
      </c>
    </row>
    <row r="120" spans="1:10" x14ac:dyDescent="0.3">
      <c r="A120" s="3">
        <v>2000</v>
      </c>
      <c r="B120" s="1" cm="1">
        <f t="array" ref="B120">(3/2)*Tabella3397[Rydberg R]</f>
        <v>12.471693000000002</v>
      </c>
      <c r="C120" s="1" cm="1">
        <f t="array" ref="C120">(3/2)*Tabella3397[Rydberg R]</f>
        <v>12.471693000000002</v>
      </c>
      <c r="F120" s="3">
        <v>1800</v>
      </c>
      <c r="G120" s="12" cm="1">
        <f t="array" ref="G120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0.8736887010792368</v>
      </c>
      <c r="H120" s="1" cm="1">
        <f t="array" ref="H120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0.48653798411187543</v>
      </c>
      <c r="I120" s="1" cm="1">
        <f t="array" ref="I120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0.4372572056904534</v>
      </c>
      <c r="J120" s="1" cm="1">
        <f t="array" ref="J120">SUM(G119:I120)*Tabella3397[Rydberg R]</f>
        <v>29.160293242607182</v>
      </c>
    </row>
    <row r="121" spans="1:10" x14ac:dyDescent="0.3">
      <c r="F121" s="3">
        <v>1900</v>
      </c>
      <c r="G121" s="12" cm="1">
        <f t="array" ref="G121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0.88571901702381428</v>
      </c>
      <c r="H121" s="1" cm="1">
        <f t="array" ref="H121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0.52159453651048548</v>
      </c>
      <c r="I121" s="1" cm="1">
        <f t="array" ref="I121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0.47063288772516243</v>
      </c>
      <c r="J121" s="1" cm="1">
        <f t="array" ref="J121">SUM(G120:I121)*Tabella3397[Rydberg R]</f>
        <v>30.559225830233956</v>
      </c>
    </row>
    <row r="122" spans="1:10" x14ac:dyDescent="0.3">
      <c r="F122" s="3">
        <v>2000</v>
      </c>
      <c r="G122" s="12" cm="1">
        <f t="array" ref="G122">(    POWER(Tabella31108[Theta vib1],2)*EXP(Tabella31108[Theta vib1]/Tabella1629107[[#This Row],[Temperatura]])    )   /       (   POWER(Tabella1629107[[#This Row],[Temperatura]],2)*POWER(EXP(Tabella31108[Theta vib1]/Tabella1629107[[#This Row],[Temperatura]])-1,2)  )</f>
        <v>0.8961473505850267</v>
      </c>
      <c r="H122" s="1" cm="1">
        <f t="array" ref="H122">(    POWER(Tabella31108[Theta vib2],2)*EXP(Tabella31108[Theta vib2]/Tabella1629107[[#This Row],[Temperatura]])    )   /       (   POWER(Tabella1629107[[#This Row],[Temperatura]],2)*POWER(EXP(Tabella31108[Theta vib2]/Tabella1629107[[#This Row],[Temperatura]])-1,2)  )</f>
        <v>0.55390139826960205</v>
      </c>
      <c r="I122" s="1" cm="1">
        <f t="array" ref="I122">(    POWER(Tabella31108[Theta vib2],2)*EXP(Tabella31108[Theta vib3]/Tabella1629107[[#This Row],[Temperatura]])    )   /       (   POWER(Tabella1629107[[#This Row],[Temperatura]],2)*POWER(EXP(Tabella31108[Theta vib3]/Tabella1629107[[#This Row],[Temperatura]])-1,2)  )</f>
        <v>0.50152354764585949</v>
      </c>
      <c r="J122" s="1" cm="1">
        <f t="array" ref="J122">SUM(G121:I122)*Tabella3397[Rydberg R]</f>
        <v>31.840388023393075</v>
      </c>
    </row>
    <row r="126" spans="1:10" ht="42.6" x14ac:dyDescent="0.85">
      <c r="A126" s="13" t="s">
        <v>80</v>
      </c>
    </row>
    <row r="128" spans="1:10" ht="28.8" x14ac:dyDescent="0.55000000000000004">
      <c r="A128" s="14" t="s">
        <v>81</v>
      </c>
    </row>
    <row r="131" spans="1:4" x14ac:dyDescent="0.3">
      <c r="A131" t="s">
        <v>71</v>
      </c>
      <c r="B131" t="s">
        <v>72</v>
      </c>
      <c r="C131" t="s">
        <v>73</v>
      </c>
      <c r="D131" t="s">
        <v>74</v>
      </c>
    </row>
    <row r="132" spans="1:4" x14ac:dyDescent="0.3">
      <c r="A132" t="s">
        <v>82</v>
      </c>
      <c r="B132" s="1">
        <f>C103</f>
        <v>12.471693000000002</v>
      </c>
      <c r="C132" s="1">
        <f>(2.981*4.184)</f>
        <v>12.472504000000001</v>
      </c>
      <c r="D132" s="17">
        <f>ABS(Tabella205456117[[#This Row],[My value]]-Tabella205456117[[#This Row],[Gaussian]])/Tabella205456117[[#This Row],[Gaussian]]</f>
        <v>6.5023029858221328E-5</v>
      </c>
    </row>
    <row r="133" spans="1:4" x14ac:dyDescent="0.3">
      <c r="A133" t="s">
        <v>83</v>
      </c>
      <c r="B133" s="1">
        <f>J105</f>
        <v>0.21683064057509557</v>
      </c>
      <c r="C133" s="1">
        <f>0.052*4.184</f>
        <v>0.21756800000000001</v>
      </c>
      <c r="D133" s="17">
        <f>ABS(Tabella205456117[[#This Row],[My value]]-Tabella205456117[[#This Row],[Gaussian]])/Tabella205456117[[#This Row],[Gaussian]]</f>
        <v>3.3890986951410039E-3</v>
      </c>
    </row>
    <row r="134" spans="1:4" x14ac:dyDescent="0.3">
      <c r="A134" t="s">
        <v>84</v>
      </c>
      <c r="B134" s="1">
        <f>B103</f>
        <v>12.471693000000002</v>
      </c>
      <c r="C134" s="1">
        <f>2.981*4.184</f>
        <v>12.472504000000001</v>
      </c>
      <c r="D134" s="17">
        <f>ABS(Tabella205456117[[#This Row],[My value]]-Tabella205456117[[#This Row],[Gaussian]])/Tabella205456117[[#This Row],[Gaussian]]</f>
        <v>6.5023029858221328E-5</v>
      </c>
    </row>
  </sheetData>
  <pageMargins left="0.7" right="0.7" top="0.75" bottom="0.75" header="0.3" footer="0.3"/>
  <drawing r:id="rId1"/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C9B7-CA09-4EA1-9745-7A4B35CEB28D}">
  <dimension ref="A1:O132"/>
  <sheetViews>
    <sheetView topLeftCell="A100" zoomScale="83" zoomScaleNormal="70" workbookViewId="0">
      <selection activeCell="J60" sqref="J60"/>
    </sheetView>
  </sheetViews>
  <sheetFormatPr defaultRowHeight="14.4" x14ac:dyDescent="0.3"/>
  <cols>
    <col min="1" max="1" width="30" customWidth="1"/>
    <col min="2" max="2" width="27.44140625" customWidth="1"/>
    <col min="3" max="3" width="18.44140625" customWidth="1"/>
    <col min="4" max="4" width="16.109375" customWidth="1"/>
    <col min="5" max="5" width="23.5546875" customWidth="1"/>
    <col min="6" max="6" width="14.6640625" customWidth="1"/>
    <col min="7" max="7" width="16.77734375" customWidth="1"/>
    <col min="8" max="8" width="13.5546875" customWidth="1"/>
    <col min="9" max="9" width="20.44140625" customWidth="1"/>
    <col min="10" max="10" width="13.6640625" customWidth="1"/>
    <col min="11" max="11" width="19.5546875" customWidth="1"/>
    <col min="12" max="13" width="13.6640625" customWidth="1"/>
    <col min="14" max="14" width="11.109375" customWidth="1"/>
    <col min="15" max="15" width="13.6640625" customWidth="1"/>
    <col min="16" max="17" width="13.44140625" customWidth="1"/>
    <col min="18" max="18" width="12" customWidth="1"/>
    <col min="19" max="19" width="13" bestFit="1" customWidth="1"/>
    <col min="20" max="20" width="11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87</v>
      </c>
      <c r="H1" t="s">
        <v>89</v>
      </c>
    </row>
    <row r="2" spans="1:12" x14ac:dyDescent="0.3">
      <c r="A2">
        <v>3.1415899999999999</v>
      </c>
      <c r="B2" s="1">
        <f>28.04*1.6605655E-27</f>
        <v>4.6562256619999995E-26</v>
      </c>
      <c r="C2" s="1">
        <v>1.3806490000000001E-23</v>
      </c>
      <c r="D2" s="1">
        <v>6.6260701499999998E-34</v>
      </c>
      <c r="E2" s="1">
        <v>8.3144620000000007</v>
      </c>
      <c r="F2" s="1">
        <v>6.0221410000000001E+23</v>
      </c>
      <c r="G2">
        <v>29979300000</v>
      </c>
      <c r="H2">
        <f>Tabella3397120[[#This Row],[Speed of Light '[cm/s']]]*POWER(10,-2)</f>
        <v>299793000</v>
      </c>
    </row>
    <row r="4" spans="1:12" x14ac:dyDescent="0.3">
      <c r="A4" t="s">
        <v>85</v>
      </c>
      <c r="B4" t="s">
        <v>86</v>
      </c>
      <c r="C4" t="s">
        <v>88</v>
      </c>
      <c r="D4" t="s">
        <v>90</v>
      </c>
      <c r="E4" t="s">
        <v>75</v>
      </c>
    </row>
    <row r="5" spans="1:12" x14ac:dyDescent="0.3">
      <c r="A5" s="25">
        <f>0</f>
        <v>0</v>
      </c>
      <c r="B5" cm="1">
        <f t="array" ref="B5">((Tabella50111134[[#This Row],[Rotational Constants '[Ghz']]]*1000000000)/Tabella3397120[Speed of Light '[cm/s']])*100</f>
        <v>0</v>
      </c>
      <c r="C5" s="1" t="e" cm="1">
        <f t="array" ref="C5">Tabella3397120[Planck h]/(8*POWER(Tabella3397120[Pi Greco],2)*Tabella50111134[[#This Row],[Rotational Constant '[m^-1']]]*Tabella3397120[Speed of Light '[m/s']])</f>
        <v>#DIV/0!</v>
      </c>
      <c r="D5">
        <f>SQRT(PRODUCT(C6:C7))</f>
        <v>1.4726846359987413E-46</v>
      </c>
      <c r="E5" s="1" cm="1">
        <f t="array" ref="E5">POWER(Tabella3397120[Planck h],2)/(8*POWER(Tabella3397120[Pi Greco],2)*Tabella1118141[[#This Row],[Total Moment of Inertia]]*Tabella3397120[Boltzmann k])</f>
        <v>2.7348280238132827</v>
      </c>
      <c r="F5" s="1"/>
    </row>
    <row r="6" spans="1:12" x14ac:dyDescent="0.3">
      <c r="A6" s="25">
        <f>56.9845699</f>
        <v>56.984569899999997</v>
      </c>
      <c r="B6" cm="1">
        <f t="array" ref="B6">((Tabella50111134[[#This Row],[Rotational Constants '[Ghz']]]*1000000000)/Tabella3397120[Speed of Light '[cm/s']])*100</f>
        <v>190.07972134105867</v>
      </c>
      <c r="C6" s="1" cm="1">
        <f t="array" ref="C6">Tabella3397120[Planck h]/(8*POWER(Tabella3397120[Pi Greco],2)*Tabella50111134[[#This Row],[Rotational Constant '[m^-1']]]*Tabella3397120[Speed of Light '[m/s']])</f>
        <v>1.4726846359987413E-46</v>
      </c>
    </row>
    <row r="7" spans="1:12" x14ac:dyDescent="0.3">
      <c r="A7" s="25">
        <f>56.9845699</f>
        <v>56.984569899999997</v>
      </c>
      <c r="B7" cm="1">
        <f t="array" ref="B7">((Tabella50111134[[#This Row],[Rotational Constants '[Ghz']]]*1000000000)/Tabella3397120[Speed of Light '[cm/s']])*100</f>
        <v>190.07972134105867</v>
      </c>
      <c r="C7" s="1" cm="1">
        <f t="array" ref="C7">Tabella3397120[Planck h]/(8*POWER(Tabella3397120[Pi Greco],2)*Tabella50111134[[#This Row],[Rotational Constant '[m^-1']]]*Tabella3397120[Speed of Light '[m/s']])</f>
        <v>1.4726846359987413E-46</v>
      </c>
    </row>
    <row r="9" spans="1:12" x14ac:dyDescent="0.3">
      <c r="A9" t="s">
        <v>58</v>
      </c>
      <c r="E9" s="1"/>
    </row>
    <row r="10" spans="1:12" x14ac:dyDescent="0.3">
      <c r="A10">
        <v>1</v>
      </c>
    </row>
    <row r="14" spans="1:12" x14ac:dyDescent="0.3">
      <c r="G14" s="1"/>
      <c r="H14" s="1"/>
      <c r="I14" s="1"/>
      <c r="J14" s="1"/>
      <c r="K14" s="1"/>
      <c r="L14" s="1"/>
    </row>
    <row r="15" spans="1:12" x14ac:dyDescent="0.3">
      <c r="A15" s="4"/>
      <c r="E15" t="s">
        <v>61</v>
      </c>
      <c r="G15" s="1"/>
      <c r="H15" s="1"/>
      <c r="I15" s="1"/>
      <c r="J15" s="1"/>
      <c r="K15" s="1"/>
      <c r="L15" s="1"/>
    </row>
    <row r="16" spans="1:12" x14ac:dyDescent="0.3">
      <c r="A16" s="4"/>
      <c r="E16">
        <f>B20</f>
        <v>66007385456220.008</v>
      </c>
      <c r="G16" s="1"/>
      <c r="H16" s="1"/>
      <c r="I16" s="1"/>
      <c r="J16" s="1"/>
      <c r="K16" s="1"/>
      <c r="L16" s="1"/>
    </row>
    <row r="17" spans="1:12" x14ac:dyDescent="0.3">
      <c r="D17" t="s">
        <v>4</v>
      </c>
      <c r="E17" t="s">
        <v>17</v>
      </c>
      <c r="F17" t="s">
        <v>18</v>
      </c>
      <c r="G17" s="1"/>
      <c r="H17" s="1"/>
      <c r="I17" s="1"/>
      <c r="J17" s="1"/>
      <c r="K17" s="1"/>
      <c r="L17" s="1"/>
    </row>
    <row r="18" spans="1:12" x14ac:dyDescent="0.3">
      <c r="D18">
        <v>298</v>
      </c>
      <c r="E18" s="1" cm="1">
        <f t="array" ref="E18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4.9164499111288441E-3</v>
      </c>
      <c r="F18" s="1">
        <f>Tabella820100123[[#This Row],[Qvib1]]</f>
        <v>4.9164499111288441E-3</v>
      </c>
      <c r="G18" s="1"/>
      <c r="H18" s="1"/>
      <c r="I18" s="1"/>
      <c r="J18" s="1"/>
      <c r="K18" s="1"/>
      <c r="L18" s="1"/>
    </row>
    <row r="19" spans="1:12" x14ac:dyDescent="0.3">
      <c r="A19" t="s">
        <v>59</v>
      </c>
      <c r="B19" t="s">
        <v>60</v>
      </c>
      <c r="D19">
        <v>400</v>
      </c>
      <c r="E19" s="1" cm="1">
        <f t="array" ref="E19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1.9073506659193943E-2</v>
      </c>
      <c r="F19" s="1">
        <f>Tabella820100123[[#This Row],[Qvib1]]</f>
        <v>1.9073506659193943E-2</v>
      </c>
      <c r="G19" s="1"/>
      <c r="H19" s="1"/>
      <c r="I19" s="1"/>
      <c r="J19" s="1"/>
      <c r="K19" s="1"/>
      <c r="L19" s="1"/>
    </row>
    <row r="20" spans="1:12" x14ac:dyDescent="0.3">
      <c r="A20" s="4">
        <f>2201.7654</f>
        <v>2201.7654000000002</v>
      </c>
      <c r="B20" cm="1">
        <f t="array" ref="B20">Tabella47109132[[#This Row],[Wavenumbers '[cm^-1']]]*Tabella3397120[Speed of Light '[cm/s']]</f>
        <v>66007385456220.008</v>
      </c>
      <c r="D20">
        <v>500</v>
      </c>
      <c r="E20" s="1" cm="1">
        <f t="array" ref="E20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4.2168515484109874E-2</v>
      </c>
      <c r="F20" s="1">
        <f>Tabella820100123[[#This Row],[Qvib1]]</f>
        <v>4.2168515484109874E-2</v>
      </c>
      <c r="G20" s="1"/>
      <c r="H20" s="1"/>
      <c r="I20" s="1"/>
      <c r="J20" s="1"/>
      <c r="K20" s="1"/>
      <c r="L20" s="1"/>
    </row>
    <row r="21" spans="1:12" x14ac:dyDescent="0.3">
      <c r="D21">
        <v>600</v>
      </c>
      <c r="E21" s="1" cm="1">
        <f t="array" ref="E21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7.1735295765189139E-2</v>
      </c>
      <c r="F21" s="1">
        <f>Tabella820100123[[#This Row],[Qvib1]]</f>
        <v>7.1735295765189139E-2</v>
      </c>
      <c r="G21" s="1"/>
      <c r="H21" s="1"/>
      <c r="I21" s="1"/>
      <c r="J21" s="1"/>
      <c r="K21" s="1"/>
      <c r="L21" s="1"/>
    </row>
    <row r="22" spans="1:12" x14ac:dyDescent="0.3">
      <c r="D22">
        <v>700</v>
      </c>
      <c r="E22" s="1" cm="1">
        <f t="array" ref="E22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0.10520281758845078</v>
      </c>
      <c r="F22" s="1">
        <f>Tabella820100123[[#This Row],[Qvib1]]</f>
        <v>0.10520281758845078</v>
      </c>
      <c r="G22" s="1"/>
      <c r="H22" s="1"/>
      <c r="I22" s="1"/>
      <c r="J22" s="1"/>
      <c r="K22" s="1"/>
      <c r="L22" s="1"/>
    </row>
    <row r="23" spans="1:12" x14ac:dyDescent="0.3">
      <c r="D23">
        <v>800</v>
      </c>
      <c r="E23" s="1" cm="1">
        <f t="array" ref="E23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0.14076568033036407</v>
      </c>
      <c r="F23" s="1">
        <f>Tabella820100123[[#This Row],[Qvib1]]</f>
        <v>0.14076568033036407</v>
      </c>
      <c r="G23" s="1"/>
      <c r="H23" s="1"/>
      <c r="I23" s="1"/>
      <c r="J23" s="1"/>
      <c r="K23" s="1"/>
      <c r="L23" s="1"/>
    </row>
    <row r="24" spans="1:12" x14ac:dyDescent="0.3">
      <c r="D24">
        <v>900</v>
      </c>
      <c r="E24" s="1" cm="1">
        <f t="array" ref="E24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0.17730779240672312</v>
      </c>
      <c r="F24" s="1">
        <f>Tabella820100123[[#This Row],[Qvib1]]</f>
        <v>0.17730779240672312</v>
      </c>
      <c r="G24" s="1"/>
      <c r="H24" s="1"/>
      <c r="I24" s="1"/>
      <c r="J24" s="1"/>
      <c r="K24" s="1"/>
      <c r="L24" s="1"/>
    </row>
    <row r="25" spans="1:12" x14ac:dyDescent="0.3">
      <c r="D25">
        <v>1000</v>
      </c>
      <c r="E25" s="1" cm="1">
        <f t="array" ref="E25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0.21418352852114592</v>
      </c>
      <c r="F25" s="1">
        <f>Tabella820100123[[#This Row],[Qvib1]]</f>
        <v>0.21418352852114592</v>
      </c>
      <c r="G25" s="1"/>
      <c r="H25" s="1"/>
      <c r="I25" s="1"/>
      <c r="J25" s="1"/>
      <c r="K25" s="1"/>
      <c r="L25" s="1"/>
    </row>
    <row r="26" spans="1:12" x14ac:dyDescent="0.3">
      <c r="D26">
        <v>1100</v>
      </c>
      <c r="E26" s="1" cm="1">
        <f t="array" ref="E26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0.25103715910588692</v>
      </c>
      <c r="F26" s="1">
        <f>Tabella820100123[[#This Row],[Qvib1]]</f>
        <v>0.25103715910588692</v>
      </c>
      <c r="G26" s="1"/>
      <c r="H26" s="1"/>
      <c r="I26" s="1"/>
      <c r="J26" s="1"/>
      <c r="K26" s="1"/>
      <c r="L26" s="1"/>
    </row>
    <row r="27" spans="1:12" x14ac:dyDescent="0.3">
      <c r="D27">
        <v>1200</v>
      </c>
      <c r="E27" s="1" cm="1">
        <f t="array" ref="E27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0.28768339079495919</v>
      </c>
      <c r="F27" s="1">
        <f>Tabella820100123[[#This Row],[Qvib1]]</f>
        <v>0.28768339079495919</v>
      </c>
      <c r="G27" s="1"/>
      <c r="H27" s="1"/>
      <c r="I27" s="1"/>
      <c r="J27" s="1"/>
      <c r="K27" s="1"/>
      <c r="L27" s="1"/>
    </row>
    <row r="28" spans="1:12" x14ac:dyDescent="0.3">
      <c r="D28">
        <v>1300</v>
      </c>
      <c r="E28" s="1" cm="1">
        <f t="array" ref="E28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0.32403454721257913</v>
      </c>
      <c r="F28" s="1">
        <f>Tabella820100123[[#This Row],[Qvib1]]</f>
        <v>0.32403454721257913</v>
      </c>
      <c r="G28" s="1"/>
      <c r="H28" s="1"/>
      <c r="I28" s="1"/>
      <c r="J28" s="1"/>
      <c r="K28" s="1"/>
      <c r="L28" s="1"/>
    </row>
    <row r="29" spans="1:12" x14ac:dyDescent="0.3">
      <c r="D29">
        <v>1400</v>
      </c>
      <c r="E29" s="1" cm="1">
        <f t="array" ref="E29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0.36005771430745359</v>
      </c>
      <c r="F29" s="1">
        <f>Tabella820100123[[#This Row],[Qvib1]]</f>
        <v>0.36005771430745359</v>
      </c>
      <c r="G29" s="1"/>
      <c r="H29" s="1"/>
      <c r="I29" s="1"/>
      <c r="J29" s="1"/>
      <c r="K29" s="1"/>
      <c r="L29" s="1"/>
    </row>
    <row r="30" spans="1:12" x14ac:dyDescent="0.3">
      <c r="D30">
        <v>1500</v>
      </c>
      <c r="E30" s="1" cm="1">
        <f t="array" ref="E30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0.39574992110514479</v>
      </c>
      <c r="F30" s="1">
        <f>Tabella820100123[[#This Row],[Qvib1]]</f>
        <v>0.39574992110514479</v>
      </c>
      <c r="G30" s="1"/>
      <c r="H30" s="1"/>
      <c r="I30" s="1"/>
      <c r="J30" s="1"/>
      <c r="K30" s="1"/>
      <c r="L30" s="1"/>
    </row>
    <row r="31" spans="1:12" x14ac:dyDescent="0.3">
      <c r="D31">
        <v>1600</v>
      </c>
      <c r="E31" s="1" cm="1">
        <f t="array" ref="E31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0.43112388895503029</v>
      </c>
      <c r="F31" s="1">
        <f>Tabella820100123[[#This Row],[Qvib1]]</f>
        <v>0.43112388895503029</v>
      </c>
      <c r="G31" s="1"/>
      <c r="H31" s="1"/>
      <c r="I31" s="1"/>
      <c r="J31" s="1"/>
      <c r="K31" s="1"/>
      <c r="L31" s="1"/>
    </row>
    <row r="32" spans="1:12" x14ac:dyDescent="0.3">
      <c r="D32">
        <v>1700</v>
      </c>
      <c r="E32" s="1" cm="1">
        <f t="array" ref="E32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0.46619991132224503</v>
      </c>
      <c r="F32" s="1">
        <f>Tabella820100123[[#This Row],[Qvib1]]</f>
        <v>0.46619991132224503</v>
      </c>
    </row>
    <row r="33" spans="1:11" x14ac:dyDescent="0.3">
      <c r="D33">
        <v>1800</v>
      </c>
      <c r="E33" s="1" cm="1">
        <f t="array" ref="E33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0.50100127972230823</v>
      </c>
      <c r="F33" s="1">
        <f>Tabella820100123[[#This Row],[Qvib1]]</f>
        <v>0.50100127972230823</v>
      </c>
    </row>
    <row r="34" spans="1:11" x14ac:dyDescent="0.3">
      <c r="D34">
        <v>1900</v>
      </c>
      <c r="E34" s="1" cm="1">
        <f t="array" ref="E34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0.53555176008657623</v>
      </c>
      <c r="F34" s="1">
        <f>Tabella820100123[[#This Row],[Qvib1]]</f>
        <v>0.53555176008657623</v>
      </c>
    </row>
    <row r="35" spans="1:11" x14ac:dyDescent="0.3">
      <c r="D35">
        <v>2000</v>
      </c>
      <c r="E35" s="1" cm="1">
        <f t="array" ref="E35">(EXP(-(Tabella3397120[Planck h]*Tabella49110133[Frequency1])/(2*Tabella3397120[Boltzmann k]*Tabella820100123[[#This Row],[Temperatura]])))/(1-EXP(-(Tabella3397120[Planck h]*Tabella49110133[Frequency1])/(Tabella3397120[Boltzmann k]*Tabella820100123[[#This Row],[Temperatura]])))</f>
        <v>0.56987425351741194</v>
      </c>
      <c r="F35" s="1">
        <f>Tabella820100123[[#This Row],[Qvib1]]</f>
        <v>0.56987425351741194</v>
      </c>
    </row>
    <row r="37" spans="1:11" x14ac:dyDescent="0.3">
      <c r="A37" t="s">
        <v>4</v>
      </c>
      <c r="B37" t="s">
        <v>19</v>
      </c>
      <c r="C37" t="s">
        <v>5</v>
      </c>
      <c r="D37" t="s">
        <v>6</v>
      </c>
      <c r="E37" t="s">
        <v>7</v>
      </c>
      <c r="F37" t="s">
        <v>8</v>
      </c>
    </row>
    <row r="38" spans="1:11" x14ac:dyDescent="0.3">
      <c r="A38">
        <v>298</v>
      </c>
      <c r="B38" s="1" cm="1">
        <f t="array" ref="B38">(Tabella3397120[Boltzmann k]*Tabella51898121[[#This Row],[Temperatura]])/101325</f>
        <v>4.0605319713792254E-26</v>
      </c>
      <c r="C38" s="1" cm="1">
        <f t="array" ref="C38">POWER((2*Tabella3397120[Pi Greco]*Tabella3397120[Massa]*Tabella3397120[Boltzmann k]*Tabella51898121[[#This Row],[Temperatura]])/(POWER(Tabella3397120[Planck h],2)),1.5)*Tabella51898121[[#This Row],[Volume]]</f>
        <v>5828871.0614144932</v>
      </c>
      <c r="D38" s="1">
        <f>F18</f>
        <v>4.9164499111288441E-3</v>
      </c>
      <c r="E38" s="1" cm="1">
        <f t="array" ref="E38">(8*POWER(PI(),2)*Tabella3397120[Boltzmann k]*Tabella51898121[[#This Row],[Temperatura]]*Tabella1118141[Total Moment of Inertia])/(Tabella61999122[Simmetry Number]*POWER(Tabella3397120[Planck h],2))</f>
        <v>108.96498822795705</v>
      </c>
      <c r="F38">
        <f>1</f>
        <v>1</v>
      </c>
    </row>
    <row r="39" spans="1:11" x14ac:dyDescent="0.3">
      <c r="A39">
        <v>400</v>
      </c>
      <c r="B39" s="1" cm="1">
        <f t="array" ref="B39">(Tabella3397120[Boltzmann k]*Tabella51898121[[#This Row],[Temperatura]])/101325</f>
        <v>5.4503784850727862E-26</v>
      </c>
      <c r="C39" s="1" cm="1">
        <f t="array" ref="C39">POWER((2*Tabella3397120[Pi Greco]*Tabella3397120[Massa]*Tabella3397120[Boltzmann k]*Tabella51898121[[#This Row],[Temperatura]])/(POWER(Tabella3397120[Planck h],2)),1.5)*Tabella51898121[[#This Row],[Volume]]</f>
        <v>12167287.404119264</v>
      </c>
      <c r="D39" s="1">
        <f>F19</f>
        <v>1.9073506659193943E-2</v>
      </c>
      <c r="E39" s="1" cm="1">
        <f t="array" ref="E39">(8*POWER(PI(),2)*Tabella3397120[Boltzmann k]*Tabella51898121[[#This Row],[Temperatura]]*Tabella1118141[Total Moment of Inertia])/(Tabella61999122[Simmetry Number]*POWER(Tabella3397120[Planck h],2))</f>
        <v>146.26172916504302</v>
      </c>
      <c r="F39">
        <f>1</f>
        <v>1</v>
      </c>
      <c r="H39" t="s">
        <v>71</v>
      </c>
      <c r="I39" t="s">
        <v>72</v>
      </c>
      <c r="J39" t="s">
        <v>73</v>
      </c>
      <c r="K39" s="16" t="s">
        <v>74</v>
      </c>
    </row>
    <row r="40" spans="1:11" x14ac:dyDescent="0.3">
      <c r="A40">
        <v>500</v>
      </c>
      <c r="B40" s="1" cm="1">
        <f t="array" ref="B40">(Tabella3397120[Boltzmann k]*Tabella51898121[[#This Row],[Temperatura]])/101325</f>
        <v>6.8129731063409828E-26</v>
      </c>
      <c r="C40" s="1" cm="1">
        <f t="array" ref="C40">POWER((2*Tabella3397120[Pi Greco]*Tabella3397120[Massa]*Tabella3397120[Boltzmann k]*Tabella51898121[[#This Row],[Temperatura]])/(POWER(Tabella3397120[Planck h],2)),1.5)*Tabella51898121[[#This Row],[Volume]]</f>
        <v>21255376.357334509</v>
      </c>
      <c r="D40" s="1">
        <f>F20</f>
        <v>4.2168515484109874E-2</v>
      </c>
      <c r="E40" s="1" cm="1">
        <f t="array" ref="E40">(8*POWER(PI(),2)*Tabella3397120[Boltzmann k]*Tabella51898121[[#This Row],[Temperatura]]*Tabella1118141[Total Moment of Inertia])/(Tabella61999122[Simmetry Number]*POWER(Tabella3397120[Planck h],2))</f>
        <v>182.8271614563038</v>
      </c>
      <c r="F40">
        <f>1</f>
        <v>1</v>
      </c>
      <c r="H40" t="s">
        <v>5</v>
      </c>
      <c r="I40" s="1">
        <f>C38</f>
        <v>5828871.0614144932</v>
      </c>
      <c r="J40" s="1">
        <f>5822020</f>
        <v>5822020</v>
      </c>
      <c r="K40" s="17">
        <f>ABS(Tabella20113136[[#This Row],[My value]]-Tabella20113136[[#This Row],[Gaussian]])/Tabella20113136[[#This Row],[Gaussian]]</f>
        <v>1.176749893420711E-3</v>
      </c>
    </row>
    <row r="41" spans="1:11" x14ac:dyDescent="0.3">
      <c r="A41">
        <v>600</v>
      </c>
      <c r="B41" s="1" cm="1">
        <f t="array" ref="B41">(Tabella3397120[Boltzmann k]*Tabella51898121[[#This Row],[Temperatura]])/101325</f>
        <v>8.1755677276091782E-26</v>
      </c>
      <c r="C41" s="1" cm="1">
        <f t="array" ref="C41">POWER((2*Tabella3397120[Pi Greco]*Tabella3397120[Massa]*Tabella3397120[Boltzmann k]*Tabella51898121[[#This Row],[Temperatura]])/(POWER(Tabella3397120[Planck h],2)),1.5)*Tabella51898121[[#This Row],[Volume]]</f>
        <v>33529101.405621</v>
      </c>
      <c r="D41" s="1">
        <f>F21</f>
        <v>7.1735295765189139E-2</v>
      </c>
      <c r="E41" s="1" cm="1">
        <f t="array" ref="E41">(8*POWER(PI(),2)*Tabella3397120[Boltzmann k]*Tabella51898121[[#This Row],[Temperatura]]*Tabella1118141[Total Moment of Inertia])/(Tabella61999122[Simmetry Number]*POWER(Tabella3397120[Planck h],2))</f>
        <v>219.39259374756455</v>
      </c>
      <c r="F41">
        <f>1</f>
        <v>1</v>
      </c>
      <c r="H41" t="s">
        <v>6</v>
      </c>
      <c r="I41">
        <f>D38</f>
        <v>4.9164499111288441E-3</v>
      </c>
      <c r="J41" s="1">
        <f>0.00492969</f>
        <v>4.9296899999999996E-3</v>
      </c>
      <c r="K41" s="15">
        <f>ABS(Tabella20113136[[#This Row],[My value]]-Tabella20113136[[#This Row],[Gaussian]])/Tabella20113136[[#This Row],[Gaussian]]</f>
        <v>2.6857852869359997E-3</v>
      </c>
    </row>
    <row r="42" spans="1:11" x14ac:dyDescent="0.3">
      <c r="A42">
        <v>700</v>
      </c>
      <c r="B42" s="1" cm="1">
        <f t="array" ref="B42">(Tabella3397120[Boltzmann k]*Tabella51898121[[#This Row],[Temperatura]])/101325</f>
        <v>9.5381623488773759E-26</v>
      </c>
      <c r="C42" s="1" cm="1">
        <f t="array" ref="C42">POWER((2*Tabella3397120[Pi Greco]*Tabella3397120[Massa]*Tabella3397120[Boltzmann k]*Tabella51898121[[#This Row],[Temperatura]])/(POWER(Tabella3397120[Planck h],2)),1.5)*Tabella51898121[[#This Row],[Volume]]</f>
        <v>49293412.921121113</v>
      </c>
      <c r="D42" s="1">
        <f>F22</f>
        <v>0.10520281758845078</v>
      </c>
      <c r="E42" s="1" cm="1">
        <f t="array" ref="E42">(8*POWER(PI(),2)*Tabella3397120[Boltzmann k]*Tabella51898121[[#This Row],[Temperatura]]*Tabella1118141[Total Moment of Inertia])/(Tabella61999122[Simmetry Number]*POWER(Tabella3397120[Planck h],2))</f>
        <v>255.9580260388253</v>
      </c>
      <c r="F42">
        <f>1</f>
        <v>1</v>
      </c>
      <c r="H42" t="s">
        <v>7</v>
      </c>
      <c r="I42" s="1">
        <f>E38</f>
        <v>108.96498822795705</v>
      </c>
      <c r="J42" s="1">
        <f>109.02</f>
        <v>109.02</v>
      </c>
      <c r="K42" s="17">
        <f>ABS(Tabella20113136[[#This Row],[My value]]-Tabella20113136[[#This Row],[Gaussian]])/Tabella20113136[[#This Row],[Gaussian]]</f>
        <v>5.0460256873000823E-4</v>
      </c>
    </row>
    <row r="43" spans="1:11" x14ac:dyDescent="0.3">
      <c r="A43">
        <v>800</v>
      </c>
      <c r="B43" s="1" cm="1">
        <f t="array" ref="B43">(Tabella3397120[Boltzmann k]*Tabella51898121[[#This Row],[Temperatura]])/101325</f>
        <v>1.0900756970145572E-25</v>
      </c>
      <c r="C43" s="1" cm="1">
        <f t="array" ref="C43">POWER((2*Tabella3397120[Pi Greco]*Tabella3397120[Massa]*Tabella3397120[Boltzmann k]*Tabella51898121[[#This Row],[Temperatura]])/(POWER(Tabella3397120[Planck h],2)),1.5)*Tabella51898121[[#This Row],[Volume]]</f>
        <v>68828571.456787363</v>
      </c>
      <c r="D43" s="1">
        <f>F23</f>
        <v>0.14076568033036407</v>
      </c>
      <c r="E43" s="1" cm="1">
        <f t="array" ref="E43">(8*POWER(PI(),2)*Tabella3397120[Boltzmann k]*Tabella51898121[[#This Row],[Temperatura]]*Tabella1118141[Total Moment of Inertia])/(Tabella61999122[Simmetry Number]*POWER(Tabella3397120[Planck h],2))</f>
        <v>292.52345833008604</v>
      </c>
      <c r="F43">
        <f>1</f>
        <v>1</v>
      </c>
      <c r="H43" t="s">
        <v>8</v>
      </c>
      <c r="I43">
        <f>F38</f>
        <v>1</v>
      </c>
      <c r="J43">
        <v>1</v>
      </c>
      <c r="K43" s="15">
        <f>ABS(Tabella20113136[[#This Row],[My value]]-Tabella20113136[[#This Row],[Gaussian]])/Tabella20113136[[#This Row],[Gaussian]]</f>
        <v>0</v>
      </c>
    </row>
    <row r="44" spans="1:11" x14ac:dyDescent="0.3">
      <c r="A44">
        <v>900</v>
      </c>
      <c r="B44" s="1" cm="1">
        <f t="array" ref="B44">(Tabella3397120[Boltzmann k]*Tabella51898121[[#This Row],[Temperatura]])/101325</f>
        <v>1.2263351591413768E-25</v>
      </c>
      <c r="C44" s="1" cm="1">
        <f t="array" ref="C44">POWER((2*Tabella3397120[Pi Greco]*Tabella3397120[Massa]*Tabella3397120[Boltzmann k]*Tabella51898121[[#This Row],[Temperatura]])/(POWER(Tabella3397120[Planck h],2)),1.5)*Tabella51898121[[#This Row],[Volume]]</f>
        <v>92395338.725032106</v>
      </c>
      <c r="D44" s="1">
        <f>F24</f>
        <v>0.17730779240672312</v>
      </c>
      <c r="E44" s="1" cm="1">
        <f t="array" ref="E44">(8*POWER(PI(),2)*Tabella3397120[Boltzmann k]*Tabella51898121[[#This Row],[Temperatura]]*Tabella1118141[Total Moment of Inertia])/(Tabella61999122[Simmetry Number]*POWER(Tabella3397120[Planck h],2))</f>
        <v>329.08889062134682</v>
      </c>
      <c r="F44">
        <f>1</f>
        <v>1</v>
      </c>
    </row>
    <row r="45" spans="1:11" x14ac:dyDescent="0.3">
      <c r="A45">
        <v>1000</v>
      </c>
      <c r="B45" s="1" cm="1">
        <f t="array" ref="B45">(Tabella3397120[Boltzmann k]*Tabella51898121[[#This Row],[Temperatura]])/101325</f>
        <v>1.3625946212681966E-25</v>
      </c>
      <c r="C45" s="1" cm="1">
        <f t="array" ref="C45">POWER((2*Tabella3397120[Pi Greco]*Tabella3397120[Massa]*Tabella3397120[Boltzmann k]*Tabella51898121[[#This Row],[Temperatura]])/(POWER(Tabella3397120[Planck h],2)),1.5)*Tabella51898121[[#This Row],[Volume]]</f>
        <v>120238566.07154621</v>
      </c>
      <c r="D45" s="1">
        <f>F25</f>
        <v>0.21418352852114592</v>
      </c>
      <c r="E45" s="1" cm="1">
        <f t="array" ref="E45">(8*POWER(PI(),2)*Tabella3397120[Boltzmann k]*Tabella51898121[[#This Row],[Temperatura]]*Tabella1118141[Total Moment of Inertia])/(Tabella61999122[Simmetry Number]*POWER(Tabella3397120[Planck h],2))</f>
        <v>365.6543229126076</v>
      </c>
      <c r="F45">
        <f>1</f>
        <v>1</v>
      </c>
    </row>
    <row r="46" spans="1:11" x14ac:dyDescent="0.3">
      <c r="A46">
        <v>1100</v>
      </c>
      <c r="B46" s="1" cm="1">
        <f t="array" ref="B46">(Tabella3397120[Boltzmann k]*Tabella51898121[[#This Row],[Temperatura]])/101325</f>
        <v>1.4988540833950161E-25</v>
      </c>
      <c r="C46" s="1" cm="1">
        <f t="array" ref="C46">POWER((2*Tabella3397120[Pi Greco]*Tabella3397120[Massa]*Tabella3397120[Boltzmann k]*Tabella51898121[[#This Row],[Temperatura]])/(POWER(Tabella3397120[Planck h],2)),1.5)*Tabella51898121[[#This Row],[Volume]]</f>
        <v>152589799.10442713</v>
      </c>
      <c r="D46" s="1">
        <f>F26</f>
        <v>0.25103715910588692</v>
      </c>
      <c r="E46" s="1" cm="1">
        <f t="array" ref="E46">(8*POWER(PI(),2)*Tabella3397120[Boltzmann k]*Tabella51898121[[#This Row],[Temperatura]]*Tabella1118141[Total Moment of Inertia])/(Tabella61999122[Simmetry Number]*POWER(Tabella3397120[Planck h],2))</f>
        <v>402.21975520386832</v>
      </c>
      <c r="F46">
        <f>1</f>
        <v>1</v>
      </c>
    </row>
    <row r="47" spans="1:11" x14ac:dyDescent="0.3">
      <c r="A47">
        <v>1200</v>
      </c>
      <c r="B47" s="1" cm="1">
        <f t="array" ref="B47">(Tabella3397120[Boltzmann k]*Tabella51898121[[#This Row],[Temperatura]])/101325</f>
        <v>1.6351135455218356E-25</v>
      </c>
      <c r="C47" s="1" cm="1">
        <f t="array" ref="C47">POWER((2*Tabella3397120[Pi Greco]*Tabella3397120[Massa]*Tabella3397120[Boltzmann k]*Tabella51898121[[#This Row],[Temperatura]])/(POWER(Tabella3397120[Planck h],2)),1.5)*Tabella51898121[[#This Row],[Volume]]</f>
        <v>189669239.76804861</v>
      </c>
      <c r="D47" s="1">
        <f>F27</f>
        <v>0.28768339079495919</v>
      </c>
      <c r="E47" s="1" cm="1">
        <f t="array" ref="E47">(8*POWER(PI(),2)*Tabella3397120[Boltzmann k]*Tabella51898121[[#This Row],[Temperatura]]*Tabella1118141[Total Moment of Inertia])/(Tabella61999122[Simmetry Number]*POWER(Tabella3397120[Planck h],2))</f>
        <v>438.78518749512909</v>
      </c>
      <c r="F47">
        <f>1</f>
        <v>1</v>
      </c>
    </row>
    <row r="48" spans="1:11" x14ac:dyDescent="0.3">
      <c r="A48">
        <v>1300</v>
      </c>
      <c r="B48" s="1" cm="1">
        <f t="array" ref="B48">(Tabella3397120[Boltzmann k]*Tabella51898121[[#This Row],[Temperatura]])/101325</f>
        <v>1.7713730076486554E-25</v>
      </c>
      <c r="C48" s="1" cm="1">
        <f t="array" ref="C48">POWER((2*Tabella3397120[Pi Greco]*Tabella3397120[Massa]*Tabella3397120[Boltzmann k]*Tabella51898121[[#This Row],[Temperatura]])/(POWER(Tabella3397120[Planck h],2)),1.5)*Tabella51898121[[#This Row],[Volume]]</f>
        <v>231687268.33085251</v>
      </c>
      <c r="D48" s="1">
        <f>F28</f>
        <v>0.32403454721257913</v>
      </c>
      <c r="E48" s="1" cm="1">
        <f t="array" ref="E48">(8*POWER(PI(),2)*Tabella3397120[Boltzmann k]*Tabella51898121[[#This Row],[Temperatura]]*Tabella1118141[Total Moment of Inertia])/(Tabella61999122[Simmetry Number]*POWER(Tabella3397120[Planck h],2))</f>
        <v>475.35061978638987</v>
      </c>
      <c r="F48">
        <f>1</f>
        <v>1</v>
      </c>
    </row>
    <row r="49" spans="1:14" x14ac:dyDescent="0.3">
      <c r="A49">
        <v>1400</v>
      </c>
      <c r="B49" s="1" cm="1">
        <f t="array" ref="B49">(Tabella3397120[Boltzmann k]*Tabella51898121[[#This Row],[Temperatura]])/101325</f>
        <v>1.9076324697754752E-25</v>
      </c>
      <c r="C49" s="1" cm="1">
        <f t="array" ref="C49">POWER((2*Tabella3397120[Pi Greco]*Tabella3397120[Massa]*Tabella3397120[Boltzmann k]*Tabella51898121[[#This Row],[Temperatura]])/(POWER(Tabella3397120[Planck h],2)),1.5)*Tabella51898121[[#This Row],[Volume]]</f>
        <v>278845652.35482734</v>
      </c>
      <c r="D49" s="1">
        <f>F29</f>
        <v>0.36005771430745359</v>
      </c>
      <c r="E49" s="1" cm="1">
        <f t="array" ref="E49">(8*POWER(PI(),2)*Tabella3397120[Boltzmann k]*Tabella51898121[[#This Row],[Temperatura]]*Tabella1118141[Total Moment of Inertia])/(Tabella61999122[Simmetry Number]*POWER(Tabella3397120[Planck h],2))</f>
        <v>511.91605207765059</v>
      </c>
      <c r="F49">
        <f>1</f>
        <v>1</v>
      </c>
    </row>
    <row r="50" spans="1:14" x14ac:dyDescent="0.3">
      <c r="A50">
        <v>1500</v>
      </c>
      <c r="B50" s="1" cm="1">
        <f t="array" ref="B50">(Tabella3397120[Boltzmann k]*Tabella51898121[[#This Row],[Temperatura]])/101325</f>
        <v>2.0438919319022949E-25</v>
      </c>
      <c r="C50" s="1" cm="1">
        <f t="array" ref="C50">POWER((2*Tabella3397120[Pi Greco]*Tabella3397120[Massa]*Tabella3397120[Boltzmann k]*Tabella51898121[[#This Row],[Temperatura]])/(POWER(Tabella3397120[Planck h],2)),1.5)*Tabella51898121[[#This Row],[Volume]]</f>
        <v>331338526.06411374</v>
      </c>
      <c r="D50" s="1">
        <f>F30</f>
        <v>0.39574992110514479</v>
      </c>
      <c r="E50" s="1" cm="1">
        <f t="array" ref="E50">(8*POWER(PI(),2)*Tabella3397120[Boltzmann k]*Tabella51898121[[#This Row],[Temperatura]]*Tabella1118141[Total Moment of Inertia])/(Tabella61999122[Simmetry Number]*POWER(Tabella3397120[Planck h],2))</f>
        <v>548.48148436891131</v>
      </c>
      <c r="F50">
        <f>1</f>
        <v>1</v>
      </c>
    </row>
    <row r="51" spans="1:14" x14ac:dyDescent="0.3">
      <c r="A51">
        <v>1600</v>
      </c>
      <c r="B51" s="1" cm="1">
        <f t="array" ref="B51">(Tabella3397120[Boltzmann k]*Tabella51898121[[#This Row],[Temperatura]])/101325</f>
        <v>2.1801513940291145E-25</v>
      </c>
      <c r="C51" s="1" cm="1">
        <f t="array" ref="C51">POWER((2*Tabella3397120[Pi Greco]*Tabella3397120[Massa]*Tabella3397120[Boltzmann k]*Tabella51898121[[#This Row],[Temperatura]])/(POWER(Tabella3397120[Planck h],2)),1.5)*Tabella51898121[[#This Row],[Volume]]</f>
        <v>389353196.93181866</v>
      </c>
      <c r="D51" s="1">
        <f>F31</f>
        <v>0.43112388895503029</v>
      </c>
      <c r="E51" s="1" cm="1">
        <f t="array" ref="E51">(8*POWER(PI(),2)*Tabella3397120[Boltzmann k]*Tabella51898121[[#This Row],[Temperatura]]*Tabella1118141[Total Moment of Inertia])/(Tabella61999122[Simmetry Number]*POWER(Tabella3397120[Planck h],2))</f>
        <v>585.04691666017209</v>
      </c>
      <c r="F51">
        <f>1</f>
        <v>1</v>
      </c>
    </row>
    <row r="52" spans="1:14" x14ac:dyDescent="0.3">
      <c r="A52">
        <v>1700</v>
      </c>
      <c r="B52" s="1" cm="1">
        <f t="array" ref="B52">(Tabella3397120[Boltzmann k]*Tabella51898121[[#This Row],[Temperatura]])/101325</f>
        <v>2.316410856155934E-25</v>
      </c>
      <c r="C52" s="1" cm="1">
        <f t="array" ref="C52">POWER((2*Tabella3397120[Pi Greco]*Tabella3397120[Massa]*Tabella3397120[Boltzmann k]*Tabella51898121[[#This Row],[Temperatura]])/(POWER(Tabella3397120[Planck h],2)),1.5)*Tabella51898121[[#This Row],[Volume]]</f>
        <v>453070819.39814854</v>
      </c>
      <c r="D52" s="1">
        <f>F32</f>
        <v>0.46619991132224503</v>
      </c>
      <c r="E52" s="1" cm="1">
        <f t="array" ref="E52">(8*POWER(PI(),2)*Tabella3397120[Boltzmann k]*Tabella51898121[[#This Row],[Temperatura]]*Tabella1118141[Total Moment of Inertia])/(Tabella61999122[Simmetry Number]*POWER(Tabella3397120[Planck h],2))</f>
        <v>621.61234895143286</v>
      </c>
      <c r="F52">
        <f>1</f>
        <v>1</v>
      </c>
    </row>
    <row r="53" spans="1:14" x14ac:dyDescent="0.3">
      <c r="A53">
        <v>1800</v>
      </c>
      <c r="B53" s="1" cm="1">
        <f t="array" ref="B53">(Tabella3397120[Boltzmann k]*Tabella51898121[[#This Row],[Temperatura]])/101325</f>
        <v>2.4526703182827536E-25</v>
      </c>
      <c r="C53" s="1" cm="1">
        <f t="array" ref="C53">POWER((2*Tabella3397120[Pi Greco]*Tabella3397120[Massa]*Tabella3397120[Boltzmann k]*Tabella51898121[[#This Row],[Temperatura]])/(POWER(Tabella3397120[Planck h],2)),1.5)*Tabella51898121[[#This Row],[Volume]]</f>
        <v>522666964.49997985</v>
      </c>
      <c r="D53" s="1">
        <f>F33</f>
        <v>0.50100127972230823</v>
      </c>
      <c r="E53" s="1" cm="1">
        <f t="array" ref="E53">(8*POWER(PI(),2)*Tabella3397120[Boltzmann k]*Tabella51898121[[#This Row],[Temperatura]]*Tabella1118141[Total Moment of Inertia])/(Tabella61999122[Simmetry Number]*POWER(Tabella3397120[Planck h],2))</f>
        <v>658.17778124269364</v>
      </c>
      <c r="F53">
        <f>1</f>
        <v>1</v>
      </c>
    </row>
    <row r="54" spans="1:14" x14ac:dyDescent="0.3">
      <c r="A54">
        <v>1900</v>
      </c>
      <c r="B54" s="1" cm="1">
        <f t="array" ref="B54">(Tabella3397120[Boltzmann k]*Tabella51898121[[#This Row],[Temperatura]])/101325</f>
        <v>2.5889297804095731E-25</v>
      </c>
      <c r="C54" s="1" cm="1">
        <f t="array" ref="C54">POWER((2*Tabella3397120[Pi Greco]*Tabella3397120[Massa]*Tabella3397120[Boltzmann k]*Tabella51898121[[#This Row],[Temperatura]])/(POWER(Tabella3397120[Planck h],2)),1.5)*Tabella51898121[[#This Row],[Volume]]</f>
        <v>598312106.63679194</v>
      </c>
      <c r="D54" s="1">
        <f>F34</f>
        <v>0.53555176008657623</v>
      </c>
      <c r="E54" s="1" cm="1">
        <f t="array" ref="E54">(8*POWER(PI(),2)*Tabella3397120[Boltzmann k]*Tabella51898121[[#This Row],[Temperatura]]*Tabella1118141[Total Moment of Inertia])/(Tabella61999122[Simmetry Number]*POWER(Tabella3397120[Planck h],2))</f>
        <v>694.74321353395442</v>
      </c>
      <c r="F54">
        <f>1</f>
        <v>1</v>
      </c>
    </row>
    <row r="55" spans="1:14" x14ac:dyDescent="0.3">
      <c r="A55">
        <v>2000</v>
      </c>
      <c r="B55" s="1" cm="1">
        <f t="array" ref="B55">(Tabella3397120[Boltzmann k]*Tabella51898121[[#This Row],[Temperatura]])/101325</f>
        <v>2.7251892425363931E-25</v>
      </c>
      <c r="C55" s="1" cm="1">
        <f t="array" ref="C55">POWER((2*Tabella3397120[Pi Greco]*Tabella3397120[Massa]*Tabella3397120[Boltzmann k]*Tabella51898121[[#This Row],[Temperatura]])/(POWER(Tabella3397120[Planck h],2)),1.5)*Tabella51898121[[#This Row],[Volume]]</f>
        <v>680172043.43469834</v>
      </c>
      <c r="D55" s="1">
        <f>F35</f>
        <v>0.56987425351741194</v>
      </c>
      <c r="E55" s="1" cm="1">
        <f t="array" ref="E55">(8*POWER(PI(),2)*Tabella3397120[Boltzmann k]*Tabella51898121[[#This Row],[Temperatura]]*Tabella1118141[Total Moment of Inertia])/(Tabella61999122[Simmetry Number]*POWER(Tabella3397120[Planck h],2))</f>
        <v>731.30864582521519</v>
      </c>
      <c r="F55">
        <f>1</f>
        <v>1</v>
      </c>
    </row>
    <row r="62" spans="1:14" x14ac:dyDescent="0.3">
      <c r="F62" s="23"/>
    </row>
    <row r="64" spans="1:14" x14ac:dyDescent="0.3">
      <c r="A64" s="5" t="s">
        <v>4</v>
      </c>
      <c r="B64" s="5" t="s">
        <v>22</v>
      </c>
      <c r="C64" s="5" t="s">
        <v>19</v>
      </c>
      <c r="D64" s="5" t="s">
        <v>24</v>
      </c>
      <c r="J64" t="s">
        <v>70</v>
      </c>
      <c r="K64" t="s">
        <v>23</v>
      </c>
      <c r="N64" t="s">
        <v>35</v>
      </c>
    </row>
    <row r="65" spans="1:15" x14ac:dyDescent="0.3">
      <c r="A65" s="3">
        <v>298</v>
      </c>
      <c r="B65" cm="1">
        <f t="array" ref="B65">POWER((2*Tabella3397120[Pi Greco]*Tabella3397120[Massa]*Tabella3397120[Boltzmann k]*Tabella122101124[[#This Row],[Temperatura]])/(POWER(Tabella3397120[Planck h],2)),1.5)</f>
        <v>1.435494438290218E+32</v>
      </c>
      <c r="C65" s="1" cm="1">
        <f t="array" ref="C65">(Tabella122101124[[#This Row],[Temperatura]]*Tabella3397120[Rydberg R])/101325</f>
        <v>2.4453093274117942E-2</v>
      </c>
      <c r="D65" s="1" cm="1">
        <f t="array" ref="D65">Tabella3397120[Rydberg R]*LN((Tabella122101124[[#This Row],[Volume]]/Tabella3397120[Avogadro N])*EXP(2.5)*Tabella122101124[[#This Row],[Translational Factor]])</f>
        <v>150.31161925702861</v>
      </c>
      <c r="F65" s="5" t="s">
        <v>4</v>
      </c>
      <c r="G65" s="5" t="s">
        <v>44</v>
      </c>
      <c r="H65" s="5" t="s">
        <v>93</v>
      </c>
      <c r="J65" s="2">
        <f>B20</f>
        <v>66007385456220.008</v>
      </c>
      <c r="K65" s="8" cm="1">
        <f t="array" ref="K65">(Tabella3397120[Planck h]*Tabella1023102125[[#This Row],[Frequencies'[s^-1']]])/Tabella3397120[Boltzmann k]</f>
        <v>3167.854874417781</v>
      </c>
      <c r="N65" s="8">
        <f>Tabella1023102125[[#This Row],[Theta vib]]</f>
        <v>3167.854874417781</v>
      </c>
    </row>
    <row r="66" spans="1:15" x14ac:dyDescent="0.3">
      <c r="A66" s="3">
        <v>400</v>
      </c>
      <c r="B66" cm="1">
        <f t="array" ref="B66">POWER((2*Tabella3397120[Pi Greco]*Tabella3397120[Massa]*Tabella3397120[Boltzmann k]*Tabella122101124[[#This Row],[Temperatura]])/(POWER(Tabella3397120[Planck h],2)),1.5)</f>
        <v>2.2323747676317157E+32</v>
      </c>
      <c r="C66" s="1" cm="1">
        <f t="array" ref="C66">(Tabella122101124[[#This Row],[Temperatura]]*Tabella3397120[Rydberg R])/101325</f>
        <v>3.2822943992104614E-2</v>
      </c>
      <c r="D66" s="1" cm="1">
        <f t="array" ref="D66">Tabella3397120[Rydberg R]*LN((Tabella122101124[[#This Row],[Volume]]/Tabella3397120[Avogadro N])*EXP(2.5)*Tabella122101124[[#This Row],[Translational Factor]])</f>
        <v>156.43046175022812</v>
      </c>
      <c r="F66" s="3">
        <v>298</v>
      </c>
      <c r="G66" s="18" cm="1">
        <f t="array" ref="G66">Tabella33[Rydberg R]*LN((EXP(1)*Tabella132669[[#This Row],[Temperatura]])/(Tabella3[Theta rot]*Tabella619[Simmetry Number]))</f>
        <v>-413.21462146156006</v>
      </c>
      <c r="H66" s="18" cm="1">
        <f t="array" ref="H66">Tabella3397120[Rydberg R]*(1 + LN(Tabella132669[[#This Row],[Temperatura]]/(Tabella3119142[Theta rot]*Tabella61999122[Simmetry Number])))</f>
        <v>47.317810541361339</v>
      </c>
      <c r="J66" s="2"/>
      <c r="K66" s="6"/>
      <c r="M66" s="10" t="s">
        <v>4</v>
      </c>
      <c r="N66" s="10" t="s">
        <v>25</v>
      </c>
      <c r="O66" s="10" t="s">
        <v>34</v>
      </c>
    </row>
    <row r="67" spans="1:15" x14ac:dyDescent="0.3">
      <c r="A67" s="3">
        <v>500</v>
      </c>
      <c r="B67" cm="1">
        <f t="array" ref="B67">POWER((2*Tabella3397120[Pi Greco]*Tabella3397120[Massa]*Tabella3397120[Boltzmann k]*Tabella122101124[[#This Row],[Temperatura]])/(POWER(Tabella3397120[Planck h],2)),1.5)</f>
        <v>3.1198385822999456E+32</v>
      </c>
      <c r="C67" s="1" cm="1">
        <f t="array" ref="C67">(Tabella122101124[[#This Row],[Temperatura]]*Tabella3397120[Rydberg R])/101325</f>
        <v>4.1028679990130774E-2</v>
      </c>
      <c r="D67" s="1" cm="1">
        <f t="array" ref="D67">Tabella3397120[Rydberg R]*LN((Tabella122101124[[#This Row],[Volume]]/Tabella3397120[Avogadro N])*EXP(2.5)*Tabella122101124[[#This Row],[Translational Factor]])</f>
        <v>161.06875819509588</v>
      </c>
      <c r="F67" s="3">
        <v>400</v>
      </c>
      <c r="G67" s="18" cm="1">
        <f t="array" ref="G67">Tabella33[Rydberg R]*LN((EXP(1)*Tabella132669[[#This Row],[Temperatura]])/(Tabella3[Theta rot]*Tabella619[Simmetry Number]))</f>
        <v>-410.76708446428023</v>
      </c>
      <c r="H67" s="18" cm="1">
        <f t="array" ref="H67">Tabella3397120[Rydberg R]*(1 + LN(Tabella132669[[#This Row],[Temperatura]]/(Tabella3119142[Theta rot]*Tabella61999122[Simmetry Number])))</f>
        <v>49.765347538641173</v>
      </c>
      <c r="J67" s="2"/>
      <c r="K67" s="6"/>
      <c r="M67" s="9">
        <v>298</v>
      </c>
      <c r="N67" s="1" cm="1">
        <f t="array" ref="N67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2.8111654002081586E-4</v>
      </c>
      <c r="O67" s="1" cm="1">
        <f t="array" ref="O67">Tabella3397120[Rydberg R]*Tabella1124103126[[#This Row],[S vib 1]]</f>
        <v>2.337332789574553E-3</v>
      </c>
    </row>
    <row r="68" spans="1:15" x14ac:dyDescent="0.3">
      <c r="A68" s="3">
        <v>600</v>
      </c>
      <c r="B68" cm="1">
        <f t="array" ref="B68">POWER((2*Tabella3397120[Pi Greco]*Tabella3397120[Massa]*Tabella3397120[Boltzmann k]*Tabella122101124[[#This Row],[Temperatura]])/(POWER(Tabella3397120[Planck h],2)),1.5)</f>
        <v>4.1011343215214339E+32</v>
      </c>
      <c r="C68" s="1" cm="1">
        <f t="array" ref="C68">(Tabella122101124[[#This Row],[Temperatura]]*Tabella3397120[Rydberg R])/101325</f>
        <v>4.9234415988156921E-2</v>
      </c>
      <c r="D68" s="1" cm="1">
        <f t="array" ref="D68">Tabella3397120[Rydberg R]*LN((Tabella122101124[[#This Row],[Volume]]/Tabella3397120[Avogadro N])*EXP(2.5)*Tabella122101124[[#This Row],[Translational Factor]])</f>
        <v>164.85852233445624</v>
      </c>
      <c r="F68" s="3">
        <v>500</v>
      </c>
      <c r="G68" s="18" cm="1">
        <f t="array" ref="G68">Tabella33[Rydberg R]*LN((EXP(1)*Tabella132669[[#This Row],[Temperatura]])/(Tabella3[Theta rot]*Tabella619[Simmetry Number]))</f>
        <v>-408.91176588633323</v>
      </c>
      <c r="H68" s="18" cm="1">
        <f t="array" ref="H68">Tabella3397120[Rydberg R]*(1 + LN(Tabella132669[[#This Row],[Temperatura]]/(Tabella3119142[Theta rot]*Tabella61999122[Simmetry Number])))</f>
        <v>51.620666116588218</v>
      </c>
      <c r="J68" s="19"/>
      <c r="K68" s="6"/>
      <c r="M68" s="9">
        <v>400</v>
      </c>
      <c r="N68" s="11" cm="1">
        <f t="array" ref="N68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3.2437062611437007E-3</v>
      </c>
      <c r="O68" s="1" cm="1">
        <f t="array" ref="O68">Tabella3397120[Rydberg R]*Tabella1124103126[[#This Row],[S vib 1]]</f>
        <v>2.6969672447441379E-2</v>
      </c>
    </row>
    <row r="69" spans="1:15" x14ac:dyDescent="0.3">
      <c r="A69" s="3">
        <v>700</v>
      </c>
      <c r="B69" cm="1">
        <f t="array" ref="B69">POWER((2*Tabella3397120[Pi Greco]*Tabella3397120[Massa]*Tabella3397120[Boltzmann k]*Tabella122101124[[#This Row],[Temperatura]])/(POWER(Tabella3397120[Planck h],2)),1.5)</f>
        <v>5.1680199097180238E+32</v>
      </c>
      <c r="C69" s="1" cm="1">
        <f t="array" ref="C69">(Tabella122101124[[#This Row],[Temperatura]]*Tabella3397120[Rydberg R])/101325</f>
        <v>5.7440151986183081E-2</v>
      </c>
      <c r="D69" s="1" cm="1">
        <f t="array" ref="D69">Tabella3397120[Rydberg R]*LN((Tabella122101124[[#This Row],[Volume]]/Tabella3397120[Avogadro N])*EXP(2.5)*Tabella122101124[[#This Row],[Translational Factor]])</f>
        <v>168.06272225870103</v>
      </c>
      <c r="F69" s="3">
        <v>600</v>
      </c>
      <c r="G69" s="18" cm="1">
        <f t="array" ref="G69">Tabella33[Rydberg R]*LN((EXP(1)*Tabella132669[[#This Row],[Temperatura]])/(Tabella3[Theta rot]*Tabella619[Simmetry Number]))</f>
        <v>-407.39586023058905</v>
      </c>
      <c r="H69" s="18" cm="1">
        <f t="array" ref="H69">Tabella3397120[Rydberg R]*(1 + LN(Tabella132669[[#This Row],[Temperatura]]/(Tabella3119142[Theta rot]*Tabella61999122[Simmetry Number])))</f>
        <v>53.136571772332402</v>
      </c>
      <c r="J69" s="19"/>
      <c r="K69" s="6"/>
      <c r="M69" s="9">
        <v>500</v>
      </c>
      <c r="N69" s="11" cm="1">
        <f t="array" ref="N69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1.3019553051595363E-2</v>
      </c>
      <c r="O69" s="1" cm="1">
        <f t="array" ref="O69">Tabella3397120[Rydberg R]*Tabella1124103126[[#This Row],[S vib 1]]</f>
        <v>0.10825057910447369</v>
      </c>
    </row>
    <row r="70" spans="1:15" x14ac:dyDescent="0.3">
      <c r="A70" s="3">
        <v>800</v>
      </c>
      <c r="B70" cm="1">
        <f t="array" ref="B70">POWER((2*Tabella3397120[Pi Greco]*Tabella3397120[Massa]*Tabella3397120[Boltzmann k]*Tabella122101124[[#This Row],[Temperatura]])/(POWER(Tabella3397120[Planck h],2)),1.5)</f>
        <v>6.3141093453685353E+32</v>
      </c>
      <c r="C70" s="1" cm="1">
        <f t="array" ref="C70">(Tabella122101124[[#This Row],[Temperatura]]*Tabella3397120[Rydberg R])/101325</f>
        <v>6.5645887984209228E-2</v>
      </c>
      <c r="D70" s="1" cm="1">
        <f t="array" ref="D70">Tabella3397120[Rydberg R]*LN((Tabella122101124[[#This Row],[Volume]]/Tabella3397120[Avogadro N])*EXP(2.5)*Tabella122101124[[#This Row],[Translational Factor]])</f>
        <v>170.83832648316016</v>
      </c>
      <c r="F70" s="3">
        <v>700</v>
      </c>
      <c r="G70" s="18" cm="1">
        <f t="array" ref="G70">Tabella33[Rydberg R]*LN((EXP(1)*Tabella132669[[#This Row],[Temperatura]])/(Tabella3[Theta rot]*Tabella619[Simmetry Number]))</f>
        <v>-406.11418026089115</v>
      </c>
      <c r="H70" s="18" cm="1">
        <f t="array" ref="H70">Tabella3397120[Rydberg R]*(1 + LN(Tabella132669[[#This Row],[Temperatura]]/(Tabella3119142[Theta rot]*Tabella61999122[Simmetry Number])))</f>
        <v>54.418251742030307</v>
      </c>
      <c r="J70" s="19"/>
      <c r="K70" s="6"/>
      <c r="M70" s="9">
        <v>600</v>
      </c>
      <c r="N70" s="11" cm="1">
        <f t="array" ref="N70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3.2137673269919856E-2</v>
      </c>
      <c r="O70" s="1" cm="1">
        <f t="array" ref="O70">Tabella3397120[Rydberg R]*Tabella1124103126[[#This Row],[S vib 1]]</f>
        <v>0.26720746317116439</v>
      </c>
    </row>
    <row r="71" spans="1:15" x14ac:dyDescent="0.3">
      <c r="A71" s="3">
        <v>900</v>
      </c>
      <c r="B71" cm="1">
        <f t="array" ref="B71">POWER((2*Tabella3397120[Pi Greco]*Tabella3397120[Massa]*Tabella3397120[Boltzmann k]*Tabella122101124[[#This Row],[Temperatura]])/(POWER(Tabella3397120[Planck h],2)),1.5)</f>
        <v>7.5342648407571597E+32</v>
      </c>
      <c r="C71" s="1" cm="1">
        <f t="array" ref="C71">(Tabella122101124[[#This Row],[Temperatura]]*Tabella3397120[Rydberg R])/101325</f>
        <v>7.3851623982235395E-2</v>
      </c>
      <c r="D71" s="1" cm="1">
        <f t="array" ref="D71">Tabella3397120[Rydberg R]*LN((Tabella122101124[[#This Row],[Volume]]/Tabella3397120[Avogadro N])*EXP(2.5)*Tabella122101124[[#This Row],[Translational Factor]])</f>
        <v>173.28658291868439</v>
      </c>
      <c r="F71" s="3">
        <v>800</v>
      </c>
      <c r="G71" s="18" cm="1">
        <f t="array" ref="G71">Tabella33[Rydberg R]*LN((EXP(1)*Tabella132669[[#This Row],[Temperatura]])/(Tabella3[Theta rot]*Tabella619[Simmetry Number]))</f>
        <v>-405.00393857110748</v>
      </c>
      <c r="H71" s="18" cm="1">
        <f t="array" ref="H71">Tabella3397120[Rydberg R]*(1 + LN(Tabella132669[[#This Row],[Temperatura]]/(Tabella3119142[Theta rot]*Tabella61999122[Simmetry Number])))</f>
        <v>55.528493431813978</v>
      </c>
      <c r="J71" s="19"/>
      <c r="K71" s="6"/>
      <c r="M71" s="9">
        <v>700</v>
      </c>
      <c r="N71" s="11" cm="1">
        <f t="array" ref="N71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6.0432535787259128E-2</v>
      </c>
      <c r="O71" s="1" cm="1">
        <f t="array" ref="O71">Tabella3397120[Rydberg R]*Tabella1124103126[[#This Row],[S vib 1]]</f>
        <v>0.5024640223668061</v>
      </c>
    </row>
    <row r="72" spans="1:15" x14ac:dyDescent="0.3">
      <c r="A72" s="3">
        <v>1000</v>
      </c>
      <c r="B72" cm="1">
        <f t="array" ref="B72">POWER((2*Tabella3397120[Pi Greco]*Tabella3397120[Massa]*Tabella3397120[Boltzmann k]*Tabella122101124[[#This Row],[Temperatura]])/(POWER(Tabella3397120[Planck h],2)),1.5)</f>
        <v>8.8242360710067644E+32</v>
      </c>
      <c r="C72" s="1" cm="1">
        <f t="array" ref="C72">(Tabella122101124[[#This Row],[Temperatura]]*Tabella3397120[Rydberg R])/101325</f>
        <v>8.2057359980261549E-2</v>
      </c>
      <c r="D72" s="1" cm="1">
        <f t="array" ref="D72">Tabella3397120[Rydberg R]*LN((Tabella122101124[[#This Row],[Volume]]/Tabella3397120[Avogadro N])*EXP(2.5)*Tabella122101124[[#This Row],[Translational Factor]])</f>
        <v>175.47662292802781</v>
      </c>
      <c r="F72" s="3">
        <v>900</v>
      </c>
      <c r="G72" s="18" cm="1">
        <f t="array" ref="G72">Tabella33[Rydberg R]*LN((EXP(1)*Tabella132669[[#This Row],[Temperatura]])/(Tabella3[Theta rot]*Tabella619[Simmetry Number]))</f>
        <v>-404.02463599689781</v>
      </c>
      <c r="H72" s="18" cm="1">
        <f t="array" ref="H72">Tabella3397120[Rydberg R]*(1 + LN(Tabella132669[[#This Row],[Temperatura]]/(Tabella3119142[Theta rot]*Tabella61999122[Simmetry Number])))</f>
        <v>56.507796006023618</v>
      </c>
      <c r="J72" s="19"/>
      <c r="K72" s="6"/>
      <c r="M72" s="9">
        <v>800</v>
      </c>
      <c r="N72" s="11" cm="1">
        <f t="array" ref="N72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9.6218363175533769E-2</v>
      </c>
      <c r="O72" s="1" cm="1">
        <f t="array" ref="O72">Tabella3397120[Rydberg R]*Tabella1124103126[[#This Row],[S vib 1]]</f>
        <v>0.80000392432517498</v>
      </c>
    </row>
    <row r="73" spans="1:15" x14ac:dyDescent="0.3">
      <c r="A73" s="3">
        <v>1100</v>
      </c>
      <c r="B73" cm="1">
        <f t="array" ref="B73">POWER((2*Tabella3397120[Pi Greco]*Tabella3397120[Massa]*Tabella3397120[Boltzmann k]*Tabella122101124[[#This Row],[Temperatura]])/(POWER(Tabella3397120[Planck h],2)),1.5)</f>
        <v>1.0180430556575585E+33</v>
      </c>
      <c r="C73" s="1" cm="1">
        <f t="array" ref="C73">(Tabella122101124[[#This Row],[Temperatura]]*Tabella3397120[Rydberg R])/101325</f>
        <v>9.0263095978287688E-2</v>
      </c>
      <c r="D73" s="1" cm="1">
        <f t="array" ref="D73">Tabella3397120[Rydberg R]*LN((Tabella122101124[[#This Row],[Volume]]/Tabella3397120[Avogadro N])*EXP(2.5)*Tabella122101124[[#This Row],[Translational Factor]])</f>
        <v>177.45775509851845</v>
      </c>
      <c r="F73" s="3">
        <v>1000</v>
      </c>
      <c r="G73" s="18" cm="1">
        <f t="array" ref="G73">Tabella33[Rydberg R]*LN((EXP(1)*Tabella132669[[#This Row],[Temperatura]])/(Tabella3[Theta rot]*Tabella619[Simmetry Number]))</f>
        <v>-403.14861999316037</v>
      </c>
      <c r="H73" s="18" cm="1">
        <f t="array" ref="H73">Tabella3397120[Rydberg R]*(1 + LN(Tabella132669[[#This Row],[Temperatura]]/(Tabella3119142[Theta rot]*Tabella61999122[Simmetry Number])))</f>
        <v>57.383812009761023</v>
      </c>
      <c r="J73" s="20"/>
      <c r="K73" s="7"/>
      <c r="M73" s="9">
        <v>900</v>
      </c>
      <c r="N73" s="11" cm="1">
        <f t="array" ref="N73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0.13743222695341045</v>
      </c>
      <c r="O73" s="1" cm="1">
        <f t="array" ref="O73">Tabella3397120[Rydberg R]*Tabella1124103126[[#This Row],[S vib 1]]</f>
        <v>1.1426750285795071</v>
      </c>
    </row>
    <row r="74" spans="1:15" x14ac:dyDescent="0.3">
      <c r="A74" s="3">
        <v>1200</v>
      </c>
      <c r="B74" cm="1">
        <f t="array" ref="B74">POWER((2*Tabella3397120[Pi Greco]*Tabella3397120[Massa]*Tabella3397120[Boltzmann k]*Tabella122101124[[#This Row],[Temperatura]])/(POWER(Tabella3397120[Planck h],2)),1.5)</f>
        <v>1.1599759557218818E+33</v>
      </c>
      <c r="C74" s="1" cm="1">
        <f t="array" ref="C74">(Tabella122101124[[#This Row],[Temperatura]]*Tabella3397120[Rydberg R])/101325</f>
        <v>9.8468831976313842E-2</v>
      </c>
      <c r="D74" s="1" cm="1">
        <f t="array" ref="D74">Tabella3397120[Rydberg R]*LN((Tabella122101124[[#This Row],[Volume]]/Tabella3397120[Avogadro N])*EXP(2.5)*Tabella122101124[[#This Row],[Translational Factor]])</f>
        <v>179.26638706738828</v>
      </c>
      <c r="F74" s="3">
        <v>1100</v>
      </c>
      <c r="G74" s="18" cm="1">
        <f t="array" ref="G74">Tabella33[Rydberg R]*LN((EXP(1)*Tabella132669[[#This Row],[Temperatura]])/(Tabella3[Theta rot]*Tabella619[Simmetry Number]))</f>
        <v>-402.3561671249642</v>
      </c>
      <c r="H74" s="18" cm="1">
        <f t="array" ref="H74">Tabella3397120[Rydberg R]*(1 + LN(Tabella132669[[#This Row],[Temperatura]]/(Tabella3119142[Theta rot]*Tabella61999122[Simmetry Number])))</f>
        <v>58.176264877957252</v>
      </c>
      <c r="M74" s="9">
        <v>1000</v>
      </c>
      <c r="N74" s="11" cm="1">
        <f t="array" ref="N74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0.18221219974889594</v>
      </c>
      <c r="O74" s="1" cm="1">
        <f t="array" ref="O74">Tabella3397120[Rydberg R]*Tabella1124103126[[#This Row],[S vib 1]]</f>
        <v>1.5149964107486049</v>
      </c>
    </row>
    <row r="75" spans="1:15" x14ac:dyDescent="0.3">
      <c r="A75" s="3">
        <v>1300</v>
      </c>
      <c r="B75" cm="1">
        <f t="array" ref="B75">POWER((2*Tabella3397120[Pi Greco]*Tabella3397120[Massa]*Tabella3397120[Boltzmann k]*Tabella122101124[[#This Row],[Temperatura]])/(POWER(Tabella3397120[Planck h],2)),1.5)</f>
        <v>1.3079530247465909E+33</v>
      </c>
      <c r="C75" s="1" cm="1">
        <f t="array" ref="C75">(Tabella122101124[[#This Row],[Temperatura]]*Tabella3397120[Rydberg R])/101325</f>
        <v>0.10667456797434</v>
      </c>
      <c r="D75" s="1" cm="1">
        <f t="array" ref="D75">Tabella3397120[Rydberg R]*LN((Tabella122101124[[#This Row],[Volume]]/Tabella3397120[Avogadro N])*EXP(2.5)*Tabella122101124[[#This Row],[Translational Factor]])</f>
        <v>180.93016719571008</v>
      </c>
      <c r="F75" s="3">
        <v>1200</v>
      </c>
      <c r="G75" s="18" cm="1">
        <f t="array" ref="G75">Tabella33[Rydberg R]*LN((EXP(1)*Tabella132669[[#This Row],[Temperatura]])/(Tabella3[Theta rot]*Tabella619[Simmetry Number]))</f>
        <v>-401.63271433741625</v>
      </c>
      <c r="H75" s="18" cm="1">
        <f t="array" ref="H75">Tabella3397120[Rydberg R]*(1 + LN(Tabella132669[[#This Row],[Temperatura]]/(Tabella3119142[Theta rot]*Tabella61999122[Simmetry Number])))</f>
        <v>58.899717665505207</v>
      </c>
      <c r="M75" s="9">
        <v>1100</v>
      </c>
      <c r="N75" s="11" cm="1">
        <f t="array" ref="N75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0.22907887359704482</v>
      </c>
      <c r="O75" s="1" cm="1">
        <f t="array" ref="O75">Tabella3397120[Rydberg R]*Tabella1124103126[[#This Row],[S vib 1]]</f>
        <v>1.9046675895254326</v>
      </c>
    </row>
    <row r="76" spans="1:15" x14ac:dyDescent="0.3">
      <c r="A76" s="3">
        <v>1400</v>
      </c>
      <c r="B76" cm="1">
        <f t="array" ref="B76">POWER((2*Tabella3397120[Pi Greco]*Tabella3397120[Massa]*Tabella3397120[Boltzmann k]*Tabella122101124[[#This Row],[Temperatura]])/(POWER(Tabella3397120[Planck h],2)),1.5)</f>
        <v>1.4617367693874856E+33</v>
      </c>
      <c r="C76" s="1" cm="1">
        <f t="array" ref="C76">(Tabella122101124[[#This Row],[Temperatura]]*Tabella3397120[Rydberg R])/101325</f>
        <v>0.11488030397236616</v>
      </c>
      <c r="D76" s="1" cm="1">
        <f t="array" ref="D76">Tabella3397120[Rydberg R]*LN((Tabella122101124[[#This Row],[Volume]]/Tabella3397120[Avogadro N])*EXP(2.5)*Tabella122101124[[#This Row],[Translational Factor]])</f>
        <v>182.47058699163304</v>
      </c>
      <c r="F76" s="3">
        <v>1300</v>
      </c>
      <c r="G76" s="18" cm="1">
        <f t="array" ref="G76">Tabella33[Rydberg R]*LN((EXP(1)*Tabella132669[[#This Row],[Temperatura]])/(Tabella3[Theta rot]*Tabella619[Simmetry Number]))</f>
        <v>-400.96720228608751</v>
      </c>
      <c r="H76" s="18" cm="1">
        <f t="array" ref="H76">Tabella3397120[Rydberg R]*(1 + LN(Tabella132669[[#This Row],[Temperatura]]/(Tabella3119142[Theta rot]*Tabella61999122[Simmetry Number])))</f>
        <v>59.565229716833926</v>
      </c>
      <c r="M76" s="9">
        <v>1200</v>
      </c>
      <c r="N76" s="11" cm="1">
        <f t="array" ref="N76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0.27693279206221555</v>
      </c>
      <c r="O76" s="1" cm="1">
        <f t="array" ref="O76">Tabella3397120[Rydberg R]*Tabella1124103126[[#This Row],[S vib 1]]</f>
        <v>2.3025471761551932</v>
      </c>
    </row>
    <row r="77" spans="1:15" x14ac:dyDescent="0.3">
      <c r="A77" s="3">
        <v>1500</v>
      </c>
      <c r="B77" cm="1">
        <f t="array" ref="B77">POWER((2*Tabella3397120[Pi Greco]*Tabella3397120[Massa]*Tabella3397120[Boltzmann k]*Tabella122101124[[#This Row],[Temperatura]])/(POWER(Tabella3397120[Planck h],2)),1.5)</f>
        <v>1.6211156807871429E+33</v>
      </c>
      <c r="C77" s="1" cm="1">
        <f t="array" ref="C77">(Tabella122101124[[#This Row],[Temperatura]]*Tabella3397120[Rydberg R])/101325</f>
        <v>0.12308603997039232</v>
      </c>
      <c r="D77" s="1" cm="1">
        <f t="array" ref="D77">Tabella3397120[Rydberg R]*LN((Tabella122101124[[#This Row],[Volume]]/Tabella3397120[Avogadro N])*EXP(2.5)*Tabella122101124[[#This Row],[Translational Factor]])</f>
        <v>183.90468351225593</v>
      </c>
      <c r="F77" s="3">
        <v>1400</v>
      </c>
      <c r="G77" s="18" cm="1">
        <f t="array" ref="G77">Tabella33[Rydberg R]*LN((EXP(1)*Tabella132669[[#This Row],[Temperatura]])/(Tabella3[Theta rot]*Tabella619[Simmetry Number]))</f>
        <v>-400.35103436771828</v>
      </c>
      <c r="H77" s="18" cm="1">
        <f t="array" ref="H77">Tabella3397120[Rydberg R]*(1 + LN(Tabella132669[[#This Row],[Temperatura]]/(Tabella3119142[Theta rot]*Tabella61999122[Simmetry Number])))</f>
        <v>60.181397635203112</v>
      </c>
      <c r="M77" s="9">
        <v>1300</v>
      </c>
      <c r="N77" s="11" cm="1">
        <f t="array" ref="N77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0.32498954380647971</v>
      </c>
      <c r="O77" s="1" cm="1">
        <f t="array" ref="O77">Tabella3397120[Rydberg R]*Tabella1124103126[[#This Row],[S vib 1]]</f>
        <v>2.702113212376311</v>
      </c>
    </row>
    <row r="78" spans="1:15" x14ac:dyDescent="0.3">
      <c r="A78" s="3">
        <v>1600</v>
      </c>
      <c r="B78" cm="1">
        <f t="array" ref="B78">POWER((2*Tabella3397120[Pi Greco]*Tabella3397120[Massa]*Tabella3397120[Boltzmann k]*Tabella122101124[[#This Row],[Temperatura]])/(POWER(Tabella3397120[Planck h],2)),1.5)</f>
        <v>1.7858998141053826E+33</v>
      </c>
      <c r="C78" s="1" cm="1">
        <f t="array" ref="C78">(Tabella122101124[[#This Row],[Temperatura]]*Tabella3397120[Rydberg R])/101325</f>
        <v>0.13129177596841846</v>
      </c>
      <c r="D78" s="1" cm="1">
        <f t="array" ref="D78">Tabella3397120[Rydberg R]*LN((Tabella122101124[[#This Row],[Volume]]/Tabella3397120[Avogadro N])*EXP(2.5)*Tabella122101124[[#This Row],[Translational Factor]])</f>
        <v>185.24619121609217</v>
      </c>
      <c r="F78" s="3">
        <v>1500</v>
      </c>
      <c r="G78" s="18" cm="1">
        <f t="array" ref="G78">Tabella33[Rydberg R]*LN((EXP(1)*Tabella132669[[#This Row],[Temperatura]])/(Tabella3[Theta rot]*Tabella619[Simmetry Number]))</f>
        <v>-399.77739575946919</v>
      </c>
      <c r="H78" s="18" cm="1">
        <f t="array" ref="H78">Tabella3397120[Rydberg R]*(1 + LN(Tabella132669[[#This Row],[Temperatura]]/(Tabella3119142[Theta rot]*Tabella61999122[Simmetry Number])))</f>
        <v>60.755036243452246</v>
      </c>
      <c r="M78" s="9">
        <v>1400</v>
      </c>
      <c r="N78" s="11" cm="1">
        <f t="array" ref="N78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0.37270596475713402</v>
      </c>
      <c r="O78" s="1" cm="1">
        <f t="array" ref="O78">Tabella3397120[Rydberg R]*Tabella1124103126[[#This Row],[S vib 1]]</f>
        <v>3.0988495811465304</v>
      </c>
    </row>
    <row r="79" spans="1:15" x14ac:dyDescent="0.3">
      <c r="A79" s="3">
        <v>1700</v>
      </c>
      <c r="B79" cm="1">
        <f t="array" ref="B79">POWER((2*Tabella3397120[Pi Greco]*Tabella3397120[Massa]*Tabella3397120[Boltzmann k]*Tabella122101124[[#This Row],[Temperatura]])/(POWER(Tabella3397120[Planck h],2)),1.5)</f>
        <v>1.9559173546182394E+33</v>
      </c>
      <c r="C79" s="1" cm="1">
        <f t="array" ref="C79">(Tabella122101124[[#This Row],[Temperatura]]*Tabella3397120[Rydberg R])/101325</f>
        <v>0.13949751196644464</v>
      </c>
      <c r="D79" s="1" cm="1">
        <f t="array" ref="D79">Tabella3397120[Rydberg R]*LN((Tabella122101124[[#This Row],[Volume]]/Tabella3397120[Avogadro N])*EXP(2.5)*Tabella122101124[[#This Row],[Translational Factor]])</f>
        <v>186.50634400198504</v>
      </c>
      <c r="F79" s="3">
        <v>1600</v>
      </c>
      <c r="G79" s="18" cm="1">
        <f t="array" ref="G79">Tabella33[Rydberg R]*LN((EXP(1)*Tabella132669[[#This Row],[Temperatura]])/(Tabella3[Theta rot]*Tabella619[Simmetry Number]))</f>
        <v>-399.24079267793468</v>
      </c>
      <c r="H79" s="18" cm="1">
        <f t="array" ref="H79">Tabella3397120[Rydberg R]*(1 + LN(Tabella132669[[#This Row],[Temperatura]]/(Tabella3119142[Theta rot]*Tabella61999122[Simmetry Number])))</f>
        <v>61.291639324986782</v>
      </c>
      <c r="M79" s="9">
        <v>1500</v>
      </c>
      <c r="N79" s="11" cm="1">
        <f t="array" ref="N79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0.41971623804591174</v>
      </c>
      <c r="O79" s="1" cm="1">
        <f t="array" ref="O79">Tabella3397120[Rydberg R]*Tabella1124103126[[#This Row],[S vib 1]]</f>
        <v>3.4897147120156875</v>
      </c>
    </row>
    <row r="80" spans="1:15" x14ac:dyDescent="0.3">
      <c r="A80" s="3">
        <v>1800</v>
      </c>
      <c r="B80" cm="1">
        <f t="array" ref="B80">POWER((2*Tabella3397120[Pi Greco]*Tabella3397120[Massa]*Tabella3397120[Boltzmann k]*Tabella122101124[[#This Row],[Temperatura]])/(POWER(Tabella3397120[Planck h],2)),1.5)</f>
        <v>2.1310119040618842E+33</v>
      </c>
      <c r="C80" s="1" cm="1">
        <f t="array" ref="C80">(Tabella122101124[[#This Row],[Temperatura]]*Tabella3397120[Rydberg R])/101325</f>
        <v>0.14770324796447079</v>
      </c>
      <c r="D80" s="1" cm="1">
        <f t="array" ref="D80">Tabella3397120[Rydberg R]*LN((Tabella122101124[[#This Row],[Volume]]/Tabella3397120[Avogadro N])*EXP(2.5)*Tabella122101124[[#This Row],[Translational Factor]])</f>
        <v>187.69444765161629</v>
      </c>
      <c r="F80" s="3">
        <v>1700</v>
      </c>
      <c r="G80" s="18" cm="1">
        <f t="array" ref="G80">Tabella33[Rydberg R]*LN((EXP(1)*Tabella132669[[#This Row],[Temperatura]])/(Tabella3[Theta rot]*Tabella619[Simmetry Number]))</f>
        <v>-398.73673156357751</v>
      </c>
      <c r="H80" s="18" cm="1">
        <f t="array" ref="H80">Tabella3397120[Rydberg R]*(1 + LN(Tabella132669[[#This Row],[Temperatura]]/(Tabella3119142[Theta rot]*Tabella61999122[Simmetry Number])))</f>
        <v>61.795700439343904</v>
      </c>
      <c r="M80" s="9">
        <v>1600</v>
      </c>
      <c r="N80" s="11" cm="1">
        <f t="array" ref="N80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0.4657819822035445</v>
      </c>
      <c r="O80" s="1" cm="1">
        <f t="array" ref="O80">Tabella3397120[Rydberg R]*Tabella1124103126[[#This Row],[S vib 1]]</f>
        <v>3.8727265913160474</v>
      </c>
    </row>
    <row r="81" spans="1:15" x14ac:dyDescent="0.3">
      <c r="A81" s="3">
        <v>1900</v>
      </c>
      <c r="B81" cm="1">
        <f t="array" ref="B81">POWER((2*Tabella3397120[Pi Greco]*Tabella3397120[Massa]*Tabella3397120[Boltzmann k]*Tabella122101124[[#This Row],[Temperatura]])/(POWER(Tabella3397120[Planck h],2)),1.5)</f>
        <v>2.3110403038514934E+33</v>
      </c>
      <c r="C81" s="1" cm="1">
        <f t="array" ref="C81">(Tabella122101124[[#This Row],[Temperatura]]*Tabella3397120[Rydberg R])/101325</f>
        <v>0.15590898396249692</v>
      </c>
      <c r="D81" s="1" cm="1">
        <f t="array" ref="D81">Tabella3397120[Rydberg R]*LN((Tabella122101124[[#This Row],[Volume]]/Tabella3397120[Avogadro N])*EXP(2.5)*Tabella122101124[[#This Row],[Translational Factor]])</f>
        <v>188.81829729335956</v>
      </c>
      <c r="F81" s="3">
        <v>1800</v>
      </c>
      <c r="G81" s="18" cm="1">
        <f t="array" ref="G81">Tabella33[Rydberg R]*LN((EXP(1)*Tabella132669[[#This Row],[Temperatura]])/(Tabella3[Theta rot]*Tabella619[Simmetry Number]))</f>
        <v>-398.26149010372501</v>
      </c>
      <c r="H81" s="18" cm="1">
        <f t="array" ref="H81">Tabella3397120[Rydberg R]*(1 + LN(Tabella132669[[#This Row],[Temperatura]]/(Tabella3119142[Theta rot]*Tabella61999122[Simmetry Number])))</f>
        <v>62.270941899196423</v>
      </c>
      <c r="M81" s="9">
        <v>1700</v>
      </c>
      <c r="N81" s="11" cm="1">
        <f t="array" ref="N81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0.51075512424932912</v>
      </c>
      <c r="O81" s="1" cm="1">
        <f t="array" ref="O81">Tabella3397120[Rydberg R]*Tabella1124103126[[#This Row],[S vib 1]]</f>
        <v>4.2466540718763257</v>
      </c>
    </row>
    <row r="82" spans="1:15" x14ac:dyDescent="0.3">
      <c r="A82" s="3">
        <v>2000</v>
      </c>
      <c r="B82" s="3" cm="1">
        <f t="array" ref="B82">POWER((2*Tabella3397120[Pi Greco]*Tabella3397120[Massa]*Tabella3397120[Boltzmann k]*Tabella122101124[[#This Row],[Temperatura]])/(POWER(Tabella3397120[Planck h],2)),1.5)</f>
        <v>2.4958708658399349E+33</v>
      </c>
      <c r="C82" s="1" cm="1">
        <f t="array" ref="C82">(Tabella122101124[[#This Row],[Temperatura]]*Tabella3397120[Rydberg R])/101325</f>
        <v>0.1641147199605231</v>
      </c>
      <c r="D82" s="1" cm="1">
        <f t="array" ref="D82">Tabella3397120[Rydberg R]*LN((Tabella122101124[[#This Row],[Volume]]/Tabella3397120[Avogadro N])*EXP(2.5)*Tabella122101124[[#This Row],[Translational Factor]])</f>
        <v>189.88448766095985</v>
      </c>
      <c r="F82" s="3">
        <v>1900</v>
      </c>
      <c r="G82" s="18" cm="1">
        <f t="array" ref="G82">Tabella33[Rydberg R]*LN((EXP(1)*Tabella132669[[#This Row],[Temperatura]])/(Tabella3[Theta rot]*Tabella619[Simmetry Number]))</f>
        <v>-397.81195024702771</v>
      </c>
      <c r="H82" s="18" cm="1">
        <f t="array" ref="H82">Tabella3397120[Rydberg R]*(1 + LN(Tabella132669[[#This Row],[Temperatura]]/(Tabella3119142[Theta rot]*Tabella61999122[Simmetry Number])))</f>
        <v>62.720481755893722</v>
      </c>
      <c r="M82" s="9">
        <v>1800</v>
      </c>
      <c r="N82" s="11" cm="1">
        <f t="array" ref="N82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0.5545509672814517</v>
      </c>
      <c r="O82" s="1" cm="1">
        <f t="array" ref="O82">Tabella3397120[Rydberg R]*Tabella1124103126[[#This Row],[S vib 1]]</f>
        <v>4.6107929445248734</v>
      </c>
    </row>
    <row r="83" spans="1:15" x14ac:dyDescent="0.3">
      <c r="F83" s="3">
        <v>2000</v>
      </c>
      <c r="G83" s="18" cm="1">
        <f t="array" ref="G83">Tabella33[Rydberg R]*LN((EXP(1)*Tabella132669[[#This Row],[Temperatura]])/(Tabella3[Theta rot]*Tabella619[Simmetry Number]))</f>
        <v>-397.38547409998762</v>
      </c>
      <c r="H83" s="18" cm="1">
        <f t="array" ref="H83">Tabella3397120[Rydberg R]*(1 + LN(Tabella132669[[#This Row],[Temperatura]]/(Tabella3119142[Theta rot]*Tabella61999122[Simmetry Number])))</f>
        <v>63.146957902933828</v>
      </c>
      <c r="M83" s="9">
        <v>1900</v>
      </c>
      <c r="N83" s="11" cm="1">
        <f t="array" ref="N83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0.5971289084838316</v>
      </c>
      <c r="O83" s="1" cm="1">
        <f t="array" ref="O83">Tabella3397120[Rydberg R]*Tabella1124103126[[#This Row],[S vib 1]]</f>
        <v>4.9648056186902956</v>
      </c>
    </row>
    <row r="84" spans="1:15" x14ac:dyDescent="0.3">
      <c r="M84" s="9">
        <v>2000</v>
      </c>
      <c r="N84" s="11" cm="1">
        <f t="array" ref="N84" xml:space="preserve">   ((Tabella1225104127[Theta vib 1]/Tabella1124103126[[#This Row],[Temperatura]]) /(EXP(Tabella1225104127[Theta vib 1]/Tabella1124103126[[#This Row],[Temperatura]])-1) )- LN(1-EXP(-Tabella1225104127[Theta vib 1]/Tabella1124103126[[#This Row],[Temperatura]]))</f>
        <v>0.63847872773490311</v>
      </c>
      <c r="O84" s="1" cm="1">
        <f t="array" ref="O84">Tabella3397120[Rydberg R]*Tabella1124103126[[#This Row],[S vib 1]]</f>
        <v>5.3086071195601985</v>
      </c>
    </row>
    <row r="88" spans="1:15" x14ac:dyDescent="0.3">
      <c r="A88" t="s">
        <v>71</v>
      </c>
      <c r="B88" t="s">
        <v>72</v>
      </c>
      <c r="C88" t="s">
        <v>73</v>
      </c>
      <c r="D88" t="s">
        <v>74</v>
      </c>
    </row>
    <row r="89" spans="1:15" x14ac:dyDescent="0.3">
      <c r="A89" t="s">
        <v>76</v>
      </c>
      <c r="B89" s="1">
        <f>D65</f>
        <v>150.31161925702861</v>
      </c>
      <c r="C89" s="1">
        <f>(35.923*4.184)</f>
        <v>150.30183200000002</v>
      </c>
      <c r="D89" s="17">
        <f>ABS(Tabella2054115138[[#This Row],[My value]]-Tabella2054115138[[#This Row],[Gaussian]])/Tabella2054115138[[#This Row],[Gaussian]]</f>
        <v>6.511735019032576E-5</v>
      </c>
    </row>
    <row r="90" spans="1:15" x14ac:dyDescent="0.3">
      <c r="A90" t="s">
        <v>77</v>
      </c>
      <c r="B90" s="1">
        <f>O67</f>
        <v>2.337332789574553E-3</v>
      </c>
      <c r="C90" s="1">
        <f>0.001*4.184</f>
        <v>4.1840000000000002E-3</v>
      </c>
      <c r="D90" s="31">
        <f>ABS(Tabella2054115138[[#This Row],[My value]]-Tabella2054115138[[#This Row],[Gaussian]])/Tabella2054115138[[#This Row],[Gaussian]]</f>
        <v>0.44136405602902656</v>
      </c>
    </row>
    <row r="91" spans="1:15" x14ac:dyDescent="0.3">
      <c r="A91" t="s">
        <v>78</v>
      </c>
      <c r="B91" s="1">
        <f>G66</f>
        <v>-413.21462146156006</v>
      </c>
      <c r="C91" s="1">
        <f>11.31*4.184</f>
        <v>47.321040000000004</v>
      </c>
      <c r="D91" s="17">
        <f>ABS(Tabella2054115138[[#This Row],[My value]]-Tabella2054115138[[#This Row],[Gaussian]])/Tabella2054115138[[#This Row],[Gaussian]]</f>
        <v>9.7321542692544369</v>
      </c>
    </row>
    <row r="92" spans="1:15" x14ac:dyDescent="0.3">
      <c r="A92" t="s">
        <v>97</v>
      </c>
      <c r="B92" s="1">
        <f>H66</f>
        <v>47.317810541361339</v>
      </c>
      <c r="C92">
        <f>11.31*4.184</f>
        <v>47.321040000000004</v>
      </c>
      <c r="D92" s="15">
        <f>ABS(Tabella2054115138[[#This Row],[My value]]-Tabella2054115138[[#This Row],[Gaussian]])/Tabella2054115138[[#This Row],[Gaussian]]</f>
        <v>6.8245724072507377E-5</v>
      </c>
    </row>
    <row r="93" spans="1:15" x14ac:dyDescent="0.3">
      <c r="A93" t="s">
        <v>79</v>
      </c>
      <c r="B93">
        <v>0</v>
      </c>
      <c r="C93">
        <v>0</v>
      </c>
      <c r="D93" s="15">
        <v>0</v>
      </c>
    </row>
    <row r="103" spans="1:8" x14ac:dyDescent="0.3">
      <c r="A103" s="5" t="s">
        <v>4</v>
      </c>
      <c r="B103" s="5" t="s">
        <v>45</v>
      </c>
      <c r="C103" s="5" t="s">
        <v>46</v>
      </c>
      <c r="G103" t="s">
        <v>57</v>
      </c>
    </row>
    <row r="104" spans="1:8" x14ac:dyDescent="0.3">
      <c r="A104" s="3">
        <v>298</v>
      </c>
      <c r="B104" s="1" cm="1">
        <f t="array" ref="B104">Tabella3397120[Rydberg R]</f>
        <v>8.3144620000000007</v>
      </c>
      <c r="C104" s="1" cm="1">
        <f t="array" ref="C104">(3/2)*Tabella3397120[Rydberg R]</f>
        <v>12.471693000000002</v>
      </c>
      <c r="G104" s="8">
        <f>K65</f>
        <v>3167.854874417781</v>
      </c>
    </row>
    <row r="105" spans="1:8" x14ac:dyDescent="0.3">
      <c r="A105" s="3">
        <v>400</v>
      </c>
      <c r="B105" s="1" cm="1">
        <f t="array" ref="B105">Tabella3397120[Rydberg R]</f>
        <v>8.3144620000000007</v>
      </c>
      <c r="C105" s="1" cm="1">
        <f t="array" ref="C105">(3/2)*Tabella3397120[Rydberg R]</f>
        <v>12.471693000000002</v>
      </c>
      <c r="F105" s="5" t="s">
        <v>4</v>
      </c>
      <c r="G105" s="5" t="s">
        <v>47</v>
      </c>
      <c r="H105" s="5" t="s">
        <v>56</v>
      </c>
    </row>
    <row r="106" spans="1:8" x14ac:dyDescent="0.3">
      <c r="A106" s="3">
        <v>500</v>
      </c>
      <c r="B106" s="1" cm="1">
        <f t="array" ref="B106">Tabella3397120[Rydberg R]</f>
        <v>8.3144620000000007</v>
      </c>
      <c r="C106" s="1" cm="1">
        <f t="array" ref="C106">(3/2)*Tabella3397120[Rydberg R]</f>
        <v>12.471693000000002</v>
      </c>
      <c r="F106" s="3">
        <v>298</v>
      </c>
      <c r="G106" s="12" cm="1">
        <f t="array" ref="G106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2.7315003763606262E-3</v>
      </c>
      <c r="H106" s="1" cm="1">
        <f t="array" ref="H106">Tabella1629107130[[#This Row],[Cv vib1]]*Tabella3397120[Rydberg R]</f>
        <v>2.2710956082236129E-2</v>
      </c>
    </row>
    <row r="107" spans="1:8" x14ac:dyDescent="0.3">
      <c r="A107" s="3">
        <v>600</v>
      </c>
      <c r="B107" s="1" cm="1">
        <f t="array" ref="B107">Tabella3397120[Rydberg R]</f>
        <v>8.3144620000000007</v>
      </c>
      <c r="C107" s="1" cm="1">
        <f t="array" ref="C107">(3/2)*Tabella3397120[Rydberg R]</f>
        <v>12.471693000000002</v>
      </c>
      <c r="F107" s="3">
        <v>400</v>
      </c>
      <c r="G107" s="12" cm="1">
        <f t="array" ref="G107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2.2817689339988987E-2</v>
      </c>
      <c r="H107" s="1" cm="1">
        <f t="array" ref="H107">Tabella1629107130[[#This Row],[Cv vib1]]*Tabella3397120[Rydberg R]</f>
        <v>0.18971681094514353</v>
      </c>
    </row>
    <row r="108" spans="1:8" x14ac:dyDescent="0.3">
      <c r="A108" s="3">
        <v>700</v>
      </c>
      <c r="B108" s="1" cm="1">
        <f t="array" ref="B108">Tabella3397120[Rydberg R]</f>
        <v>8.3144620000000007</v>
      </c>
      <c r="C108" s="1" cm="1">
        <f t="array" ref="C108">(3/2)*Tabella3397120[Rydberg R]</f>
        <v>12.471693000000002</v>
      </c>
      <c r="F108" s="3">
        <v>500</v>
      </c>
      <c r="G108" s="12" cm="1">
        <f t="array" ref="G108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7.1378459509040731E-2</v>
      </c>
      <c r="H108" s="1" cm="1">
        <f t="array" ref="H108">Tabella1629107130[[#This Row],[Cv vib1]]*Tabella3397120[Rydberg R]</f>
        <v>0.59347348920645782</v>
      </c>
    </row>
    <row r="109" spans="1:8" x14ac:dyDescent="0.3">
      <c r="A109" s="3">
        <v>800</v>
      </c>
      <c r="B109" s="1" cm="1">
        <f t="array" ref="B109">Tabella3397120[Rydberg R]</f>
        <v>8.3144620000000007</v>
      </c>
      <c r="C109" s="1" cm="1">
        <f t="array" ref="C109">(3/2)*Tabella3397120[Rydberg R]</f>
        <v>12.471693000000002</v>
      </c>
      <c r="F109" s="3">
        <v>600</v>
      </c>
      <c r="G109" s="12" cm="1">
        <f t="array" ref="G109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0.14344778305130818</v>
      </c>
      <c r="H109" s="1" cm="1">
        <f t="array" ref="H109">Tabella1629107130[[#This Row],[Cv vib1]]*Tabella3397120[Rydberg R]</f>
        <v>1.1926911411643459</v>
      </c>
    </row>
    <row r="110" spans="1:8" x14ac:dyDescent="0.3">
      <c r="A110" s="3">
        <v>900</v>
      </c>
      <c r="B110" s="1" cm="1">
        <f t="array" ref="B110">Tabella3397120[Rydberg R]</f>
        <v>8.3144620000000007</v>
      </c>
      <c r="C110" s="1" cm="1">
        <f t="array" ref="C110">(3/2)*Tabella3397120[Rydberg R]</f>
        <v>12.471693000000002</v>
      </c>
      <c r="F110" s="3">
        <v>700</v>
      </c>
      <c r="G110" s="12" cm="1">
        <f t="array" ref="G110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0.22666748079213223</v>
      </c>
      <c r="H110" s="1" cm="1">
        <f t="array" ref="H110">Tabella1629107130[[#This Row],[Cv vib1]]*Tabella3397120[Rydberg R]</f>
        <v>1.8846181556819135</v>
      </c>
    </row>
    <row r="111" spans="1:8" x14ac:dyDescent="0.3">
      <c r="A111" s="3">
        <v>1000</v>
      </c>
      <c r="B111" s="1" cm="1">
        <f t="array" ref="B111">Tabella3397120[Rydberg R]</f>
        <v>8.3144620000000007</v>
      </c>
      <c r="C111" s="1" cm="1">
        <f t="array" ref="C111">(3/2)*Tabella3397120[Rydberg R]</f>
        <v>12.471693000000002</v>
      </c>
      <c r="F111" s="3">
        <v>800</v>
      </c>
      <c r="G111" s="12" cm="1">
        <f t="array" ref="G111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0.31070207115959647</v>
      </c>
      <c r="H111" s="1" cm="1">
        <f t="array" ref="H111">Tabella1629107130[[#This Row],[Cv vib1]]*Tabella3397120[Rydberg R]</f>
        <v>2.583320563977761</v>
      </c>
    </row>
    <row r="112" spans="1:8" x14ac:dyDescent="0.3">
      <c r="A112" s="3">
        <v>1100</v>
      </c>
      <c r="B112" s="1" cm="1">
        <f t="array" ref="B112">Tabella3397120[Rydberg R]</f>
        <v>8.3144620000000007</v>
      </c>
      <c r="C112" s="1" cm="1">
        <f t="array" ref="C112">(3/2)*Tabella3397120[Rydberg R]</f>
        <v>12.471693000000002</v>
      </c>
      <c r="F112" s="3">
        <v>900</v>
      </c>
      <c r="G112" s="12" cm="1">
        <f t="array" ref="G112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0.38949436716204439</v>
      </c>
      <c r="H112" s="1" cm="1">
        <f t="array" ref="H112">Tabella1629107130[[#This Row],[Cv vib1]]*Tabella3397120[Rydberg R]</f>
        <v>3.238436114982866</v>
      </c>
    </row>
    <row r="113" spans="1:8" x14ac:dyDescent="0.3">
      <c r="A113" s="3">
        <v>1200</v>
      </c>
      <c r="B113" s="1" cm="1">
        <f t="array" ref="B113">Tabella3397120[Rydberg R]</f>
        <v>8.3144620000000007</v>
      </c>
      <c r="C113" s="1" cm="1">
        <f t="array" ref="C113">(3/2)*Tabella3397120[Rydberg R]</f>
        <v>12.471693000000002</v>
      </c>
      <c r="F113" s="3">
        <v>1000</v>
      </c>
      <c r="G113" s="12" cm="1">
        <f t="array" ref="G113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0.46036541839108275</v>
      </c>
      <c r="H113" s="1" cm="1">
        <f t="array" ref="H113">Tabella1629107130[[#This Row],[Cv vib1]]*Tabella3397120[Rydberg R]</f>
        <v>3.827690777326759</v>
      </c>
    </row>
    <row r="114" spans="1:8" x14ac:dyDescent="0.3">
      <c r="A114" s="3">
        <v>1300</v>
      </c>
      <c r="B114" s="1" cm="1">
        <f t="array" ref="B114">Tabella3397120[Rydberg R]</f>
        <v>8.3144620000000007</v>
      </c>
      <c r="C114" s="1" cm="1">
        <f t="array" ref="C114">(3/2)*Tabella3397120[Rydberg R]</f>
        <v>12.471693000000002</v>
      </c>
      <c r="F114" s="3">
        <v>1100</v>
      </c>
      <c r="G114" s="12" cm="1">
        <f t="array" ref="G114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0.5226623390718671</v>
      </c>
      <c r="H114" s="1" cm="1">
        <f t="array" ref="H114">Tabella1629107130[[#This Row],[Cv vib1]]*Tabella3397120[Rydberg R]</f>
        <v>4.3456561570441545</v>
      </c>
    </row>
    <row r="115" spans="1:8" x14ac:dyDescent="0.3">
      <c r="A115" s="3">
        <v>1400</v>
      </c>
      <c r="B115" s="1" cm="1">
        <f t="array" ref="B115">Tabella3397120[Rydberg R]</f>
        <v>8.3144620000000007</v>
      </c>
      <c r="C115" s="1" cm="1">
        <f t="array" ref="C115">(3/2)*Tabella3397120[Rydberg R]</f>
        <v>12.471693000000002</v>
      </c>
      <c r="F115" s="3">
        <v>1200</v>
      </c>
      <c r="G115" s="12" cm="1">
        <f t="array" ref="G115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0.5767633301751155</v>
      </c>
      <c r="H115" s="1" cm="1">
        <f t="array" ref="H115">Tabella1629107130[[#This Row],[Cv vib1]]*Tabella3397120[Rydberg R]</f>
        <v>4.7954767917344512</v>
      </c>
    </row>
    <row r="116" spans="1:8" x14ac:dyDescent="0.3">
      <c r="A116" s="3">
        <v>1500</v>
      </c>
      <c r="B116" s="1" cm="1">
        <f t="array" ref="B116">Tabella3397120[Rydberg R]</f>
        <v>8.3144620000000007</v>
      </c>
      <c r="C116" s="1" cm="1">
        <f t="array" ref="C116">(3/2)*Tabella3397120[Rydberg R]</f>
        <v>12.471693000000002</v>
      </c>
      <c r="F116" s="3">
        <v>1300</v>
      </c>
      <c r="G116" s="12" cm="1">
        <f t="array" ref="G116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0.62348567693393508</v>
      </c>
      <c r="H116" s="1" cm="1">
        <f t="array" ref="H116">Tabella1629107130[[#This Row],[Cv vib1]]*Tabella3397120[Rydberg R]</f>
        <v>5.1839479684114798</v>
      </c>
    </row>
    <row r="117" spans="1:8" x14ac:dyDescent="0.3">
      <c r="A117" s="3">
        <v>1600</v>
      </c>
      <c r="B117" s="1" cm="1">
        <f t="array" ref="B117">Tabella3397120[Rydberg R]</f>
        <v>8.3144620000000007</v>
      </c>
      <c r="C117" s="1" cm="1">
        <f t="array" ref="C117">(3/2)*Tabella3397120[Rydberg R]</f>
        <v>12.471693000000002</v>
      </c>
      <c r="F117" s="3">
        <v>1400</v>
      </c>
      <c r="G117" s="12" cm="1">
        <f t="array" ref="G117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0.6637716874443913</v>
      </c>
      <c r="H117" s="1" cm="1">
        <f t="array" ref="H117">Tabella1629107130[[#This Row],[Cv vib1]]*Tabella3397120[Rydberg R]</f>
        <v>5.5189044719322693</v>
      </c>
    </row>
    <row r="118" spans="1:8" x14ac:dyDescent="0.3">
      <c r="A118" s="3">
        <v>1700</v>
      </c>
      <c r="B118" s="1" cm="1">
        <f t="array" ref="B118">Tabella3397120[Rydberg R]</f>
        <v>8.3144620000000007</v>
      </c>
      <c r="C118" s="1" cm="1">
        <f t="array" ref="C118">(3/2)*Tabella3397120[Rydberg R]</f>
        <v>12.471693000000002</v>
      </c>
      <c r="F118" s="3">
        <v>1500</v>
      </c>
      <c r="G118" s="12" cm="1">
        <f t="array" ref="G118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0.69853747625406404</v>
      </c>
      <c r="H118" s="1" cm="1">
        <f t="array" ref="H118">Tabella1629107130[[#This Row],[Cv vib1]]*Tabella3397120[Rydberg R]</f>
        <v>5.8079633018903181</v>
      </c>
    </row>
    <row r="119" spans="1:8" x14ac:dyDescent="0.3">
      <c r="A119" s="3">
        <v>1800</v>
      </c>
      <c r="B119" s="1" cm="1">
        <f t="array" ref="B119">Tabella3397120[Rydberg R]</f>
        <v>8.3144620000000007</v>
      </c>
      <c r="C119" s="1" cm="1">
        <f t="array" ref="C119">(3/2)*Tabella3397120[Rydberg R]</f>
        <v>12.471693000000002</v>
      </c>
      <c r="F119" s="3">
        <v>1600</v>
      </c>
      <c r="G119" s="12" cm="1">
        <f t="array" ref="G119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0.72860939347267906</v>
      </c>
      <c r="H119" s="1" cm="1">
        <f t="array" ref="H119">Tabella1629107130[[#This Row],[Cv vib1]]*Tabella3397120[Rydberg R]</f>
        <v>6.0579951148716384</v>
      </c>
    </row>
    <row r="120" spans="1:8" x14ac:dyDescent="0.3">
      <c r="A120" s="3">
        <v>1900</v>
      </c>
      <c r="B120" s="1" cm="1">
        <f t="array" ref="B120">Tabella3397120[Rydberg R]</f>
        <v>8.3144620000000007</v>
      </c>
      <c r="C120" s="1" cm="1">
        <f t="array" ref="C120">(3/2)*Tabella3397120[Rydberg R]</f>
        <v>12.471693000000002</v>
      </c>
      <c r="F120" s="3">
        <v>1700</v>
      </c>
      <c r="G120" s="12" cm="1">
        <f t="array" ref="G120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0.7547047534914374</v>
      </c>
      <c r="H120" s="1" cm="1">
        <f t="array" ref="H120">Tabella1629107130[[#This Row],[Cv vib1]]*Tabella3397120[Rydberg R]</f>
        <v>6.2749639941239241</v>
      </c>
    </row>
    <row r="121" spans="1:8" x14ac:dyDescent="0.3">
      <c r="A121" s="3">
        <v>2000</v>
      </c>
      <c r="B121" s="1" cm="1">
        <f t="array" ref="B121">Tabella3397120[Rydberg R]</f>
        <v>8.3144620000000007</v>
      </c>
      <c r="C121" s="1" cm="1">
        <f t="array" ref="C121">(3/2)*Tabella3397120[Rydberg R]</f>
        <v>12.471693000000002</v>
      </c>
      <c r="F121" s="3">
        <v>1800</v>
      </c>
      <c r="G121" s="12" cm="1">
        <f t="array" ref="G121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0.77743343649916252</v>
      </c>
      <c r="H121" s="1" cm="1">
        <f t="array" ref="H121">Tabella1629107130[[#This Row],[Cv vib1]]*Tabella3397120[Rydberg R]</f>
        <v>6.4639407653017003</v>
      </c>
    </row>
    <row r="122" spans="1:8" x14ac:dyDescent="0.3">
      <c r="F122" s="3">
        <v>1900</v>
      </c>
      <c r="G122" s="12" cm="1">
        <f t="array" ref="G122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0.79730824468330719</v>
      </c>
      <c r="H122" s="1" cm="1">
        <f t="array" ref="H122">Tabella1629107130[[#This Row],[Cv vib1]]*Tabella3397120[Rydberg R]</f>
        <v>6.6291891027060599</v>
      </c>
    </row>
    <row r="123" spans="1:8" x14ac:dyDescent="0.3">
      <c r="F123" s="3">
        <v>2000</v>
      </c>
      <c r="G123" s="12" cm="1">
        <f t="array" ref="G123">(    POWER(Tabella31108131[Theta vib1],2)*EXP(Tabella31108131[Theta vib1]/Tabella1629107130[[#This Row],[Temperatura]])    )   /       (   POWER(Tabella1629107130[[#This Row],[Temperatura]],2)*POWER(EXP(Tabella31108131[Theta vib1]/Tabella1629107130[[#This Row],[Temperatura]])-1,2)  )</f>
        <v>0.81475800540955934</v>
      </c>
      <c r="H123" s="1" cm="1">
        <f t="array" ref="H123">Tabella1629107130[[#This Row],[Cv vib1]]*Tabella3397120[Rydberg R]</f>
        <v>6.7742744751735762</v>
      </c>
    </row>
    <row r="126" spans="1:8" ht="42.6" x14ac:dyDescent="0.85">
      <c r="A126" s="13"/>
    </row>
    <row r="129" spans="1:4" x14ac:dyDescent="0.3">
      <c r="A129" t="s">
        <v>71</v>
      </c>
      <c r="B129" t="s">
        <v>72</v>
      </c>
      <c r="C129" t="s">
        <v>73</v>
      </c>
      <c r="D129" t="s">
        <v>74</v>
      </c>
    </row>
    <row r="130" spans="1:4" x14ac:dyDescent="0.3">
      <c r="A130" t="s">
        <v>82</v>
      </c>
      <c r="B130" s="1">
        <f>C104</f>
        <v>12.471693000000002</v>
      </c>
      <c r="C130" s="1">
        <f>(2.981*4.184)</f>
        <v>12.472504000000001</v>
      </c>
      <c r="D130" s="17">
        <f>ABS(Tabella205456117140[[#This Row],[My value]]-Tabella205456117140[[#This Row],[Gaussian]])/Tabella205456117140[[#This Row],[Gaussian]]</f>
        <v>6.5023029858221328E-5</v>
      </c>
    </row>
    <row r="131" spans="1:4" x14ac:dyDescent="0.3">
      <c r="A131" t="s">
        <v>83</v>
      </c>
      <c r="B131" s="1">
        <f>H106</f>
        <v>2.2710956082236129E-2</v>
      </c>
      <c r="C131" s="1">
        <f>0.005*4.184</f>
        <v>2.0920000000000001E-2</v>
      </c>
      <c r="D131" s="17">
        <f>ABS(Tabella205456117140[[#This Row],[My value]]-Tabella205456117140[[#This Row],[Gaussian]])/Tabella205456117140[[#This Row],[Gaussian]]</f>
        <v>8.5609755365015652E-2</v>
      </c>
    </row>
    <row r="132" spans="1:4" x14ac:dyDescent="0.3">
      <c r="A132" t="s">
        <v>84</v>
      </c>
      <c r="B132" s="1">
        <f>B104</f>
        <v>8.3144620000000007</v>
      </c>
      <c r="C132" s="1">
        <f>1.987*4.184</f>
        <v>8.3136080000000003</v>
      </c>
      <c r="D132" s="17">
        <f>ABS(Tabella205456117140[[#This Row],[My value]]-Tabella205456117140[[#This Row],[Gaussian]])/Tabella205456117140[[#This Row],[Gaussian]]</f>
        <v>1.0272314980455591E-4</v>
      </c>
    </row>
  </sheetData>
  <pageMargins left="0.7" right="0.7" top="0.75" bottom="0.75" header="0.3" footer="0.3"/>
  <drawing r:id="rId1"/>
  <tableParts count="2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61D7-3B3A-4680-B454-62BD1609BC88}">
  <dimension ref="A1:Q134"/>
  <sheetViews>
    <sheetView topLeftCell="A99" zoomScale="70" zoomScaleNormal="70" workbookViewId="0">
      <selection activeCell="C38" sqref="C38"/>
    </sheetView>
  </sheetViews>
  <sheetFormatPr defaultRowHeight="14.4" x14ac:dyDescent="0.3"/>
  <cols>
    <col min="1" max="1" width="30" customWidth="1"/>
    <col min="2" max="2" width="27.44140625" customWidth="1"/>
    <col min="3" max="3" width="18.44140625" customWidth="1"/>
    <col min="4" max="4" width="16.109375" customWidth="1"/>
    <col min="5" max="5" width="23.5546875" customWidth="1"/>
    <col min="6" max="6" width="14.6640625" customWidth="1"/>
    <col min="7" max="7" width="16.77734375" customWidth="1"/>
    <col min="8" max="8" width="13.5546875" customWidth="1"/>
    <col min="9" max="9" width="20.44140625" customWidth="1"/>
    <col min="10" max="10" width="13.6640625" customWidth="1"/>
    <col min="11" max="11" width="40.6640625" customWidth="1"/>
    <col min="12" max="13" width="13.6640625" customWidth="1"/>
    <col min="14" max="14" width="11.109375" customWidth="1"/>
    <col min="15" max="15" width="13.6640625" customWidth="1"/>
    <col min="16" max="17" width="13.44140625" customWidth="1"/>
    <col min="18" max="18" width="12" customWidth="1"/>
    <col min="19" max="19" width="13" bestFit="1" customWidth="1"/>
    <col min="20" max="20" width="11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87</v>
      </c>
      <c r="H1" t="s">
        <v>89</v>
      </c>
    </row>
    <row r="2" spans="1:14" x14ac:dyDescent="0.3">
      <c r="A2">
        <v>3.1415899999999999</v>
      </c>
      <c r="B2" s="1">
        <f>46.01*1.6605655E-27</f>
        <v>7.6402618654999995E-26</v>
      </c>
      <c r="C2" s="1">
        <v>1.3806490000000001E-23</v>
      </c>
      <c r="D2" s="1">
        <v>6.6260701499999998E-34</v>
      </c>
      <c r="E2" s="1">
        <v>8.3144620000000007</v>
      </c>
      <c r="F2" s="1">
        <v>6.0221410000000001E+23</v>
      </c>
      <c r="G2">
        <v>29979300000</v>
      </c>
      <c r="H2">
        <f>Tabella3397120143[[#This Row],[Speed of Light '[cm/s']]]*POWER(10,-2)</f>
        <v>299793000</v>
      </c>
    </row>
    <row r="4" spans="1:14" x14ac:dyDescent="0.3">
      <c r="A4" t="s">
        <v>85</v>
      </c>
      <c r="B4" t="s">
        <v>86</v>
      </c>
      <c r="C4" t="s">
        <v>88</v>
      </c>
      <c r="D4" t="s">
        <v>90</v>
      </c>
      <c r="E4" t="s">
        <v>75</v>
      </c>
    </row>
    <row r="5" spans="1:14" x14ac:dyDescent="0.3">
      <c r="A5" s="23">
        <f>235.45348</f>
        <v>235.45348000000001</v>
      </c>
      <c r="B5" cm="1">
        <f t="array" ref="B5">((Tabella50111134157[[#This Row],[Rotational Constants '[Ghz']]]*1000000000)/Tabella3397120143[Speed of Light '[cm/s']])*100</f>
        <v>785.38685026001269</v>
      </c>
      <c r="C5" s="1" cm="1">
        <f t="array" ref="C5">Tabella3397120143[Planck h]/(8*POWER(Tabella3397120143[Pi Greco],2)*Tabella50111134157[[#This Row],[Rotational Constant '[m^-1']]]*Tabella3397120143[Speed of Light '[m/s']])</f>
        <v>3.5641987784901865E-47</v>
      </c>
      <c r="D5">
        <f>SQRT(PRODUCT(Tabella50111134157[Moments of Inertia]))</f>
        <v>3.9857910273842189E-69</v>
      </c>
      <c r="E5" s="1" cm="1">
        <f t="array" ref="E5">POWER(Tabella3397120143[Planck h],2)/(8*POWER(Tabella3397120143[Pi Greco],2)*Tabella1118141164[[#This Row],[Total Moment of Inertia]]*Tabella3397120143[Boltzmann k])</f>
        <v>1.0104742534411798E+23</v>
      </c>
      <c r="F5" s="1"/>
    </row>
    <row r="6" spans="1:14" x14ac:dyDescent="0.3">
      <c r="A6" s="23">
        <f>12.90996</f>
        <v>12.90996</v>
      </c>
      <c r="B6" cm="1">
        <f t="array" ref="B6">((Tabella50111134157[[#This Row],[Rotational Constants '[Ghz']]]*1000000000)/Tabella3397120143[Speed of Light '[cm/s']])*100</f>
        <v>43.062913410253074</v>
      </c>
      <c r="C6" s="1" cm="1">
        <f t="array" ref="C6">Tabella3397120143[Planck h]/(8*POWER(Tabella3397120143[Pi Greco],2)*Tabella50111134157[[#This Row],[Rotational Constant '[m^-1']]]*Tabella3397120143[Speed of Light '[m/s']])</f>
        <v>6.5004307202134128E-46</v>
      </c>
    </row>
    <row r="7" spans="1:14" x14ac:dyDescent="0.3">
      <c r="A7" s="23">
        <f>12.23889</f>
        <v>12.23889</v>
      </c>
      <c r="B7" cm="1">
        <f t="array" ref="B7">((Tabella50111134157[[#This Row],[Rotational Constants '[Ghz']]]*1000000000)/Tabella3397120143[Speed of Light '[cm/s']])*100</f>
        <v>40.824468883529633</v>
      </c>
      <c r="C7" s="1" cm="1">
        <f t="array" ref="C7">Tabella3397120143[Planck h]/(8*POWER(Tabella3397120143[Pi Greco],2)*Tabella50111134157[[#This Row],[Rotational Constant '[m^-1']]]*Tabella3397120143[Speed of Light '[m/s']])</f>
        <v>6.8568555302585735E-46</v>
      </c>
    </row>
    <row r="9" spans="1:14" x14ac:dyDescent="0.3">
      <c r="E9" s="1"/>
    </row>
    <row r="10" spans="1:14" x14ac:dyDescent="0.3">
      <c r="A10" t="s">
        <v>58</v>
      </c>
    </row>
    <row r="11" spans="1:14" x14ac:dyDescent="0.3">
      <c r="A11">
        <v>2</v>
      </c>
      <c r="E11" t="s">
        <v>61</v>
      </c>
      <c r="F11" t="s">
        <v>62</v>
      </c>
      <c r="G11" t="s">
        <v>63</v>
      </c>
    </row>
    <row r="12" spans="1:14" x14ac:dyDescent="0.3">
      <c r="E12">
        <f>B14</f>
        <v>22452121339440</v>
      </c>
      <c r="F12">
        <f>B15</f>
        <v>41862434975400</v>
      </c>
      <c r="G12">
        <f>B16</f>
        <v>51253471685910</v>
      </c>
    </row>
    <row r="13" spans="1:14" x14ac:dyDescent="0.3">
      <c r="A13" t="s">
        <v>59</v>
      </c>
      <c r="B13" t="s">
        <v>60</v>
      </c>
      <c r="D13" t="s">
        <v>4</v>
      </c>
      <c r="E13" t="s">
        <v>17</v>
      </c>
      <c r="F13" t="s">
        <v>9</v>
      </c>
      <c r="G13" t="s">
        <v>10</v>
      </c>
      <c r="H13" t="s">
        <v>18</v>
      </c>
    </row>
    <row r="14" spans="1:14" x14ac:dyDescent="0.3">
      <c r="A14" s="25">
        <f>748.9208</f>
        <v>748.92079999999999</v>
      </c>
      <c r="B14" cm="1">
        <f t="array" ref="B14">Tabella47109132155[[#This Row],[Wavenumbers '[cm^-1']]]*Tabella3397120143[Speed of Light '[cm/s']]</f>
        <v>22452121339440</v>
      </c>
      <c r="D14">
        <v>298</v>
      </c>
      <c r="E14" s="1" cm="1">
        <f t="array" ref="E14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0.16852387124390775</v>
      </c>
      <c r="F14" s="1" cm="1">
        <f t="array" ref="F14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3.4397943733638636E-2</v>
      </c>
      <c r="G14" s="1" cm="1">
        <f t="array" ref="G14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1.6133050600752114E-2</v>
      </c>
      <c r="H14" s="1">
        <f>PRODUCT(Tabella820100123146[[#This Row],[Qvib1]:[Qvib3]])</f>
        <v>9.3521271906612583E-5</v>
      </c>
      <c r="I14" s="1"/>
      <c r="J14" s="1"/>
      <c r="K14" s="1"/>
      <c r="L14" s="1"/>
      <c r="M14" s="1"/>
      <c r="N14" s="1"/>
    </row>
    <row r="15" spans="1:14" x14ac:dyDescent="0.3">
      <c r="A15" s="25">
        <f t="shared" ref="A15" si="0">1396.378</f>
        <v>1396.3779999999999</v>
      </c>
      <c r="B15" s="24" cm="1">
        <f t="array" ref="B15">Tabella47109132155[[#This Row],[Wavenumbers '[cm^-1']]]*Tabella3397120143[Speed of Light '[cm/s']]</f>
        <v>41862434975400</v>
      </c>
      <c r="D15">
        <v>400</v>
      </c>
      <c r="E15" s="1" cm="1">
        <f t="array" ref="E15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0.27890098694618859</v>
      </c>
      <c r="F15" s="1" cm="1">
        <f t="array" ref="F15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8.1696713275818886E-2</v>
      </c>
      <c r="G15" s="1" cm="1">
        <f t="array" ref="G15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4.6301245479689654E-2</v>
      </c>
      <c r="H15" s="1">
        <f>PRODUCT(Tabella820100123146[[#This Row],[Qvib1]:[Qvib3]])</f>
        <v>1.0549874891024604E-3</v>
      </c>
      <c r="I15" s="1"/>
      <c r="J15" s="1"/>
      <c r="K15" s="1"/>
      <c r="L15" s="1"/>
      <c r="M15" s="1"/>
      <c r="N15" s="1"/>
    </row>
    <row r="16" spans="1:14" x14ac:dyDescent="0.3">
      <c r="A16" s="25">
        <f>1709.6287</f>
        <v>1709.6287</v>
      </c>
      <c r="B16" s="24" cm="1">
        <f t="array" ref="B16">Tabella47109132155[[#This Row],[Wavenumbers '[cm^-1']]]*Tabella3397120143[Speed of Light '[cm/s']]</f>
        <v>51253471685910</v>
      </c>
      <c r="D16">
        <v>500</v>
      </c>
      <c r="E16" s="1" cm="1">
        <f t="array" ref="E16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0.38506176585299734</v>
      </c>
      <c r="F16" s="1" cm="1">
        <f t="array" ref="F16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0.13656832121476606</v>
      </c>
      <c r="G16" s="1" cm="1">
        <f t="array" ref="G16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8.6082466045759407E-2</v>
      </c>
      <c r="H16" s="1">
        <f>PRODUCT(Tabella820100123146[[#This Row],[Qvib1]:[Qvib3]])</f>
        <v>4.5268392093338735E-3</v>
      </c>
      <c r="I16" s="1"/>
      <c r="J16" s="1"/>
      <c r="K16" s="1"/>
      <c r="L16" s="1"/>
      <c r="M16" s="1"/>
      <c r="N16" s="1"/>
    </row>
    <row r="17" spans="4:14" x14ac:dyDescent="0.3">
      <c r="D17">
        <v>600</v>
      </c>
      <c r="E17" s="1" cm="1">
        <f t="array" ref="E17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0.48848572305602567</v>
      </c>
      <c r="F17" s="1" cm="1">
        <f t="array" ref="F17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0.19427842824662825</v>
      </c>
      <c r="G17" s="1" cm="1">
        <f t="array" ref="G17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0.13092929697572583</v>
      </c>
      <c r="H17" s="1">
        <f>PRODUCT(Tabella820100123146[[#This Row],[Qvib1]:[Qvib3]])</f>
        <v>1.2425483367735682E-2</v>
      </c>
      <c r="I17" s="1"/>
      <c r="J17" s="1"/>
      <c r="K17" s="1"/>
      <c r="L17" s="1"/>
      <c r="M17" s="1"/>
      <c r="N17" s="1"/>
    </row>
    <row r="18" spans="4:14" x14ac:dyDescent="0.3">
      <c r="D18">
        <v>700</v>
      </c>
      <c r="E18" s="1" cm="1">
        <f t="array" ref="E18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0.58966565147098515</v>
      </c>
      <c r="F18" s="1" cm="1">
        <f t="array" ref="F18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0.25241158622748233</v>
      </c>
      <c r="G18" s="1" cm="1">
        <f t="array" ref="G18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0.17786082366778797</v>
      </c>
      <c r="H18" s="1">
        <f>PRODUCT(Tabella820100123146[[#This Row],[Qvib1]:[Qvib3]])</f>
        <v>2.6472527964324467E-2</v>
      </c>
      <c r="I18" s="1"/>
      <c r="J18" s="1"/>
      <c r="K18" s="1"/>
      <c r="L18" s="1"/>
      <c r="M18" s="1"/>
      <c r="N18" s="1"/>
    </row>
    <row r="19" spans="4:14" x14ac:dyDescent="0.3">
      <c r="D19">
        <v>800</v>
      </c>
      <c r="E19" s="1" cm="1">
        <f t="array" ref="E19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0.68914985831158959</v>
      </c>
      <c r="F19" s="1" cm="1">
        <f t="array" ref="F19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0.31004641826783541</v>
      </c>
      <c r="G19" s="1" cm="1">
        <f t="array" ref="G19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0.22535961058436674</v>
      </c>
      <c r="H19" s="1">
        <f>PRODUCT(Tabella820100123146[[#This Row],[Qvib1]:[Qvib3]])</f>
        <v>4.8152237608787334E-2</v>
      </c>
      <c r="I19" s="1"/>
      <c r="J19" s="1"/>
      <c r="K19" s="1"/>
      <c r="L19" s="1"/>
      <c r="M19" s="1"/>
      <c r="N19" s="1"/>
    </row>
    <row r="20" spans="4:14" x14ac:dyDescent="0.3">
      <c r="D20">
        <v>900</v>
      </c>
      <c r="E20" s="1" cm="1">
        <f t="array" ref="E20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0.78736599405553476</v>
      </c>
      <c r="F20" s="1" cm="1">
        <f t="array" ref="F20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0.36689739995745668</v>
      </c>
      <c r="G20" s="1" cm="1">
        <f t="array" ref="G20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0.27271841619228621</v>
      </c>
      <c r="H20" s="1">
        <f>PRODUCT(Tabella820100123146[[#This Row],[Qvib1]:[Qvib3]])</f>
        <v>7.8783587692774631E-2</v>
      </c>
      <c r="I20" s="1"/>
      <c r="J20" s="1"/>
      <c r="K20" s="1"/>
      <c r="L20" s="1"/>
      <c r="M20" s="1"/>
      <c r="N20" s="1"/>
    </row>
    <row r="21" spans="4:14" x14ac:dyDescent="0.3">
      <c r="D21">
        <v>1000</v>
      </c>
      <c r="E21" s="1" cm="1">
        <f t="array" ref="E21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0.88462486476640845</v>
      </c>
      <c r="F21" s="1" cm="1">
        <f t="array" ref="F21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0.42293351087688147</v>
      </c>
      <c r="G21" s="1" cm="1">
        <f t="array" ref="G21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0.31963933865977345</v>
      </c>
      <c r="H21" s="1">
        <f>PRODUCT(Tabella820100123146[[#This Row],[Qvib1]:[Qvib3]])</f>
        <v>0.11958906302455577</v>
      </c>
      <c r="I21" s="1"/>
      <c r="J21" s="1"/>
      <c r="K21" s="1"/>
      <c r="L21" s="1"/>
      <c r="M21" s="1"/>
      <c r="N21" s="1"/>
    </row>
    <row r="22" spans="4:14" x14ac:dyDescent="0.3">
      <c r="D22">
        <v>1100</v>
      </c>
      <c r="E22" s="1" cm="1">
        <f t="array" ref="E22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0.98114998552014221</v>
      </c>
      <c r="F22" s="1" cm="1">
        <f t="array" ref="F22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0.47821731654098193</v>
      </c>
      <c r="G22" s="1" cm="1">
        <f t="array" ref="G22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0.36602248219856853</v>
      </c>
      <c r="H22" s="1">
        <f>PRODUCT(Tabella820100123146[[#This Row],[Qvib1]:[Qvib3]])</f>
        <v>0.17173881494414112</v>
      </c>
      <c r="I22" s="1"/>
      <c r="J22" s="1"/>
      <c r="K22" s="1"/>
      <c r="L22" s="1"/>
      <c r="M22" s="1"/>
      <c r="N22" s="1"/>
    </row>
    <row r="23" spans="4:14" x14ac:dyDescent="0.3">
      <c r="D23">
        <v>1200</v>
      </c>
      <c r="E23" s="1" cm="1">
        <f t="array" ref="E23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1.0771034003150124</v>
      </c>
      <c r="F23" s="1" cm="1">
        <f t="array" ref="F23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0.53283866991823314</v>
      </c>
      <c r="G23" s="1" cm="1">
        <f t="array" ref="G23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0.41186010232108389</v>
      </c>
      <c r="H23" s="1">
        <f>PRODUCT(Tabella820100123146[[#This Row],[Qvib1]:[Qvib3]])</f>
        <v>0.23637571498987192</v>
      </c>
      <c r="I23" s="1"/>
      <c r="J23" s="1"/>
      <c r="K23" s="1"/>
      <c r="L23" s="1"/>
      <c r="M23" s="1"/>
      <c r="N23" s="1"/>
    </row>
    <row r="24" spans="4:14" x14ac:dyDescent="0.3">
      <c r="D24">
        <v>1300</v>
      </c>
      <c r="E24" s="1" cm="1">
        <f t="array" ref="E24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1.1726042789216633</v>
      </c>
      <c r="F24" s="1" cm="1">
        <f t="array" ref="F24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0.5868883763171634</v>
      </c>
      <c r="G24" s="1" cm="1">
        <f t="array" ref="G24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0.4571846396220261</v>
      </c>
      <c r="H24" s="1">
        <f>PRODUCT(Tabella820100123146[[#This Row],[Qvib1]:[Qvib3]])</f>
        <v>0.31462890108194541</v>
      </c>
      <c r="I24" s="1"/>
      <c r="J24" s="1"/>
      <c r="K24" s="1"/>
      <c r="L24" s="1"/>
      <c r="M24" s="1"/>
      <c r="N24" s="1"/>
    </row>
    <row r="25" spans="4:14" x14ac:dyDescent="0.3">
      <c r="D25">
        <v>1400</v>
      </c>
      <c r="E25" s="1" cm="1">
        <f t="array" ref="E25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1.2677416727205288</v>
      </c>
      <c r="F25" s="1" cm="1">
        <f t="array" ref="F25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0.64044866760811758</v>
      </c>
      <c r="G25" s="1" cm="1">
        <f t="array" ref="G25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0.50204356029132002</v>
      </c>
      <c r="H25" s="1">
        <f>PRODUCT(Tabella820100123146[[#This Row],[Qvib1]:[Qvib3]])</f>
        <v>0.40762094713557695</v>
      </c>
      <c r="I25" s="1"/>
      <c r="J25" s="1"/>
      <c r="K25" s="1"/>
      <c r="L25" s="1"/>
      <c r="M25" s="1"/>
      <c r="N25" s="1"/>
    </row>
    <row r="26" spans="4:14" x14ac:dyDescent="0.3">
      <c r="D26">
        <v>1500</v>
      </c>
      <c r="E26" s="1" cm="1">
        <f t="array" ref="E26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1.3625831920871796</v>
      </c>
      <c r="F26" s="1" cm="1">
        <f t="array" ref="F26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0.69359065543610998</v>
      </c>
      <c r="G26" s="1" cm="1">
        <f t="array" ref="G26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0.54648744576812613</v>
      </c>
      <c r="H26" s="1">
        <f>PRODUCT(Tabella820100123146[[#This Row],[Qvib1]:[Qvib3]])</f>
        <v>0.51647160602448217</v>
      </c>
      <c r="I26" s="1"/>
      <c r="J26" s="1"/>
      <c r="K26" s="1"/>
      <c r="L26" s="1"/>
      <c r="M26" s="1"/>
      <c r="N26" s="1"/>
    </row>
    <row r="27" spans="4:14" x14ac:dyDescent="0.3">
      <c r="D27">
        <v>1600</v>
      </c>
      <c r="E27" s="1" cm="1">
        <f t="array" ref="E27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1.4571809483054992</v>
      </c>
      <c r="F27" s="1" cm="1">
        <f t="array" ref="F27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0.74637456132045255</v>
      </c>
      <c r="G27" s="1" cm="1">
        <f t="array" ref="G27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0.59056462109988239</v>
      </c>
      <c r="H27" s="1">
        <f>PRODUCT(Tabella820100123146[[#This Row],[Qvib1]:[Qvib3]])</f>
        <v>0.64229973020718367</v>
      </c>
      <c r="I27" s="1"/>
      <c r="J27" s="1"/>
      <c r="K27" s="1"/>
      <c r="L27" s="1"/>
      <c r="M27" s="1"/>
      <c r="N27" s="1"/>
    </row>
    <row r="28" spans="4:14" x14ac:dyDescent="0.3">
      <c r="D28">
        <v>1700</v>
      </c>
      <c r="E28" s="1" cm="1">
        <f t="array" ref="E28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1.551575673219965</v>
      </c>
      <c r="F28" s="1" cm="1">
        <f t="array" ref="F28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0.79885092781193257</v>
      </c>
      <c r="G28" s="1" cm="1">
        <f t="array" ref="G28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0.63431899422161075</v>
      </c>
      <c r="H28" s="1">
        <f>PRODUCT(Tabella820100123146[[#This Row],[Qvib1]:[Qvib3]])</f>
        <v>0.78622422653477886</v>
      </c>
      <c r="I28" s="1"/>
      <c r="J28" s="1"/>
      <c r="K28" s="1"/>
      <c r="L28" s="1"/>
      <c r="M28" s="1"/>
      <c r="N28" s="1"/>
    </row>
    <row r="29" spans="4:14" x14ac:dyDescent="0.3">
      <c r="D29">
        <v>1800</v>
      </c>
      <c r="E29" s="1" cm="1">
        <f t="array" ref="E29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1.6457996173859104</v>
      </c>
      <c r="F29" s="1" cm="1">
        <f t="array" ref="F29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0.85106205711216576</v>
      </c>
      <c r="G29" s="1" cm="1">
        <f t="array" ref="G29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0.67778944675849628</v>
      </c>
      <c r="H29" s="1">
        <f>PRODUCT(Tabella820100123146[[#This Row],[Qvib1]:[Qvib3]])</f>
        <v>0.94936450099087755</v>
      </c>
      <c r="I29" s="1"/>
      <c r="J29" s="1"/>
      <c r="K29" s="1"/>
      <c r="L29" s="1"/>
      <c r="M29" s="1"/>
      <c r="N29" s="1"/>
    </row>
    <row r="30" spans="4:14" x14ac:dyDescent="0.3">
      <c r="D30">
        <v>1900</v>
      </c>
      <c r="E30" s="1" cm="1">
        <f t="array" ref="E30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1.739878619799617</v>
      </c>
      <c r="F30" s="1" cm="1">
        <f t="array" ref="F30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0.90304337821216574</v>
      </c>
      <c r="G30" s="1" cm="1">
        <f t="array" ref="G30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0.72100994580038358</v>
      </c>
      <c r="H30" s="1">
        <f>PRODUCT(Tabella820100123146[[#This Row],[Qvib1]:[Qvib3]])</f>
        <v>1.1328406364496326</v>
      </c>
      <c r="I30" s="1"/>
      <c r="J30" s="1"/>
      <c r="K30" s="1"/>
      <c r="L30" s="1"/>
      <c r="M30" s="1"/>
      <c r="N30" s="1"/>
    </row>
    <row r="31" spans="4:14" x14ac:dyDescent="0.3">
      <c r="D31">
        <v>2000</v>
      </c>
      <c r="E31" s="1" cm="1">
        <f t="array" ref="E31">(EXP(-(Tabella3397120143[Planck h]*Tabella49110133156[Frequency1])/(2*Tabella3397120143[Boltzmann k]*Tabella820100123146[[#This Row],[Temperatura]])))/(1-EXP(-(Tabella3397120143[Planck h]*Tabella49110133156[Frequency1])/(Tabella3397120143[Boltzmann k]*Tabella820100123146[[#This Row],[Temperatura]])))</f>
        <v>1.83383360796104</v>
      </c>
      <c r="F31" s="1" cm="1">
        <f t="array" ref="F31">(EXP(-(Tabella3397120143[Planck h]*Tabella49110133156[Frequency2])/(2*Tabella3397120143[Boltzmann k]*Tabella820100123146[[#This Row],[Temperatura]])))/(1-EXP(-(Tabella3397120143[Planck h]*Tabella49110133156[Frequency2])/(Tabella3397120143[Boltzmann k]*Tabella820100123146[[#This Row],[Temperatura]])))</f>
        <v>0.95482464093076669</v>
      </c>
      <c r="G31" s="1" cm="1">
        <f t="array" ref="G31">(EXP(-(Tabella3397120143[Planck h]*Tabella49110133156[Frequency3])/(2*Tabella3397120143[Boltzmann k]*Tabella820100123146[[#This Row],[Temperatura]])))/(1-EXP(-(Tabella3397120143[Planck h]*Tabella49110133156[Frequency3])/(Tabella3397120143[Boltzmann k]*Tabella820100123146[[#This Row],[Temperatura]])))</f>
        <v>0.76400996186190639</v>
      </c>
      <c r="H31" s="1">
        <f>PRODUCT(Tabella820100123146[[#This Row],[Qvib1]:[Qvib3]])</f>
        <v>1.3377734335293641</v>
      </c>
      <c r="I31" s="1"/>
      <c r="J31" s="1"/>
      <c r="K31" s="1"/>
      <c r="L31" s="1"/>
      <c r="M31" s="1"/>
      <c r="N31" s="1"/>
    </row>
    <row r="37" spans="1:11" x14ac:dyDescent="0.3">
      <c r="A37" t="s">
        <v>4</v>
      </c>
      <c r="B37" t="s">
        <v>19</v>
      </c>
      <c r="C37" t="s">
        <v>5</v>
      </c>
      <c r="D37" t="s">
        <v>6</v>
      </c>
      <c r="E37" t="s">
        <v>7</v>
      </c>
      <c r="F37" t="s">
        <v>8</v>
      </c>
    </row>
    <row r="38" spans="1:11" x14ac:dyDescent="0.3">
      <c r="A38">
        <v>298</v>
      </c>
      <c r="B38" s="1" cm="1">
        <f t="array" ref="B38">(Tabella3397120143[Boltzmann k]*Tabella51898121144[[#This Row],[Temperatura]])/101325</f>
        <v>4.0605319713792254E-26</v>
      </c>
      <c r="C38" s="1" cm="1">
        <f t="array" ref="C38">POWER((2*Tabella3397120143[Pi Greco]*Tabella3397120143[Massa]*Tabella3397120143[Boltzmann k]*Tabella51898121144[[#This Row],[Temperatura]])/(POWER(Tabella3397120143[Planck h],2)),1.5)*Tabella51898121144[[#This Row],[Volume]]</f>
        <v>12251683.935067885</v>
      </c>
      <c r="D38" s="1">
        <f t="shared" ref="D38:D55" si="1">H14</f>
        <v>9.3521271906612583E-5</v>
      </c>
      <c r="E38" s="1" cm="1">
        <f t="array" ref="E38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2248.1434137803572</v>
      </c>
      <c r="F38">
        <f>2</f>
        <v>2</v>
      </c>
    </row>
    <row r="39" spans="1:11" x14ac:dyDescent="0.3">
      <c r="A39">
        <v>400</v>
      </c>
      <c r="B39" s="1" cm="1">
        <f t="array" ref="B39">(Tabella3397120143[Boltzmann k]*Tabella51898121144[[#This Row],[Temperatura]])/101325</f>
        <v>5.4503784850727862E-26</v>
      </c>
      <c r="C39" s="1" cm="1">
        <f t="array" ref="C39">POWER((2*Tabella3397120143[Pi Greco]*Tabella3397120143[Massa]*Tabella3397120143[Boltzmann k]*Tabella51898121144[[#This Row],[Temperatura]])/(POWER(Tabella3397120143[Planck h],2)),1.5)*Tabella51898121144[[#This Row],[Volume]]</f>
        <v>25574379.335511845</v>
      </c>
      <c r="D39" s="1">
        <f t="shared" si="1"/>
        <v>1.0549874891024604E-3</v>
      </c>
      <c r="E39" s="1" cm="1">
        <f t="array" ref="E39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3496.1463430805184</v>
      </c>
      <c r="F39">
        <f>2</f>
        <v>2</v>
      </c>
      <c r="H39" t="s">
        <v>71</v>
      </c>
      <c r="I39" t="s">
        <v>72</v>
      </c>
      <c r="J39" t="s">
        <v>73</v>
      </c>
      <c r="K39" s="16" t="s">
        <v>74</v>
      </c>
    </row>
    <row r="40" spans="1:11" x14ac:dyDescent="0.3">
      <c r="A40">
        <v>500</v>
      </c>
      <c r="B40" s="1" cm="1">
        <f t="array" ref="B40">(Tabella3397120143[Boltzmann k]*Tabella51898121144[[#This Row],[Temperatura]])/101325</f>
        <v>6.8129731063409828E-26</v>
      </c>
      <c r="C40" s="1" cm="1">
        <f t="array" ref="C40">POWER((2*Tabella3397120143[Pi Greco]*Tabella3397120143[Massa]*Tabella3397120143[Boltzmann k]*Tabella51898121144[[#This Row],[Temperatura]])/(POWER(Tabella3397120143[Planck h],2)),1.5)*Tabella51898121144[[#This Row],[Volume]]</f>
        <v>44676602.091070868</v>
      </c>
      <c r="D40" s="1">
        <f t="shared" si="1"/>
        <v>4.5268392093338735E-3</v>
      </c>
      <c r="E40" s="1" cm="1">
        <f t="array" ref="E40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4886.0130515095461</v>
      </c>
      <c r="F40">
        <f>2</f>
        <v>2</v>
      </c>
      <c r="H40" t="s">
        <v>5</v>
      </c>
      <c r="I40" s="1">
        <f>C38</f>
        <v>12251683.935067885</v>
      </c>
      <c r="J40" s="1">
        <f>12260000</f>
        <v>12260000</v>
      </c>
      <c r="K40" s="17">
        <f>ABS(Tabella20113136159[[#This Row],[My value]]-Tabella20113136159[[#This Row],[Gaussian]])/Tabella20113136159[[#This Row],[Gaussian]]</f>
        <v>6.7830872203224928E-4</v>
      </c>
    </row>
    <row r="41" spans="1:11" x14ac:dyDescent="0.3">
      <c r="A41">
        <v>600</v>
      </c>
      <c r="B41" s="1" cm="1">
        <f t="array" ref="B41">(Tabella3397120143[Boltzmann k]*Tabella51898121144[[#This Row],[Temperatura]])/101325</f>
        <v>8.1755677276091782E-26</v>
      </c>
      <c r="C41" s="1" cm="1">
        <f t="array" ref="C41">POWER((2*Tabella3397120143[Pi Greco]*Tabella3397120143[Massa]*Tabella3397120143[Boltzmann k]*Tabella51898121144[[#This Row],[Temperatura]])/(POWER(Tabella3397120143[Planck h],2)),1.5)*Tabella51898121144[[#This Row],[Volume]]</f>
        <v>70474702.34293066</v>
      </c>
      <c r="D41" s="1">
        <f t="shared" si="1"/>
        <v>1.2425483367735682E-2</v>
      </c>
      <c r="E41" s="1" cm="1">
        <f t="array" ref="E41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6422.8309549834457</v>
      </c>
      <c r="F41">
        <f>2</f>
        <v>2</v>
      </c>
      <c r="H41" t="s">
        <v>6</v>
      </c>
      <c r="I41">
        <f>D38</f>
        <v>9.3521271906612583E-5</v>
      </c>
      <c r="J41" s="1">
        <f>0.000093968</f>
        <v>9.3968000000000006E-5</v>
      </c>
      <c r="K41" s="15">
        <f>ABS(Tabella20113136159[[#This Row],[My value]]-Tabella20113136159[[#This Row],[Gaussian]])/Tabella20113136159[[#This Row],[Gaussian]]</f>
        <v>4.7540449236699971E-3</v>
      </c>
    </row>
    <row r="42" spans="1:11" x14ac:dyDescent="0.3">
      <c r="A42">
        <v>700</v>
      </c>
      <c r="B42" s="1" cm="1">
        <f t="array" ref="B42">(Tabella3397120143[Boltzmann k]*Tabella51898121144[[#This Row],[Temperatura]])/101325</f>
        <v>9.5381623488773759E-26</v>
      </c>
      <c r="C42" s="1" cm="1">
        <f t="array" ref="C42">POWER((2*Tabella3397120143[Pi Greco]*Tabella3397120143[Massa]*Tabella3397120143[Boltzmann k]*Tabella51898121144[[#This Row],[Temperatura]])/(POWER(Tabella3397120143[Planck h],2)),1.5)*Tabella51898121144[[#This Row],[Volume]]</f>
        <v>103609654.22415982</v>
      </c>
      <c r="D42" s="1">
        <f t="shared" si="1"/>
        <v>2.6472527964324467E-2</v>
      </c>
      <c r="E42" s="1" cm="1">
        <f t="array" ref="E42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8093.6920495190352</v>
      </c>
      <c r="F42">
        <f>2</f>
        <v>2</v>
      </c>
      <c r="H42" t="s">
        <v>7</v>
      </c>
      <c r="I42" s="1">
        <f>E38</f>
        <v>2248.1434137803572</v>
      </c>
      <c r="J42" s="1">
        <f>2249.85</f>
        <v>2249.85</v>
      </c>
      <c r="K42" s="17">
        <f>ABS(Tabella20113136159[[#This Row],[My value]]-Tabella20113136159[[#This Row],[Gaussian]])/Tabella20113136159[[#This Row],[Gaussian]]</f>
        <v>7.5853333317454897E-4</v>
      </c>
    </row>
    <row r="43" spans="1:11" x14ac:dyDescent="0.3">
      <c r="A43">
        <v>800</v>
      </c>
      <c r="B43" s="1" cm="1">
        <f t="array" ref="B43">(Tabella3397120143[Boltzmann k]*Tabella51898121144[[#This Row],[Temperatura]])/101325</f>
        <v>1.0900756970145572E-25</v>
      </c>
      <c r="C43" s="1" cm="1">
        <f t="array" ref="C43">POWER((2*Tabella3397120143[Pi Greco]*Tabella3397120143[Massa]*Tabella3397120143[Boltzmann k]*Tabella51898121144[[#This Row],[Temperatura]])/(POWER(Tabella3397120143[Planck h],2)),1.5)*Tabella51898121144[[#This Row],[Volume]]</f>
        <v>144670536.42222068</v>
      </c>
      <c r="D43" s="1">
        <f t="shared" si="1"/>
        <v>4.8152237608787334E-2</v>
      </c>
      <c r="E43" s="1" cm="1">
        <f t="array" ref="E43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9888.5951488510254</v>
      </c>
      <c r="F43">
        <f>2</f>
        <v>2</v>
      </c>
      <c r="H43" t="s">
        <v>8</v>
      </c>
      <c r="I43">
        <f>F38</f>
        <v>2</v>
      </c>
      <c r="J43">
        <v>2</v>
      </c>
      <c r="K43" s="1">
        <f>ABS(Tabella20113136159[[#This Row],[My value]]-Tabella20113136159[[#This Row],[Gaussian]])/Tabella20113136159[[#This Row],[Gaussian]]</f>
        <v>0</v>
      </c>
    </row>
    <row r="44" spans="1:11" x14ac:dyDescent="0.3">
      <c r="A44">
        <v>900</v>
      </c>
      <c r="B44" s="1" cm="1">
        <f t="array" ref="B44">(Tabella3397120143[Boltzmann k]*Tabella51898121144[[#This Row],[Temperatura]])/101325</f>
        <v>1.2263351591413768E-25</v>
      </c>
      <c r="C44" s="1" cm="1">
        <f t="array" ref="C44">POWER((2*Tabella3397120143[Pi Greco]*Tabella3397120143[Massa]*Tabella3397120143[Boltzmann k]*Tabella51898121144[[#This Row],[Temperatura]])/(POWER(Tabella3397120143[Planck h],2)),1.5)*Tabella51898121144[[#This Row],[Volume]]</f>
        <v>194205443.07904336</v>
      </c>
      <c r="D44" s="1">
        <f t="shared" si="1"/>
        <v>7.8783587692774631E-2</v>
      </c>
      <c r="E44" s="1" cm="1">
        <f t="array" ref="E44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11799.4939078966</v>
      </c>
      <c r="F44">
        <f>2</f>
        <v>2</v>
      </c>
    </row>
    <row r="45" spans="1:11" x14ac:dyDescent="0.3">
      <c r="A45">
        <v>1000</v>
      </c>
      <c r="B45" s="1" cm="1">
        <f t="array" ref="B45">(Tabella3397120143[Boltzmann k]*Tabella51898121144[[#This Row],[Temperatura]])/101325</f>
        <v>1.3625946212681966E-25</v>
      </c>
      <c r="C45" s="1" cm="1">
        <f t="array" ref="C45">POWER((2*Tabella3397120143[Pi Greco]*Tabella3397120143[Massa]*Tabella3397120143[Boltzmann k]*Tabella51898121144[[#This Row],[Temperatura]])/(POWER(Tabella3397120143[Planck h],2)),1.5)*Tabella51898121144[[#This Row],[Volume]]</f>
        <v>252729026.3917551</v>
      </c>
      <c r="D45" s="1">
        <f t="shared" si="1"/>
        <v>0.11958906302455577</v>
      </c>
      <c r="E45" s="1" cm="1">
        <f t="array" ref="E45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13819.731846753348</v>
      </c>
      <c r="F45">
        <f>2</f>
        <v>2</v>
      </c>
    </row>
    <row r="46" spans="1:11" x14ac:dyDescent="0.3">
      <c r="A46">
        <v>1100</v>
      </c>
      <c r="B46" s="1" cm="1">
        <f t="array" ref="B46">(Tabella3397120143[Boltzmann k]*Tabella51898121144[[#This Row],[Temperatura]])/101325</f>
        <v>1.4988540833950161E-25</v>
      </c>
      <c r="C46" s="1" cm="1">
        <f t="array" ref="C46">POWER((2*Tabella3397120143[Pi Greco]*Tabella3397120143[Massa]*Tabella3397120143[Boltzmann k]*Tabella51898121144[[#This Row],[Temperatura]])/(POWER(Tabella3397120143[Planck h],2)),1.5)*Tabella51898121144[[#This Row],[Volume]]</f>
        <v>320727971.2736091</v>
      </c>
      <c r="D46" s="1">
        <f t="shared" si="1"/>
        <v>0.17173881494414112</v>
      </c>
      <c r="E46" s="1" cm="1">
        <f t="array" ref="E46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15943.682744235221</v>
      </c>
      <c r="F46">
        <f>2</f>
        <v>2</v>
      </c>
    </row>
    <row r="47" spans="1:11" x14ac:dyDescent="0.3">
      <c r="A47">
        <v>1200</v>
      </c>
      <c r="B47" s="1" cm="1">
        <f t="array" ref="B47">(Tabella3397120143[Boltzmann k]*Tabella51898121144[[#This Row],[Temperatura]])/101325</f>
        <v>1.6351135455218356E-25</v>
      </c>
      <c r="C47" s="1" cm="1">
        <f t="array" ref="C47">POWER((2*Tabella3397120143[Pi Greco]*Tabella3397120143[Massa]*Tabella3397120143[Boltzmann k]*Tabella51898121144[[#This Row],[Temperatura]])/(POWER(Tabella3397120143[Planck h],2)),1.5)*Tabella51898121144[[#This Row],[Volume]]</f>
        <v>398665119.43031341</v>
      </c>
      <c r="D47" s="1">
        <f t="shared" si="1"/>
        <v>0.23637571498987192</v>
      </c>
      <c r="E47" s="1" cm="1">
        <f t="array" ref="E47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18166.509290734703</v>
      </c>
      <c r="F47">
        <f>2</f>
        <v>2</v>
      </c>
    </row>
    <row r="48" spans="1:11" x14ac:dyDescent="0.3">
      <c r="A48">
        <v>1300</v>
      </c>
      <c r="B48" s="1" cm="1">
        <f t="array" ref="B48">(Tabella3397120143[Boltzmann k]*Tabella51898121144[[#This Row],[Temperatura]])/101325</f>
        <v>1.7713730076486554E-25</v>
      </c>
      <c r="C48" s="1" cm="1">
        <f t="array" ref="C48">POWER((2*Tabella3397120143[Pi Greco]*Tabella3397120143[Massa]*Tabella3397120143[Boltzmann k]*Tabella51898121144[[#This Row],[Temperatura]])/(POWER(Tabella3397120143[Planck h],2)),1.5)*Tabella51898121144[[#This Row],[Volume]]</f>
        <v>486982668.42087841</v>
      </c>
      <c r="D48" s="1">
        <f t="shared" si="1"/>
        <v>0.31462890108194541</v>
      </c>
      <c r="E48" s="1" cm="1">
        <f t="array" ref="E48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20483.994223066584</v>
      </c>
      <c r="F48">
        <f>2</f>
        <v>2</v>
      </c>
    </row>
    <row r="49" spans="1:16" x14ac:dyDescent="0.3">
      <c r="A49">
        <v>1400</v>
      </c>
      <c r="B49" s="1" cm="1">
        <f t="array" ref="B49">(Tabella3397120143[Boltzmann k]*Tabella51898121144[[#This Row],[Temperatura]])/101325</f>
        <v>1.9076324697754752E-25</v>
      </c>
      <c r="C49" s="1" cm="1">
        <f t="array" ref="C49">POWER((2*Tabella3397120143[Pi Greco]*Tabella3397120143[Massa]*Tabella3397120143[Boltzmann k]*Tabella51898121144[[#This Row],[Temperatura]])/(POWER(Tabella3397120143[Planck h],2)),1.5)*Tabella51898121144[[#This Row],[Volume]]</f>
        <v>586104712.78637624</v>
      </c>
      <c r="D49" s="1">
        <f t="shared" si="1"/>
        <v>0.40762094713557695</v>
      </c>
      <c r="E49" s="1" cm="1">
        <f t="array" ref="E49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22892.418132202289</v>
      </c>
      <c r="F49">
        <f>2</f>
        <v>2</v>
      </c>
    </row>
    <row r="50" spans="1:16" x14ac:dyDescent="0.3">
      <c r="A50">
        <v>1500</v>
      </c>
      <c r="B50" s="1" cm="1">
        <f t="array" ref="B50">(Tabella3397120143[Boltzmann k]*Tabella51898121144[[#This Row],[Temperatura]])/101325</f>
        <v>2.0438919319022949E-25</v>
      </c>
      <c r="C50" s="1" cm="1">
        <f t="array" ref="C50">POWER((2*Tabella3397120143[Pi Greco]*Tabella3397120143[Massa]*Tabella3397120143[Boltzmann k]*Tabella51898121144[[#This Row],[Temperatura]])/(POWER(Tabella3397120143[Planck h],2)),1.5)*Tabella51898121144[[#This Row],[Volume]]</f>
        <v>696439302.58145177</v>
      </c>
      <c r="D50" s="1">
        <f t="shared" si="1"/>
        <v>0.51647160602448217</v>
      </c>
      <c r="E50" s="1" cm="1">
        <f t="array" ref="E50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25388.468554977462</v>
      </c>
      <c r="F50">
        <f>2</f>
        <v>2</v>
      </c>
    </row>
    <row r="51" spans="1:16" x14ac:dyDescent="0.3">
      <c r="A51">
        <v>1600</v>
      </c>
      <c r="B51" s="1" cm="1">
        <f t="array" ref="B51">(Tabella3397120143[Boltzmann k]*Tabella51898121144[[#This Row],[Temperatura]])/101325</f>
        <v>2.1801513940291145E-25</v>
      </c>
      <c r="C51" s="1" cm="1">
        <f t="array" ref="C51">POWER((2*Tabella3397120143[Pi Greco]*Tabella3397120143[Massa]*Tabella3397120143[Boltzmann k]*Tabella51898121144[[#This Row],[Temperatura]])/(POWER(Tabella3397120143[Planck h],2)),1.5)*Tabella51898121144[[#This Row],[Volume]]</f>
        <v>818380138.73637199</v>
      </c>
      <c r="D51" s="1">
        <f t="shared" si="1"/>
        <v>0.64229973020718367</v>
      </c>
      <c r="E51" s="1" cm="1">
        <f t="array" ref="E51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27969.170744643907</v>
      </c>
      <c r="F51">
        <f>2</f>
        <v>2</v>
      </c>
    </row>
    <row r="52" spans="1:16" x14ac:dyDescent="0.3">
      <c r="A52">
        <v>1700</v>
      </c>
      <c r="B52" s="1" cm="1">
        <f t="array" ref="B52">(Tabella3397120143[Boltzmann k]*Tabella51898121144[[#This Row],[Temperatura]])/101325</f>
        <v>2.316410856155934E-25</v>
      </c>
      <c r="C52" s="1" cm="1">
        <f t="array" ref="C52">POWER((2*Tabella3397120143[Pi Greco]*Tabella3397120143[Massa]*Tabella3397120143[Boltzmann k]*Tabella51898121144[[#This Row],[Temperatura]])/(POWER(Tabella3397120143[Planck h],2)),1.5)*Tabella51898121144[[#This Row],[Volume]]</f>
        <v>952307989.14279425</v>
      </c>
      <c r="D52" s="1">
        <f t="shared" si="1"/>
        <v>0.78622422653477886</v>
      </c>
      <c r="E52" s="1" cm="1">
        <f t="array" ref="E52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30631.83389216799</v>
      </c>
      <c r="F52">
        <f>2</f>
        <v>2</v>
      </c>
    </row>
    <row r="53" spans="1:16" x14ac:dyDescent="0.3">
      <c r="A53">
        <v>1800</v>
      </c>
      <c r="B53" s="1" cm="1">
        <f t="array" ref="B53">(Tabella3397120143[Boltzmann k]*Tabella51898121144[[#This Row],[Temperatura]])/101325</f>
        <v>2.4526703182827536E-25</v>
      </c>
      <c r="C53" s="1" cm="1">
        <f t="array" ref="C53">POWER((2*Tabella3397120143[Pi Greco]*Tabella3397120143[Massa]*Tabella3397120143[Boltzmann k]*Tabella51898121144[[#This Row],[Temperatura]])/(POWER(Tabella3397120143[Planck h],2)),1.5)*Tabella51898121144[[#This Row],[Volume]]</f>
        <v>1098591885.9562399</v>
      </c>
      <c r="D53" s="1">
        <f t="shared" si="1"/>
        <v>0.94936450099087755</v>
      </c>
      <c r="E53" s="1" cm="1">
        <f t="array" ref="E53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33374.008627372263</v>
      </c>
      <c r="F53">
        <f>2</f>
        <v>2</v>
      </c>
    </row>
    <row r="54" spans="1:16" x14ac:dyDescent="0.3">
      <c r="A54">
        <v>1900</v>
      </c>
      <c r="B54" s="1" cm="1">
        <f t="array" ref="B54">(Tabella3397120143[Boltzmann k]*Tabella51898121144[[#This Row],[Temperatura]])/101325</f>
        <v>2.5889297804095731E-25</v>
      </c>
      <c r="C54" s="1" cm="1">
        <f t="array" ref="C54">POWER((2*Tabella3397120143[Pi Greco]*Tabella3397120143[Massa]*Tabella3397120143[Boltzmann k]*Tabella51898121144[[#This Row],[Temperatura]])/(POWER(Tabella3397120143[Planck h],2)),1.5)*Tabella51898121144[[#This Row],[Volume]]</f>
        <v>1257590148.7276602</v>
      </c>
      <c r="D54" s="1">
        <f t="shared" si="1"/>
        <v>1.1328406364496326</v>
      </c>
      <c r="E54" s="1" cm="1">
        <f t="array" ref="E54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36193.452928128252</v>
      </c>
      <c r="F54">
        <f>2</f>
        <v>2</v>
      </c>
    </row>
    <row r="55" spans="1:16" x14ac:dyDescent="0.3">
      <c r="A55">
        <v>2000</v>
      </c>
      <c r="B55" s="1" cm="1">
        <f t="array" ref="B55">(Tabella3397120143[Boltzmann k]*Tabella51898121144[[#This Row],[Temperatura]])/101325</f>
        <v>2.7251892425363931E-25</v>
      </c>
      <c r="C55" s="1" cm="1">
        <f t="array" ref="C55">POWER((2*Tabella3397120143[Pi Greco]*Tabella3397120143[Massa]*Tabella3397120143[Boltzmann k]*Tabella51898121144[[#This Row],[Temperatura]])/(POWER(Tabella3397120143[Planck h],2)),1.5)*Tabella51898121144[[#This Row],[Volume]]</f>
        <v>1429651266.9142756</v>
      </c>
      <c r="D55" s="1">
        <f t="shared" si="1"/>
        <v>1.3377734335293641</v>
      </c>
      <c r="E55" s="1" cm="1">
        <f t="array" ref="E55">(8*POWER(Tabella3397120143[Pi Greco],2)*POWER(2*Tabella3397120143[Pi Greco]*Tabella3397120143[Boltzmann k]*Tabella51898121144[[#This Row],[Temperatura]],1.5)*Tabella1118141164[Total Moment of Inertia])/(Tabella61999122145[Simmetry Number]*POWER(Tabella3397120143[Planck h],3))</f>
        <v>39088.104412076034</v>
      </c>
      <c r="F55">
        <f>2</f>
        <v>2</v>
      </c>
    </row>
    <row r="61" spans="1:16" x14ac:dyDescent="0.3">
      <c r="F61" t="s">
        <v>94</v>
      </c>
      <c r="G61" t="s">
        <v>95</v>
      </c>
      <c r="H61" t="s">
        <v>96</v>
      </c>
    </row>
    <row r="62" spans="1:16" x14ac:dyDescent="0.3">
      <c r="F62" s="23">
        <f>11.29997</f>
        <v>11.29997</v>
      </c>
      <c r="G62" s="23">
        <f>0.61958</f>
        <v>0.61958000000000002</v>
      </c>
      <c r="H62" s="23">
        <f>0.58737</f>
        <v>0.58736999999999995</v>
      </c>
    </row>
    <row r="64" spans="1:16" x14ac:dyDescent="0.3">
      <c r="A64" s="5" t="s">
        <v>4</v>
      </c>
      <c r="B64" s="5" t="s">
        <v>22</v>
      </c>
      <c r="C64" s="5" t="s">
        <v>19</v>
      </c>
      <c r="D64" s="5" t="s">
        <v>24</v>
      </c>
      <c r="F64" s="5" t="s">
        <v>4</v>
      </c>
      <c r="G64" s="5" t="s">
        <v>44</v>
      </c>
      <c r="H64" s="5" t="s">
        <v>98</v>
      </c>
      <c r="J64" t="s">
        <v>70</v>
      </c>
      <c r="K64" t="s">
        <v>23</v>
      </c>
      <c r="N64" t="s">
        <v>35</v>
      </c>
      <c r="O64" t="s">
        <v>91</v>
      </c>
      <c r="P64" t="s">
        <v>92</v>
      </c>
    </row>
    <row r="65" spans="1:17" x14ac:dyDescent="0.3">
      <c r="A65" s="3">
        <v>298</v>
      </c>
      <c r="B65" cm="1">
        <f t="array" ref="B65">POWER((2*Tabella3397120143[Pi Greco]*Tabella3397120143[Massa]*Tabella3397120143[Boltzmann k]*Tabella122101124147[[#This Row],[Temperatura]])/(POWER(Tabella3397120143[Planck h],2)),1.5)</f>
        <v>3.0172607977043957E+32</v>
      </c>
      <c r="C65" s="1" cm="1">
        <f t="array" ref="C65">(Tabella122101124147[[#This Row],[Temperatura]]*Tabella3397120143[Rydberg R])/101325</f>
        <v>2.4453093274117942E-2</v>
      </c>
      <c r="D65" s="1" cm="1">
        <f t="array" ref="D65">Tabella3397120143[Rydberg R]*LN((Tabella122101124147[[#This Row],[Volume]]/Tabella3397120143[Avogadro N])*EXP(2.5)*Tabella122101124147[[#This Row],[Translational Factor]])</f>
        <v>156.48793464978749</v>
      </c>
      <c r="F65" s="3">
        <v>298</v>
      </c>
      <c r="G65" s="18" cm="1">
        <f t="array" ref="G65">Tabella3397120143[Rydberg R]*LN((EXP(1)*Tabella1326105128151[[#This Row],[Temperatura]])/(Tabella3119142165[Theta rot]*Tabella61999122145[Simmetry Number]))</f>
        <v>-390.49644536333426</v>
      </c>
      <c r="H65" s="18" cm="1">
        <f t="array" ref="H65">Tabella3397120143[Rydberg R]*(1.5 + LN(SQRT((PI()*POWER(Tabella1326105128151[[#This Row],[Temperatura]],3))/(Tabella61999122145[Simmetry Number]*Tabella61999122145[Simmetry Number]*PRODUCT(Tabella4811[])))))</f>
        <v>76.641587005207327</v>
      </c>
      <c r="J65" s="2">
        <f>B14</f>
        <v>22452121339440</v>
      </c>
      <c r="K65" s="8" cm="1">
        <f t="array" ref="K65">(Tabella3397120143[Planck h]*Tabella1023102125148[[#This Row],[Frequencies'[s^-1']]])/Tabella3397120143[Boltzmann k]</f>
        <v>1077.5318782068534</v>
      </c>
      <c r="N65" s="8">
        <f>Tabella1023102125148[[#This Row],[Theta vib]]</f>
        <v>1077.5318782068534</v>
      </c>
      <c r="O65" s="28">
        <f>K66</f>
        <v>2009.0800108993228</v>
      </c>
      <c r="P65" s="28">
        <f>K67</f>
        <v>2459.7786897457527</v>
      </c>
    </row>
    <row r="66" spans="1:17" x14ac:dyDescent="0.3">
      <c r="A66" s="3">
        <v>400</v>
      </c>
      <c r="B66" cm="1">
        <f t="array" ref="B66">POWER((2*Tabella3397120143[Pi Greco]*Tabella3397120143[Massa]*Tabella3397120143[Boltzmann k]*Tabella122101124147[[#This Row],[Temperatura]])/(POWER(Tabella3397120143[Planck h],2)),1.5)</f>
        <v>4.6922208073354223E+32</v>
      </c>
      <c r="C66" s="1" cm="1">
        <f t="array" ref="C66">(Tabella122101124147[[#This Row],[Temperatura]]*Tabella3397120143[Rydberg R])/101325</f>
        <v>3.2822943992104614E-2</v>
      </c>
      <c r="D66" s="1" cm="1">
        <f t="array" ref="D66">Tabella3397120143[Rydberg R]*LN((Tabella122101124147[[#This Row],[Volume]]/Tabella3397120143[Avogadro N])*EXP(2.5)*Tabella122101124147[[#This Row],[Translational Factor]])</f>
        <v>162.60677714298697</v>
      </c>
      <c r="F66" s="3">
        <v>400</v>
      </c>
      <c r="G66" s="18" cm="1">
        <f t="array" ref="G66">Tabella3397120143[Rydberg R]*LN((EXP(1)*Tabella1326105128151[[#This Row],[Temperatura]])/(Tabella3119142165[Theta rot]*Tabella61999122145[Simmetry Number]))</f>
        <v>-388.04890836605443</v>
      </c>
      <c r="H66" s="18" cm="1">
        <f t="array" ref="H66">Tabella3397120143[Rydberg R]*(1.5 + LN(SQRT((PI()*POWER(Tabella1326105128151[[#This Row],[Temperatura]],3))/(Tabella61999122145[Simmetry Number]*Tabella61999122145[Simmetry Number]*PRODUCT(Tabella4811[])))))</f>
        <v>80.312892501127067</v>
      </c>
      <c r="J66" s="21">
        <f>B15</f>
        <v>41862434975400</v>
      </c>
      <c r="K66" s="26" cm="1">
        <f t="array" ref="K66">(Tabella3397120143[Planck h]*Tabella1023102125148[[#This Row],[Frequencies'[s^-1']]])/Tabella3397120143[Boltzmann k]</f>
        <v>2009.0800108993228</v>
      </c>
      <c r="M66" s="10" t="s">
        <v>4</v>
      </c>
      <c r="N66" s="10" t="s">
        <v>25</v>
      </c>
      <c r="O66" s="10" t="s">
        <v>26</v>
      </c>
      <c r="P66" s="10" t="s">
        <v>27</v>
      </c>
      <c r="Q66" s="10" t="s">
        <v>34</v>
      </c>
    </row>
    <row r="67" spans="1:17" x14ac:dyDescent="0.3">
      <c r="A67" s="3">
        <v>500</v>
      </c>
      <c r="B67" cm="1">
        <f t="array" ref="B67">POWER((2*Tabella3397120143[Pi Greco]*Tabella3397120143[Massa]*Tabella3397120143[Boltzmann k]*Tabella122101124147[[#This Row],[Temperatura]])/(POWER(Tabella3397120143[Planck h],2)),1.5)</f>
        <v>6.5575779316506303E+32</v>
      </c>
      <c r="C67" s="1" cm="1">
        <f t="array" ref="C67">(Tabella122101124147[[#This Row],[Temperatura]]*Tabella3397120143[Rydberg R])/101325</f>
        <v>4.1028679990130774E-2</v>
      </c>
      <c r="D67" s="1" cm="1">
        <f t="array" ref="D67">Tabella3397120143[Rydberg R]*LN((Tabella122101124147[[#This Row],[Volume]]/Tabella3397120143[Avogadro N])*EXP(2.5)*Tabella122101124147[[#This Row],[Translational Factor]])</f>
        <v>167.24507358785462</v>
      </c>
      <c r="F67" s="3">
        <v>500</v>
      </c>
      <c r="G67" s="18" cm="1">
        <f t="array" ref="G67">Tabella3397120143[Rydberg R]*LN((EXP(1)*Tabella1326105128151[[#This Row],[Temperatura]])/(Tabella3119142165[Theta rot]*Tabella61999122145[Simmetry Number]))</f>
        <v>-386.19358978810743</v>
      </c>
      <c r="H67" s="18" cm="1">
        <f t="array" ref="H67">Tabella3397120143[Rydberg R]*(1.5 + LN(SQRT((PI()*POWER(Tabella1326105128151[[#This Row],[Temperatura]],3))/(Tabella61999122145[Simmetry Number]*Tabella61999122145[Simmetry Number]*PRODUCT(Tabella4811[])))))</f>
        <v>83.095870368047628</v>
      </c>
      <c r="J67" s="22">
        <f>B16</f>
        <v>51253471685910</v>
      </c>
      <c r="K67" s="27" cm="1">
        <f t="array" ref="K67">(Tabella3397120143[Planck h]*Tabella1023102125148[[#This Row],[Frequencies'[s^-1']]])/Tabella3397120143[Boltzmann k]</f>
        <v>2459.7786897457527</v>
      </c>
      <c r="M67" s="9">
        <v>298</v>
      </c>
      <c r="N67" s="1" cm="1">
        <f t="array" ref="N67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0.12719182217486302</v>
      </c>
      <c r="O67" s="1" cm="1">
        <f t="array" ref="O67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9.1488240810186222E-3</v>
      </c>
      <c r="P67" s="1" cm="1">
        <f t="array" ref="P67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2.4080031046486705E-3</v>
      </c>
      <c r="Q67" s="1" cm="1">
        <f t="array" ref="Q67">Tabella3397120143[Rydberg R]*SUM(Tabella1124103126149[[#This Row],[S vib 1]:[S vib 3]])</f>
        <v>1.1536203726594538</v>
      </c>
    </row>
    <row r="68" spans="1:17" x14ac:dyDescent="0.3">
      <c r="A68" s="3">
        <v>600</v>
      </c>
      <c r="B68" cm="1">
        <f t="array" ref="B68">POWER((2*Tabella3397120143[Pi Greco]*Tabella3397120143[Massa]*Tabella3397120143[Boltzmann k]*Tabella122101124147[[#This Row],[Temperatura]])/(POWER(Tabella3397120143[Planck h],2)),1.5)</f>
        <v>8.6201600538315071E+32</v>
      </c>
      <c r="C68" s="1" cm="1">
        <f t="array" ref="C68">(Tabella122101124147[[#This Row],[Temperatura]]*Tabella3397120143[Rydberg R])/101325</f>
        <v>4.9234415988156921E-2</v>
      </c>
      <c r="D68" s="1" cm="1">
        <f t="array" ref="D68">Tabella3397120143[Rydberg R]*LN((Tabella122101124147[[#This Row],[Volume]]/Tabella3397120143[Avogadro N])*EXP(2.5)*Tabella122101124147[[#This Row],[Translational Factor]])</f>
        <v>171.03483772721509</v>
      </c>
      <c r="F68" s="3">
        <v>600</v>
      </c>
      <c r="G68" s="18" cm="1">
        <f t="array" ref="G68">Tabella3397120143[Rydberg R]*LN((EXP(1)*Tabella1326105128151[[#This Row],[Temperatura]])/(Tabella3119142165[Theta rot]*Tabella61999122145[Simmetry Number]))</f>
        <v>-384.6776841323632</v>
      </c>
      <c r="H68" s="18" cm="1">
        <f t="array" ref="H68">Tabella3397120143[Rydberg R]*(1.5 + LN(SQRT((PI()*POWER(Tabella1326105128151[[#This Row],[Temperatura]],3))/(Tabella61999122145[Simmetry Number]*Tabella61999122145[Simmetry Number]*PRODUCT(Tabella4811[])))))</f>
        <v>85.369728851663908</v>
      </c>
      <c r="I68" s="19"/>
      <c r="J68" s="6"/>
      <c r="M68" s="9">
        <v>400</v>
      </c>
      <c r="N68" s="11" cm="1">
        <f t="array" ref="N68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0.26538848257087366</v>
      </c>
      <c r="O68" s="1" cm="1">
        <f t="array" ref="O68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3.9910970954642515E-2</v>
      </c>
      <c r="P68" s="1" cm="1">
        <f t="array" ref="P68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1.5292019103944971E-2</v>
      </c>
      <c r="Q68" s="1" cm="1">
        <f t="array" ref="Q68">Tabella3397120143[Rydberg R]*SUM(Tabella1124103126149[[#This Row],[S vib 1]:[S vib 3]])</f>
        <v>2.6655456167016949</v>
      </c>
    </row>
    <row r="69" spans="1:17" x14ac:dyDescent="0.3">
      <c r="A69" s="3">
        <v>700</v>
      </c>
      <c r="B69" cm="1">
        <f t="array" ref="B69">POWER((2*Tabella3397120143[Pi Greco]*Tabella3397120143[Massa]*Tabella3397120143[Boltzmann k]*Tabella122101124147[[#This Row],[Temperatura]])/(POWER(Tabella3397120143[Planck h],2)),1.5)</f>
        <v>1.08626431837108E+33</v>
      </c>
      <c r="C69" s="1" cm="1">
        <f t="array" ref="C69">(Tabella122101124147[[#This Row],[Temperatura]]*Tabella3397120143[Rydberg R])/101325</f>
        <v>5.7440151986183081E-2</v>
      </c>
      <c r="D69" s="1" cm="1">
        <f t="array" ref="D69">Tabella3397120143[Rydberg R]*LN((Tabella122101124147[[#This Row],[Volume]]/Tabella3397120143[Avogadro N])*EXP(2.5)*Tabella122101124147[[#This Row],[Translational Factor]])</f>
        <v>174.23903765145988</v>
      </c>
      <c r="F69" s="3">
        <v>700</v>
      </c>
      <c r="G69" s="18" cm="1">
        <f t="array" ref="G69">Tabella3397120143[Rydberg R]*LN((EXP(1)*Tabella1326105128151[[#This Row],[Temperatura]])/(Tabella3119142165[Theta rot]*Tabella61999122145[Simmetry Number]))</f>
        <v>-383.39600416266535</v>
      </c>
      <c r="H69" s="18" cm="1">
        <f t="array" ref="H69">Tabella3397120143[Rydberg R]*(1.5 + LN(SQRT((PI()*POWER(Tabella1326105128151[[#This Row],[Temperatura]],3))/(Tabella61999122145[Simmetry Number]*Tabella61999122145[Simmetry Number]*PRODUCT(Tabella4811[])))))</f>
        <v>87.292248806210765</v>
      </c>
      <c r="I69" s="19"/>
      <c r="J69" s="6"/>
      <c r="M69" s="9">
        <v>500</v>
      </c>
      <c r="N69" s="11" cm="1">
        <f t="array" ref="N69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0.40568420246270376</v>
      </c>
      <c r="O69" s="1" cm="1">
        <f t="array" ref="O69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9.1744154536426786E-2</v>
      </c>
      <c r="P69" s="1" cm="1">
        <f t="array" ref="P69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4.3517808098291734E-2</v>
      </c>
      <c r="Q69" s="1" cm="1">
        <f t="array" ref="Q69">Tabella3397120143[Rydberg R]*SUM(Tabella1124103126149[[#This Row],[S vib 1]:[S vib 3]])</f>
        <v>4.4976763337482444</v>
      </c>
    </row>
    <row r="70" spans="1:17" x14ac:dyDescent="0.3">
      <c r="A70" s="3">
        <v>800</v>
      </c>
      <c r="B70" cm="1">
        <f t="array" ref="B70">POWER((2*Tabella3397120143[Pi Greco]*Tabella3397120143[Massa]*Tabella3397120143[Boltzmann k]*Tabella122101124147[[#This Row],[Temperatura]])/(POWER(Tabella3397120143[Planck h],2)),1.5)</f>
        <v>1.3271604606766011E+33</v>
      </c>
      <c r="C70" s="1" cm="1">
        <f t="array" ref="C70">(Tabella122101124147[[#This Row],[Temperatura]]*Tabella3397120143[Rydberg R])/101325</f>
        <v>6.5645887984209228E-2</v>
      </c>
      <c r="D70" s="1" cm="1">
        <f t="array" ref="D70">Tabella3397120143[Rydberg R]*LN((Tabella122101124147[[#This Row],[Volume]]/Tabella3397120143[Avogadro N])*EXP(2.5)*Tabella122101124147[[#This Row],[Translational Factor]])</f>
        <v>177.01464187591901</v>
      </c>
      <c r="F70" s="3">
        <v>800</v>
      </c>
      <c r="G70" s="18" cm="1">
        <f t="array" ref="G70">Tabella3397120143[Rydberg R]*LN((EXP(1)*Tabella1326105128151[[#This Row],[Temperatura]])/(Tabella3119142165[Theta rot]*Tabella61999122145[Simmetry Number]))</f>
        <v>-382.28576247288163</v>
      </c>
      <c r="H70" s="18" cm="1">
        <f t="array" ref="H70">Tabella3397120143[Rydberg R]*(1.5 + LN(SQRT((PI()*POWER(Tabella1326105128151[[#This Row],[Temperatura]],3))/(Tabella61999122145[Simmetry Number]*Tabella61999122145[Simmetry Number]*PRODUCT(Tabella4811[])))))</f>
        <v>88.957611340886274</v>
      </c>
      <c r="I70" s="19"/>
      <c r="J70" s="6"/>
      <c r="M70" s="9">
        <v>600</v>
      </c>
      <c r="N70" s="11" cm="1">
        <f t="array" ref="N70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0.53890182976706491</v>
      </c>
      <c r="O70" s="1" cm="1">
        <f t="array" ref="O70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0.15771434158566536</v>
      </c>
      <c r="P70" s="1" cm="1">
        <f t="array" ref="P70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8.5830482216019938E-2</v>
      </c>
      <c r="Q70" s="1" cm="1">
        <f t="array" ref="Q70">Tabella3397120143[Rydberg R]*SUM(Tabella1124103126149[[#This Row],[S vib 1]:[S vib 3]])</f>
        <v>6.5056229681245386</v>
      </c>
    </row>
    <row r="71" spans="1:17" x14ac:dyDescent="0.3">
      <c r="A71" s="3">
        <v>900</v>
      </c>
      <c r="B71" cm="1">
        <f t="array" ref="B71">POWER((2*Tabella3397120143[Pi Greco]*Tabella3397120143[Massa]*Tabella3397120143[Boltzmann k]*Tabella122101124147[[#This Row],[Temperatura]])/(POWER(Tabella3397120143[Planck h],2)),1.5)</f>
        <v>1.5836245224757075E+33</v>
      </c>
      <c r="C71" s="1" cm="1">
        <f t="array" ref="C71">(Tabella122101124147[[#This Row],[Temperatura]]*Tabella3397120143[Rydberg R])/101325</f>
        <v>7.3851623982235395E-2</v>
      </c>
      <c r="D71" s="1" cm="1">
        <f t="array" ref="D71">Tabella3397120143[Rydberg R]*LN((Tabella122101124147[[#This Row],[Volume]]/Tabella3397120143[Avogadro N])*EXP(2.5)*Tabella122101124147[[#This Row],[Translational Factor]])</f>
        <v>179.4628983114431</v>
      </c>
      <c r="F71" s="3">
        <v>900</v>
      </c>
      <c r="G71" s="18" cm="1">
        <f t="array" ref="G71">Tabella3397120143[Rydberg R]*LN((EXP(1)*Tabella1326105128151[[#This Row],[Temperatura]])/(Tabella3119142165[Theta rot]*Tabella61999122145[Simmetry Number]))</f>
        <v>-381.30645989867202</v>
      </c>
      <c r="H71" s="18" cm="1">
        <f t="array" ref="H71">Tabella3397120143[Rydberg R]*(1.5 + LN(SQRT((PI()*POWER(Tabella1326105128151[[#This Row],[Temperatura]],3))/(Tabella61999122145[Simmetry Number]*Tabella61999122145[Simmetry Number]*PRODUCT(Tabella4811[])))))</f>
        <v>90.426565202200749</v>
      </c>
      <c r="I71" s="19"/>
      <c r="J71" s="6"/>
      <c r="M71" s="9">
        <v>700</v>
      </c>
      <c r="N71" s="11" cm="1">
        <f t="array" ref="N71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0.66187927050463558</v>
      </c>
      <c r="O71" s="1" cm="1">
        <f t="array" ref="O71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0.23085574723608432</v>
      </c>
      <c r="P71" s="1" cm="1">
        <f t="array" ref="P71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0.13808317639810005</v>
      </c>
      <c r="Q71" s="1" cm="1">
        <f t="array" ref="Q71">Tabella3397120143[Rydberg R]*SUM(Tabella1124103126149[[#This Row],[S vib 1]:[S vib 3]])</f>
        <v>8.5706987040758413</v>
      </c>
    </row>
    <row r="72" spans="1:17" x14ac:dyDescent="0.3">
      <c r="A72" s="3">
        <v>1000</v>
      </c>
      <c r="B72" cm="1">
        <f t="array" ref="B72">POWER((2*Tabella3397120143[Pi Greco]*Tabella3397120143[Massa]*Tabella3397120143[Boltzmann k]*Tabella122101124147[[#This Row],[Temperatura]])/(POWER(Tabella3397120143[Planck h],2)),1.5)</f>
        <v>1.8547631294517711E+33</v>
      </c>
      <c r="C72" s="1" cm="1">
        <f t="array" ref="C72">(Tabella122101124147[[#This Row],[Temperatura]]*Tabella3397120143[Rydberg R])/101325</f>
        <v>8.2057359980261549E-2</v>
      </c>
      <c r="D72" s="1" cm="1">
        <f t="array" ref="D72">Tabella3397120143[Rydberg R]*LN((Tabella122101124147[[#This Row],[Volume]]/Tabella3397120143[Avogadro N])*EXP(2.5)*Tabella122101124147[[#This Row],[Translational Factor]])</f>
        <v>181.65293832078666</v>
      </c>
      <c r="F72" s="3">
        <v>1000</v>
      </c>
      <c r="G72" s="18" cm="1">
        <f t="array" ref="G72">Tabella3397120143[Rydberg R]*LN((EXP(1)*Tabella1326105128151[[#This Row],[Temperatura]])/(Tabella3119142165[Theta rot]*Tabella61999122145[Simmetry Number]))</f>
        <v>-380.43044389493457</v>
      </c>
      <c r="H72" s="18" cm="1">
        <f t="array" ref="H72">Tabella3397120143[Rydberg R]*(1.5 + LN(SQRT((PI()*POWER(Tabella1326105128151[[#This Row],[Temperatura]],3))/(Tabella61999122145[Simmetry Number]*Tabella61999122145[Simmetry Number]*PRODUCT(Tabella4811[])))))</f>
        <v>91.740589207806849</v>
      </c>
      <c r="I72" s="19"/>
      <c r="J72" s="6"/>
      <c r="M72" s="9">
        <v>800</v>
      </c>
      <c r="N72" s="11" cm="1">
        <f t="array" ref="N72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0.77450281403980192</v>
      </c>
      <c r="O72" s="1" cm="1">
        <f t="array" ref="O72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0.3064620246649099</v>
      </c>
      <c r="P72" s="1" cm="1">
        <f t="array" ref="P72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0.19624485636083683</v>
      </c>
      <c r="Q72" s="1" cm="1">
        <f t="array" ref="Q72">Tabella3397120143[Rydberg R]*SUM(Tabella1124103126149[[#This Row],[S vib 1]:[S vib 3]])</f>
        <v>10.619311475654092</v>
      </c>
    </row>
    <row r="73" spans="1:17" x14ac:dyDescent="0.3">
      <c r="A73" s="3">
        <v>1100</v>
      </c>
      <c r="B73" cm="1">
        <f t="array" ref="B73">POWER((2*Tabella3397120143[Pi Greco]*Tabella3397120143[Massa]*Tabella3397120143[Boltzmann k]*Tabella122101124147[[#This Row],[Temperatura]])/(POWER(Tabella3397120143[Planck h],2)),1.5)</f>
        <v>2.1398211795716389E+33</v>
      </c>
      <c r="C73" s="1" cm="1">
        <f t="array" ref="C73">(Tabella122101124147[[#This Row],[Temperatura]]*Tabella3397120143[Rydberg R])/101325</f>
        <v>9.0263095978287688E-2</v>
      </c>
      <c r="D73" s="1" cm="1">
        <f t="array" ref="D73">Tabella3397120143[Rydberg R]*LN((Tabella122101124147[[#This Row],[Volume]]/Tabella3397120143[Avogadro N])*EXP(2.5)*Tabella122101124147[[#This Row],[Translational Factor]])</f>
        <v>183.63407049127719</v>
      </c>
      <c r="F73" s="3">
        <v>1100</v>
      </c>
      <c r="G73" s="18" cm="1">
        <f t="array" ref="G73">Tabella3397120143[Rydberg R]*LN((EXP(1)*Tabella1326105128151[[#This Row],[Temperatura]])/(Tabella3119142165[Theta rot]*Tabella61999122145[Simmetry Number]))</f>
        <v>-379.6379910267384</v>
      </c>
      <c r="H73" s="18" cm="1">
        <f t="array" ref="H73">Tabella3397120143[Rydberg R]*(1.5 + LN(SQRT((PI()*POWER(Tabella1326105128151[[#This Row],[Temperatura]],3))/(Tabella61999122145[Simmetry Number]*Tabella61999122145[Simmetry Number]*PRODUCT(Tabella4811[])))))</f>
        <v>92.929268510101181</v>
      </c>
      <c r="I73" s="20"/>
      <c r="J73" s="7"/>
      <c r="M73" s="9">
        <v>900</v>
      </c>
      <c r="N73" s="11" cm="1">
        <f t="array" ref="N73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0.87763033095646503</v>
      </c>
      <c r="O73" s="1" cm="1">
        <f t="array" ref="O73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0.38174452617208088</v>
      </c>
      <c r="P73" s="1" cm="1">
        <f t="array" ref="P73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0.25728601332830031</v>
      </c>
      <c r="Q73" s="1" cm="1">
        <f t="array" ref="Q73">Tabella3397120143[Rydberg R]*SUM(Tabella1124103126149[[#This Row],[S vib 1]:[S vib 3]])</f>
        <v>12.610219174300372</v>
      </c>
    </row>
    <row r="74" spans="1:17" x14ac:dyDescent="0.3">
      <c r="A74" s="3">
        <v>1200</v>
      </c>
      <c r="B74" cm="1">
        <f t="array" ref="B74">POWER((2*Tabella3397120143[Pi Greco]*Tabella3397120143[Massa]*Tabella3397120143[Boltzmann k]*Tabella122101124147[[#This Row],[Temperatura]])/(POWER(Tabella3397120143[Planck h],2)),1.5)</f>
        <v>2.4381494515910334E+33</v>
      </c>
      <c r="C74" s="1" cm="1">
        <f t="array" ref="C74">(Tabella122101124147[[#This Row],[Temperatura]]*Tabella3397120143[Rydberg R])/101325</f>
        <v>9.8468831976313842E-2</v>
      </c>
      <c r="D74" s="1" cm="1">
        <f t="array" ref="D74">Tabella3397120143[Rydberg R]*LN((Tabella122101124147[[#This Row],[Volume]]/Tabella3397120143[Avogadro N])*EXP(2.5)*Tabella122101124147[[#This Row],[Translational Factor]])</f>
        <v>185.44270246014702</v>
      </c>
      <c r="F74" s="3">
        <v>1200</v>
      </c>
      <c r="G74" s="18" cm="1">
        <f t="array" ref="G74">Tabella3397120143[Rydberg R]*LN((EXP(1)*Tabella1326105128151[[#This Row],[Temperatura]])/(Tabella3119142165[Theta rot]*Tabella61999122145[Simmetry Number]))</f>
        <v>-378.91453823919045</v>
      </c>
      <c r="H74" s="18" cm="1">
        <f t="array" ref="H74">Tabella3397120143[Rydberg R]*(1.5 + LN(SQRT((PI()*POWER(Tabella1326105128151[[#This Row],[Temperatura]],3))/(Tabella61999122145[Simmetry Number]*Tabella61999122145[Simmetry Number]*PRODUCT(Tabella4811[])))))</f>
        <v>94.014447691423115</v>
      </c>
      <c r="M74" s="9">
        <v>1000</v>
      </c>
      <c r="N74" s="11" cm="1">
        <f t="array" ref="N74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0.97234258694678033</v>
      </c>
      <c r="O74" s="1" cm="1">
        <f t="array" ref="O74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0.45517359849220712</v>
      </c>
      <c r="P74" s="1" cm="1">
        <f t="array" ref="P74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0.31916550143435563</v>
      </c>
      <c r="Q74" s="1" cm="1">
        <f t="array" ref="Q74">Tabella3397120143[Rydberg R]*SUM(Tabella1124103126149[[#This Row],[S vib 1]:[S vib 3]])</f>
        <v>14.522718511604312</v>
      </c>
    </row>
    <row r="75" spans="1:17" x14ac:dyDescent="0.3">
      <c r="A75" s="3">
        <v>1300</v>
      </c>
      <c r="B75" cm="1">
        <f t="array" ref="B75">POWER((2*Tabella3397120143[Pi Greco]*Tabella3397120143[Massa]*Tabella3397120143[Boltzmann k]*Tabella122101124147[[#This Row],[Temperatura]])/(POWER(Tabella3397120143[Planck h],2)),1.5)</f>
        <v>2.749181941455153E+33</v>
      </c>
      <c r="C75" s="1" cm="1">
        <f t="array" ref="C75">(Tabella122101124147[[#This Row],[Temperatura]]*Tabella3397120143[Rydberg R])/101325</f>
        <v>0.10667456797434</v>
      </c>
      <c r="D75" s="1" cm="1">
        <f t="array" ref="D75">Tabella3397120143[Rydberg R]*LN((Tabella122101124147[[#This Row],[Volume]]/Tabella3397120143[Avogadro N])*EXP(2.5)*Tabella122101124147[[#This Row],[Translational Factor]])</f>
        <v>187.10648258846894</v>
      </c>
      <c r="F75" s="3">
        <v>1300</v>
      </c>
      <c r="G75" s="18" cm="1">
        <f t="array" ref="G75">Tabella3397120143[Rydberg R]*LN((EXP(1)*Tabella1326105128151[[#This Row],[Temperatura]])/(Tabella3119142165[Theta rot]*Tabella61999122145[Simmetry Number]))</f>
        <v>-378.24902618786166</v>
      </c>
      <c r="H75" s="18" cm="1">
        <f t="array" ref="H75">Tabella3397120143[Rydberg R]*(1.5 + LN(SQRT((PI()*POWER(Tabella1326105128151[[#This Row],[Temperatura]],3))/(Tabella61999122145[Simmetry Number]*Tabella61999122145[Simmetry Number]*PRODUCT(Tabella4811[])))))</f>
        <v>95.0127157684162</v>
      </c>
      <c r="M75" s="9">
        <v>1100</v>
      </c>
      <c r="N75" s="11" cm="1">
        <f t="array" ref="N75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1.0596835888096818</v>
      </c>
      <c r="O75" s="1" cm="1">
        <f t="array" ref="O75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0.52597669099290134</v>
      </c>
      <c r="P75" s="1" cm="1">
        <f t="array" ref="P75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0.38058896911301976</v>
      </c>
      <c r="Q75" s="1" cm="1">
        <f t="array" ref="Q75">Tabella3397120143[Rydberg R]*SUM(Tabella1124103126149[[#This Row],[S vib 1]:[S vib 3]])</f>
        <v>16.348304662637322</v>
      </c>
    </row>
    <row r="76" spans="1:17" x14ac:dyDescent="0.3">
      <c r="A76" s="3">
        <v>1400</v>
      </c>
      <c r="B76" cm="1">
        <f t="array" ref="B76">POWER((2*Tabella3397120143[Pi Greco]*Tabella3397120143[Massa]*Tabella3397120143[Boltzmann k]*Tabella122101124147[[#This Row],[Temperatura]])/(POWER(Tabella3397120143[Planck h],2)),1.5)</f>
        <v>3.0724194627247025E+33</v>
      </c>
      <c r="C76" s="1" cm="1">
        <f t="array" ref="C76">(Tabella122101124147[[#This Row],[Temperatura]]*Tabella3397120143[Rydberg R])/101325</f>
        <v>0.11488030397236616</v>
      </c>
      <c r="D76" s="1" cm="1">
        <f t="array" ref="D76">Tabella3397120143[Rydberg R]*LN((Tabella122101124147[[#This Row],[Volume]]/Tabella3397120143[Avogadro N])*EXP(2.5)*Tabella122101124147[[#This Row],[Translational Factor]])</f>
        <v>188.64690238439189</v>
      </c>
      <c r="F76" s="3">
        <v>1400</v>
      </c>
      <c r="G76" s="18" cm="1">
        <f t="array" ref="G76">Tabella3397120143[Rydberg R]*LN((EXP(1)*Tabella1326105128151[[#This Row],[Temperatura]])/(Tabella3119142165[Theta rot]*Tabella61999122145[Simmetry Number]))</f>
        <v>-377.63285826949249</v>
      </c>
      <c r="H76" s="18" cm="1">
        <f t="array" ref="H76">Tabella3397120143[Rydberg R]*(1.5 + LN(SQRT((PI()*POWER(Tabella1326105128151[[#This Row],[Temperatura]],3))/(Tabella61999122145[Simmetry Number]*Tabella61999122145[Simmetry Number]*PRODUCT(Tabella4811[])))))</f>
        <v>95.936967645969972</v>
      </c>
      <c r="M76" s="9">
        <v>1200</v>
      </c>
      <c r="N76" s="11" cm="1">
        <f t="array" ref="N76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1.1405812820452104</v>
      </c>
      <c r="O76" s="1" cm="1">
        <f t="array" ref="O76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0.59381948520239425</v>
      </c>
      <c r="P76" s="1" cm="1">
        <f t="array" ref="P76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0.44077351808830489</v>
      </c>
      <c r="Q76" s="1" cm="1">
        <f t="array" ref="Q76">Tabella3397120143[Rydberg R]*SUM(Tabella1124103126149[[#This Row],[S vib 1]:[S vib 3]])</f>
        <v>18.085403938802578</v>
      </c>
    </row>
    <row r="77" spans="1:17" x14ac:dyDescent="0.3">
      <c r="A77" s="3">
        <v>1500</v>
      </c>
      <c r="B77" cm="1">
        <f t="array" ref="B77">POWER((2*Tabella3397120143[Pi Greco]*Tabella3397120143[Massa]*Tabella3397120143[Boltzmann k]*Tabella122101124147[[#This Row],[Temperatura]])/(POWER(Tabella3397120143[Planck h],2)),1.5)</f>
        <v>3.4074174456633842E+33</v>
      </c>
      <c r="C77" s="1" cm="1">
        <f t="array" ref="C77">(Tabella122101124147[[#This Row],[Temperatura]]*Tabella3397120143[Rydberg R])/101325</f>
        <v>0.12308603997039232</v>
      </c>
      <c r="D77" s="1" cm="1">
        <f t="array" ref="D77">Tabella3397120143[Rydberg R]*LN((Tabella122101124147[[#This Row],[Volume]]/Tabella3397120143[Avogadro N])*EXP(2.5)*Tabella122101124147[[#This Row],[Translational Factor]])</f>
        <v>190.08099890501467</v>
      </c>
      <c r="F77" s="3">
        <v>1500</v>
      </c>
      <c r="G77" s="18" cm="1">
        <f t="array" ref="G77">Tabella3397120143[Rydberg R]*LN((EXP(1)*Tabella1326105128151[[#This Row],[Temperatura]])/(Tabella3119142165[Theta rot]*Tabella61999122145[Simmetry Number]))</f>
        <v>-377.05921966124339</v>
      </c>
      <c r="H77" s="18" cm="1">
        <f t="array" ref="H77">Tabella3397120143[Rydberg R]*(1.5 + LN(SQRT((PI()*POWER(Tabella1326105128151[[#This Row],[Temperatura]],3))/(Tabella61999122145[Simmetry Number]*Tabella61999122145[Simmetry Number]*PRODUCT(Tabella4811[])))))</f>
        <v>96.797425558343676</v>
      </c>
      <c r="M77" s="9">
        <v>1300</v>
      </c>
      <c r="N77" s="11" cm="1">
        <f t="array" ref="N77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1.2158343502853464</v>
      </c>
      <c r="O77" s="1" cm="1">
        <f t="array" ref="O77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0.65861531371918758</v>
      </c>
      <c r="P77" s="1" cm="1">
        <f t="array" ref="P77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0.49927130165337469</v>
      </c>
      <c r="Q77" s="1" cm="1">
        <f t="array" ref="Q77">Tabella3397120143[Rydberg R]*SUM(Tabella1124103126149[[#This Row],[S vib 1]:[S vib 3]])</f>
        <v>19.736212767565984</v>
      </c>
    </row>
    <row r="78" spans="1:17" x14ac:dyDescent="0.3">
      <c r="A78" s="3">
        <v>1600</v>
      </c>
      <c r="B78" cm="1">
        <f t="array" ref="B78">POWER((2*Tabella3397120143[Pi Greco]*Tabella3397120143[Massa]*Tabella3397120143[Boltzmann k]*Tabella122101124147[[#This Row],[Temperatura]])/(POWER(Tabella3397120143[Planck h],2)),1.5)</f>
        <v>3.7537766458683055E+33</v>
      </c>
      <c r="C78" s="1" cm="1">
        <f t="array" ref="C78">(Tabella122101124147[[#This Row],[Temperatura]]*Tabella3397120143[Rydberg R])/101325</f>
        <v>0.13129177596841846</v>
      </c>
      <c r="D78" s="1" cm="1">
        <f t="array" ref="D78">Tabella3397120143[Rydberg R]*LN((Tabella122101124147[[#This Row],[Volume]]/Tabella3397120143[Avogadro N])*EXP(2.5)*Tabella122101124147[[#This Row],[Translational Factor]])</f>
        <v>191.42250660885091</v>
      </c>
      <c r="F78" s="3">
        <v>1600</v>
      </c>
      <c r="G78" s="18" cm="1">
        <f t="array" ref="G78">Tabella3397120143[Rydberg R]*LN((EXP(1)*Tabella1326105128151[[#This Row],[Temperatura]])/(Tabella3119142165[Theta rot]*Tabella61999122145[Simmetry Number]))</f>
        <v>-376.52261657970888</v>
      </c>
      <c r="H78" s="18" cm="1">
        <f t="array" ref="H78">Tabella3397120143[Rydberg R]*(1.5 + LN(SQRT((PI()*POWER(Tabella1326105128151[[#This Row],[Temperatura]],3))/(Tabella61999122145[Simmetry Number]*Tabella61999122145[Simmetry Number]*PRODUCT(Tabella4811[])))))</f>
        <v>97.602330180645481</v>
      </c>
      <c r="M78" s="9">
        <v>1400</v>
      </c>
      <c r="N78" s="11" cm="1">
        <f t="array" ref="N78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1.2861219234723482</v>
      </c>
      <c r="O78" s="1" cm="1">
        <f t="array" ref="O78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0.72041374280174231</v>
      </c>
      <c r="P78" s="1" cm="1">
        <f t="array" ref="P78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0.55584892050485168</v>
      </c>
      <c r="Q78" s="1" cm="1">
        <f t="array" ref="Q78">Tabella3397120143[Rydberg R]*SUM(Tabella1124103126149[[#This Row],[S vib 1]:[S vib 3]])</f>
        <v>21.304849276159217</v>
      </c>
    </row>
    <row r="79" spans="1:17" x14ac:dyDescent="0.3">
      <c r="A79" s="3">
        <v>1700</v>
      </c>
      <c r="B79" cm="1">
        <f t="array" ref="B79">POWER((2*Tabella3397120143[Pi Greco]*Tabella3397120143[Massa]*Tabella3397120143[Boltzmann k]*Tabella122101124147[[#This Row],[Temperatura]])/(POWER(Tabella3397120143[Planck h],2)),1.5)</f>
        <v>4.1111359265650396E+33</v>
      </c>
      <c r="C79" s="1" cm="1">
        <f t="array" ref="C79">(Tabella122101124147[[#This Row],[Temperatura]]*Tabella3397120143[Rydberg R])/101325</f>
        <v>0.13949751196644464</v>
      </c>
      <c r="D79" s="1" cm="1">
        <f t="array" ref="D79">Tabella3397120143[Rydberg R]*LN((Tabella122101124147[[#This Row],[Volume]]/Tabella3397120143[Avogadro N])*EXP(2.5)*Tabella122101124147[[#This Row],[Translational Factor]])</f>
        <v>192.68265939474375</v>
      </c>
      <c r="F79" s="3">
        <v>1700</v>
      </c>
      <c r="G79" s="18" cm="1">
        <f t="array" ref="G79">Tabella3397120143[Rydberg R]*LN((EXP(1)*Tabella1326105128151[[#This Row],[Temperatura]])/(Tabella3119142165[Theta rot]*Tabella61999122145[Simmetry Number]))</f>
        <v>-376.01855546535171</v>
      </c>
      <c r="H79" s="18" cm="1">
        <f t="array" ref="H79">Tabella3397120143[Rydberg R]*(1.5 + LN(SQRT((PI()*POWER(Tabella1326105128151[[#This Row],[Temperatura]],3))/(Tabella61999122145[Simmetry Number]*Tabella61999122145[Simmetry Number]*PRODUCT(Tabella4811[])))))</f>
        <v>98.358421852181166</v>
      </c>
      <c r="M79" s="9">
        <v>1500</v>
      </c>
      <c r="N79" s="11" cm="1">
        <f t="array" ref="N79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1.3520197184976301</v>
      </c>
      <c r="O79" s="1" cm="1">
        <f t="array" ref="O79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0.77933595793150512</v>
      </c>
      <c r="P79" s="1" cm="1">
        <f t="array" ref="P79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0.61040809925505957</v>
      </c>
      <c r="Q79" s="1" cm="1">
        <f t="array" ref="Q79">Tabella3397120143[Rydberg R]*SUM(Tabella1124103126149[[#This Row],[S vib 1]:[S vib 3]])</f>
        <v>22.796290725902765</v>
      </c>
    </row>
    <row r="80" spans="1:17" x14ac:dyDescent="0.3">
      <c r="A80" s="3">
        <v>1800</v>
      </c>
      <c r="B80" cm="1">
        <f t="array" ref="B80">POWER((2*Tabella3397120143[Pi Greco]*Tabella3397120143[Massa]*Tabella3397120143[Boltzmann k]*Tabella122101124147[[#This Row],[Temperatura]])/(POWER(Tabella3397120143[Planck h],2)),1.5)</f>
        <v>4.4791665547835359E+33</v>
      </c>
      <c r="C80" s="1" cm="1">
        <f t="array" ref="C80">(Tabella122101124147[[#This Row],[Temperatura]]*Tabella3397120143[Rydberg R])/101325</f>
        <v>0.14770324796447079</v>
      </c>
      <c r="D80" s="1" cm="1">
        <f t="array" ref="D80">Tabella3397120143[Rydberg R]*LN((Tabella122101124147[[#This Row],[Volume]]/Tabella3397120143[Avogadro N])*EXP(2.5)*Tabella122101124147[[#This Row],[Translational Factor]])</f>
        <v>193.87076304437514</v>
      </c>
      <c r="F80" s="3">
        <v>1800</v>
      </c>
      <c r="G80" s="18" cm="1">
        <f t="array" ref="G80">Tabella3397120143[Rydberg R]*LN((EXP(1)*Tabella1326105128151[[#This Row],[Temperatura]])/(Tabella3119142165[Theta rot]*Tabella61999122145[Simmetry Number]))</f>
        <v>-375.54331400549921</v>
      </c>
      <c r="H80" s="18" cm="1">
        <f t="array" ref="H80">Tabella3397120143[Rydberg R]*(1.5 + LN(SQRT((PI()*POWER(Tabella1326105128151[[#This Row],[Temperatura]],3))/(Tabella61999122145[Simmetry Number]*Tabella61999122145[Simmetry Number]*PRODUCT(Tabella4811[])))))</f>
        <v>99.071284041959942</v>
      </c>
      <c r="M80" s="9">
        <v>1600</v>
      </c>
      <c r="N80" s="11" cm="1">
        <f t="array" ref="N80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1.4140164723726629</v>
      </c>
      <c r="O80" s="1" cm="1">
        <f t="array" ref="O80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0.83553746702321474</v>
      </c>
      <c r="P80" s="1" cm="1">
        <f t="array" ref="P80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0.66293438486644007</v>
      </c>
      <c r="Q80" s="1" cm="1">
        <f t="array" ref="Q80">Tabella3397120143[Rydberg R]*SUM(Tabella1124103126149[[#This Row],[S vib 1]:[S vib 3]])</f>
        <v>24.215773497522719</v>
      </c>
    </row>
    <row r="81" spans="1:17" x14ac:dyDescent="0.3">
      <c r="A81" s="3">
        <v>1900</v>
      </c>
      <c r="B81" cm="1">
        <f t="array" ref="B81">POWER((2*Tabella3397120143[Pi Greco]*Tabella3397120143[Massa]*Tabella3397120143[Boltzmann k]*Tabella122101124147[[#This Row],[Temperatura]])/(POWER(Tabella3397120143[Planck h],2)),1.5)</f>
        <v>4.8575676259890963E+33</v>
      </c>
      <c r="C81" s="1" cm="1">
        <f t="array" ref="C81">(Tabella122101124147[[#This Row],[Temperatura]]*Tabella3397120143[Rydberg R])/101325</f>
        <v>0.15590898396249692</v>
      </c>
      <c r="D81" s="1" cm="1">
        <f t="array" ref="D81">Tabella3397120143[Rydberg R]*LN((Tabella122101124147[[#This Row],[Volume]]/Tabella3397120143[Avogadro N])*EXP(2.5)*Tabella122101124147[[#This Row],[Translational Factor]])</f>
        <v>194.99461268611842</v>
      </c>
      <c r="F81" s="3">
        <v>1900</v>
      </c>
      <c r="G81" s="18" cm="1">
        <f t="array" ref="G81">Tabella3397120143[Rydberg R]*LN((EXP(1)*Tabella1326105128151[[#This Row],[Temperatura]])/(Tabella3119142165[Theta rot]*Tabella61999122145[Simmetry Number]))</f>
        <v>-375.09377414880191</v>
      </c>
      <c r="H81" s="18" cm="1">
        <f t="array" ref="H81">Tabella3397120143[Rydberg R]*(1.5 + LN(SQRT((PI()*POWER(Tabella1326105128151[[#This Row],[Temperatura]],3))/(Tabella61999122145[Simmetry Number]*Tabella61999122145[Simmetry Number]*PRODUCT(Tabella4811[])))))</f>
        <v>99.745593827005905</v>
      </c>
      <c r="M81" s="9">
        <v>1700</v>
      </c>
      <c r="N81" s="11" cm="1">
        <f t="array" ref="N81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1.4725285931635337</v>
      </c>
      <c r="O81" s="1" cm="1">
        <f t="array" ref="O81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0.88918673280684013</v>
      </c>
      <c r="P81" s="1" cm="1">
        <f t="array" ref="P81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0.71346420465773674</v>
      </c>
      <c r="Q81" s="1" cm="1">
        <f t="array" ref="Q81">Tabella3397120143[Rydberg R]*SUM(Tabella1124103126149[[#This Row],[S vib 1]:[S vib 3]])</f>
        <v>25.568463350585262</v>
      </c>
    </row>
    <row r="82" spans="1:17" x14ac:dyDescent="0.3">
      <c r="A82" s="3">
        <v>2000</v>
      </c>
      <c r="B82" s="3" cm="1">
        <f t="array" ref="B82">POWER((2*Tabella3397120143[Pi Greco]*Tabella3397120143[Massa]*Tabella3397120143[Boltzmann k]*Tabella122101124147[[#This Row],[Temperatura]])/(POWER(Tabella3397120143[Planck h],2)),1.5)</f>
        <v>5.2460623453205331E+33</v>
      </c>
      <c r="C82" s="1" cm="1">
        <f t="array" ref="C82">(Tabella122101124147[[#This Row],[Temperatura]]*Tabella3397120143[Rydberg R])/101325</f>
        <v>0.1641147199605231</v>
      </c>
      <c r="D82" s="1" cm="1">
        <f t="array" ref="D82">Tabella3397120143[Rydberg R]*LN((Tabella122101124147[[#This Row],[Volume]]/Tabella3397120143[Avogadro N])*EXP(2.5)*Tabella122101124147[[#This Row],[Translational Factor]])</f>
        <v>196.0608030537187</v>
      </c>
      <c r="F82" s="3">
        <v>2000</v>
      </c>
      <c r="G82" s="18" cm="1">
        <f t="array" ref="G82">Tabella3397120143[Rydberg R]*LN((EXP(1)*Tabella1326105128151[[#This Row],[Temperatura]])/(Tabella3119142165[Theta rot]*Tabella61999122145[Simmetry Number]))</f>
        <v>-374.66729800176176</v>
      </c>
      <c r="H82" s="18" cm="1">
        <f t="array" ref="H82">Tabella3397120143[Rydberg R]*(1.5 + LN(SQRT((PI()*POWER(Tabella1326105128151[[#This Row],[Temperatura]],3))/(Tabella61999122145[Simmetry Number]*Tabella61999122145[Simmetry Number]*PRODUCT(Tabella4811[])))))</f>
        <v>100.38530804756604</v>
      </c>
      <c r="M82" s="9">
        <v>1800</v>
      </c>
      <c r="N82" s="11" cm="1">
        <f t="array" ref="N82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1.5279125426039943</v>
      </c>
      <c r="O82" s="1" cm="1">
        <f t="array" ref="O82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0.94045312317834084</v>
      </c>
      <c r="P82" s="1" cm="1">
        <f t="array" ref="P82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0.76206378422583931</v>
      </c>
      <c r="Q82" s="1" cm="1">
        <f t="array" ref="Q82">Tabella3397120143[Rydberg R]*SUM(Tabella1124103126149[[#This Row],[S vib 1]:[S vib 3]])</f>
        <v>26.85928290577387</v>
      </c>
    </row>
    <row r="83" spans="1:17" x14ac:dyDescent="0.3">
      <c r="M83" s="9">
        <v>1900</v>
      </c>
      <c r="N83" s="11" cm="1">
        <f t="array" ref="N83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1.5804750551406472</v>
      </c>
      <c r="O83" s="1" cm="1">
        <f t="array" ref="O83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0.98950033025628747</v>
      </c>
      <c r="P83" s="1" cm="1">
        <f t="array" ref="P83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0.80881569459483083</v>
      </c>
      <c r="Q83" s="1" cm="1">
        <f t="array" ref="Q83">Tabella3397120143[Rydberg R]*SUM(Tabella1124103126149[[#This Row],[S vib 1]:[S vib 3]])</f>
        <v>28.092830040530497</v>
      </c>
    </row>
    <row r="84" spans="1:17" x14ac:dyDescent="0.3">
      <c r="M84" s="9">
        <v>2000</v>
      </c>
      <c r="N84" s="11" cm="1">
        <f t="array" ref="N84" xml:space="preserve">   ((Tabella1225104127150[Theta vib 1]/Tabella1124103126149[[#This Row],[Temperatura]]) /(EXP(Tabella1225104127150[Theta vib 1]/Tabella1124103126149[[#This Row],[Temperatura]])-1) )- LN(1-EXP(-Tabella1225104127150[Theta vib 1]/Tabella1124103126149[[#This Row],[Temperatura]]))</f>
        <v>1.6304814856379508</v>
      </c>
      <c r="O84" s="1" cm="1">
        <f t="array" ref="O84" xml:space="preserve">   ((Tabella1225104127150[Theta vib 2]/Tabella1124103126149[[#This Row],[Temperatura]]) /(EXP(Tabella1225104127150[Theta vib 2]/Tabella1124103126149[[#This Row],[Temperatura]])-1) )- LN(1-EXP(-Tabella1225104127150[Theta vib 2]/Tabella1124103126149[[#This Row],[Temperatura]]))</f>
        <v>1.0364830016326296</v>
      </c>
      <c r="P84" s="1" cm="1">
        <f t="array" ref="P84" xml:space="preserve">   ((Tabella1225104127150[Theta vib 3]/Tabella1124103126149[[#This Row],[Temperatura]]) /(EXP(Tabella1225104127150[Theta vib 3]/Tabella1124103126149[[#This Row],[Temperatura]])-1) )- LN(1-EXP(-Tabella1225104127150[Theta vib 3]/Tabella1124103126149[[#This Row],[Temperatura]]))</f>
        <v>0.85381030946961944</v>
      </c>
      <c r="Q84" s="1" cm="1">
        <f t="array" ref="Q84">Tabella3397120143[Rydberg R]*SUM(Tabella1124103126149[[#This Row],[S vib 1]:[S vib 3]])</f>
        <v>29.273348258054117</v>
      </c>
    </row>
    <row r="94" spans="1:17" x14ac:dyDescent="0.3">
      <c r="A94" t="s">
        <v>71</v>
      </c>
      <c r="B94" t="s">
        <v>72</v>
      </c>
      <c r="C94" t="s">
        <v>73</v>
      </c>
      <c r="D94" t="s">
        <v>74</v>
      </c>
    </row>
    <row r="95" spans="1:17" x14ac:dyDescent="0.3">
      <c r="A95" t="s">
        <v>76</v>
      </c>
      <c r="B95" s="1">
        <f>D65</f>
        <v>156.48793464978749</v>
      </c>
      <c r="C95" s="1">
        <f>(37.403*4.184)</f>
        <v>156.49415200000001</v>
      </c>
      <c r="D95" s="17">
        <f>ABS(Tabella2054115138161[[#This Row],[My value]]-Tabella2054115138161[[#This Row],[Gaussian]])/Tabella2054115138161[[#This Row],[Gaussian]]</f>
        <v>3.9728961964810939E-5</v>
      </c>
    </row>
    <row r="96" spans="1:17" x14ac:dyDescent="0.3">
      <c r="A96" t="s">
        <v>77</v>
      </c>
      <c r="B96" s="1">
        <f>Q67</f>
        <v>1.1536203726594538</v>
      </c>
      <c r="C96" s="1">
        <f>0.276*4.184</f>
        <v>1.154784</v>
      </c>
      <c r="D96" s="17">
        <f>ABS(Tabella2054115138161[[#This Row],[My value]]-Tabella2054115138161[[#This Row],[Gaussian]])/Tabella2054115138161[[#This Row],[Gaussian]]</f>
        <v>1.0076580040476858E-3</v>
      </c>
    </row>
    <row r="97" spans="1:10" x14ac:dyDescent="0.3">
      <c r="A97" t="s">
        <v>78</v>
      </c>
      <c r="B97" s="1">
        <f>G65</f>
        <v>-390.49644536333426</v>
      </c>
      <c r="C97" s="1">
        <f>18.319*4.184</f>
        <v>76.646696000000006</v>
      </c>
      <c r="D97" s="17">
        <f>ABS(Tabella2054115138161[[#This Row],[My value]]-Tabella2054115138161[[#This Row],[Gaussian]])/Tabella2054115138161[[#This Row],[Gaussian]]</f>
        <v>6.0947590143133406</v>
      </c>
    </row>
    <row r="98" spans="1:10" x14ac:dyDescent="0.3">
      <c r="A98" t="s">
        <v>97</v>
      </c>
      <c r="B98" s="1">
        <f>H65</f>
        <v>76.641587005207327</v>
      </c>
      <c r="C98">
        <f>18.319*4.184</f>
        <v>76.646696000000006</v>
      </c>
      <c r="D98" s="15">
        <f>ABS(Tabella2054115138161[[#This Row],[My value]]-Tabella2054115138161[[#This Row],[Gaussian]])/Tabella2054115138161[[#This Row],[Gaussian]]</f>
        <v>6.6656425642644076E-5</v>
      </c>
    </row>
    <row r="99" spans="1:10" x14ac:dyDescent="0.3">
      <c r="A99" t="s">
        <v>79</v>
      </c>
      <c r="B99" s="1" cm="1">
        <f t="array" ref="B99">Tabella3397120143[Rydberg R]*LN(F38)</f>
        <v>5.7631458931728039</v>
      </c>
      <c r="C99">
        <f>1.377*4.184</f>
        <v>5.761368</v>
      </c>
      <c r="D99" s="15">
        <f>ABS(Tabella2054115138161[[#This Row],[My value]]-Tabella2054115138161[[#This Row],[Gaussian]])/Tabella2054115138161[[#This Row],[Gaussian]]</f>
        <v>3.0858871934649155E-4</v>
      </c>
    </row>
    <row r="102" spans="1:10" x14ac:dyDescent="0.3">
      <c r="A102" s="5" t="s">
        <v>4</v>
      </c>
      <c r="B102" s="5" t="s">
        <v>45</v>
      </c>
      <c r="C102" s="5" t="s">
        <v>46</v>
      </c>
      <c r="G102" t="s">
        <v>57</v>
      </c>
      <c r="H102" t="s">
        <v>36</v>
      </c>
      <c r="I102" t="s">
        <v>37</v>
      </c>
    </row>
    <row r="103" spans="1:10" x14ac:dyDescent="0.3">
      <c r="A103" s="3">
        <v>298</v>
      </c>
      <c r="B103" s="1" cm="1">
        <f t="array" ref="B103">(3/2)*Tabella3397120143[Rydberg R]</f>
        <v>12.471693000000002</v>
      </c>
      <c r="C103" s="1" cm="1">
        <f t="array" ref="C103">(3/2)*Tabella3397120143[Rydberg R]</f>
        <v>12.471693000000002</v>
      </c>
      <c r="G103" s="8">
        <f>K65</f>
        <v>1077.5318782068534</v>
      </c>
      <c r="H103" s="29">
        <f>K66</f>
        <v>2009.0800108993228</v>
      </c>
      <c r="I103" s="29">
        <f>K67</f>
        <v>2459.7786897457527</v>
      </c>
    </row>
    <row r="104" spans="1:10" x14ac:dyDescent="0.3">
      <c r="A104" s="3">
        <v>400</v>
      </c>
      <c r="B104" s="1" cm="1">
        <f t="array" ref="B104">(3/2)*Tabella3397120143[Rydberg R]</f>
        <v>12.471693000000002</v>
      </c>
      <c r="C104" s="1" cm="1">
        <f t="array" ref="C104">(3/2)*Tabella3397120143[Rydberg R]</f>
        <v>12.471693000000002</v>
      </c>
      <c r="F104" s="5" t="s">
        <v>4</v>
      </c>
      <c r="G104" s="5" t="s">
        <v>47</v>
      </c>
      <c r="H104" s="5" t="s">
        <v>48</v>
      </c>
      <c r="I104" s="5" t="s">
        <v>49</v>
      </c>
      <c r="J104" s="5" t="s">
        <v>56</v>
      </c>
    </row>
    <row r="105" spans="1:10" x14ac:dyDescent="0.3">
      <c r="A105" s="3">
        <v>500</v>
      </c>
      <c r="B105" s="1" cm="1">
        <f t="array" ref="B105">(3/2)*Tabella3397120143[Rydberg R]</f>
        <v>12.471693000000002</v>
      </c>
      <c r="C105" s="1" cm="1">
        <f t="array" ref="C105">(3/2)*Tabella3397120143[Rydberg R]</f>
        <v>12.471693000000002</v>
      </c>
      <c r="F105" s="3">
        <v>298</v>
      </c>
      <c r="G105" s="12" cm="1">
        <f t="array" ref="G105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0.37132191414640425</v>
      </c>
      <c r="H105" s="12" cm="1">
        <f t="array" ref="H105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5.3780755748168457E-2</v>
      </c>
      <c r="I105" s="12" cm="1">
        <f t="array" ref="I105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1.7733421350447517E-2</v>
      </c>
      <c r="J105" s="1" cm="1">
        <f t="array" ref="J105">SUM(Tabella1629107130153[[#This Row],[Cv vib1]:[Cv vib3]])*Tabella3397120143[Rydberg R]</f>
        <v>3.6819438528852535</v>
      </c>
    </row>
    <row r="106" spans="1:10" x14ac:dyDescent="0.3">
      <c r="A106" s="3">
        <v>600</v>
      </c>
      <c r="B106" s="1" cm="1">
        <f t="array" ref="B106">(3/2)*Tabella3397120143[Rydberg R]</f>
        <v>12.471693000000002</v>
      </c>
      <c r="C106" s="1" cm="1">
        <f t="array" ref="C106">(3/2)*Tabella3397120143[Rydberg R]</f>
        <v>12.471693000000002</v>
      </c>
      <c r="F106" s="3">
        <v>400</v>
      </c>
      <c r="G106" s="12" cm="1">
        <f t="array" ref="G106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0.56446936183327001</v>
      </c>
      <c r="H106" s="12" cm="1">
        <f t="array" ref="H106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0.16837734317796194</v>
      </c>
      <c r="I106" s="12" cm="1">
        <f t="array" ref="I106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8.106948864484835E-2</v>
      </c>
      <c r="J106" s="1" cm="1">
        <f t="array" ref="J106">Tabella1629107130153[[#This Row],[Cv vib1]]*Tabella3397120143[Rydberg R]</f>
        <v>4.6932590591269738</v>
      </c>
    </row>
    <row r="107" spans="1:10" x14ac:dyDescent="0.3">
      <c r="A107" s="3">
        <v>700</v>
      </c>
      <c r="B107" s="1" cm="1">
        <f t="array" ref="B107">(3/2)*Tabella3397120143[Rydberg R]</f>
        <v>12.471693000000002</v>
      </c>
      <c r="C107" s="1" cm="1">
        <f t="array" ref="C107">(3/2)*Tabella3397120143[Rydberg R]</f>
        <v>12.471693000000002</v>
      </c>
      <c r="F107" s="3">
        <v>500</v>
      </c>
      <c r="G107" s="12" cm="1">
        <f t="array" ref="G107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0.68862223625111429</v>
      </c>
      <c r="H107" s="12" cm="1">
        <f t="array" ref="H107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0.30113025949423555</v>
      </c>
      <c r="I107" s="12" cm="1">
        <f t="array" ref="I107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0.17934177367795584</v>
      </c>
      <c r="J107" s="1" cm="1">
        <f t="array" ref="J107">Tabella1629107130153[[#This Row],[Cv vib1]]*Tabella3397120143[Rydberg R]</f>
        <v>5.7255234156649131</v>
      </c>
    </row>
    <row r="108" spans="1:10" x14ac:dyDescent="0.3">
      <c r="A108" s="3">
        <v>800</v>
      </c>
      <c r="B108" s="1" cm="1">
        <f t="array" ref="B108">(3/2)*Tabella3397120143[Rydberg R]</f>
        <v>12.471693000000002</v>
      </c>
      <c r="C108" s="1" cm="1">
        <f t="array" ref="C108">(3/2)*Tabella3397120143[Rydberg R]</f>
        <v>12.471693000000002</v>
      </c>
      <c r="F108" s="3">
        <v>600</v>
      </c>
      <c r="G108" s="12" cm="1">
        <f t="array" ref="G108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0.76959370080031642</v>
      </c>
      <c r="H108" s="12" cm="1">
        <f t="array" ref="H108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0.42319558399372748</v>
      </c>
      <c r="I108" s="12" cm="1">
        <f t="array" ref="I108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0.28811325599774418</v>
      </c>
      <c r="J108" s="1" cm="1">
        <f t="array" ref="J108">Tabella1629107130153[[#This Row],[Cv vib1]]*Tabella3397120143[Rydberg R]</f>
        <v>6.3987575807436006</v>
      </c>
    </row>
    <row r="109" spans="1:10" x14ac:dyDescent="0.3">
      <c r="A109" s="3">
        <v>900</v>
      </c>
      <c r="B109" s="1" cm="1">
        <f t="array" ref="B109">(3/2)*Tabella3397120143[Rydberg R]</f>
        <v>12.471693000000002</v>
      </c>
      <c r="C109" s="1" cm="1">
        <f t="array" ref="C109">(3/2)*Tabella3397120143[Rydberg R]</f>
        <v>12.471693000000002</v>
      </c>
      <c r="F109" s="3">
        <v>700</v>
      </c>
      <c r="G109" s="12" cm="1">
        <f t="array" ref="G109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0.82390252861011659</v>
      </c>
      <c r="H109" s="12" cm="1">
        <f t="array" ref="H109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0.52482795237634916</v>
      </c>
      <c r="I109" s="12" cm="1">
        <f t="array" ref="I109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0.39062189964660143</v>
      </c>
      <c r="J109" s="1" cm="1">
        <f t="array" ref="J109">Tabella1629107130153[[#This Row],[Cv vib1]]*Tabella3397120143[Rydberg R]</f>
        <v>6.8503062658327281</v>
      </c>
    </row>
    <row r="110" spans="1:10" x14ac:dyDescent="0.3">
      <c r="A110" s="3">
        <v>1000</v>
      </c>
      <c r="B110" s="1" cm="1">
        <f t="array" ref="B110">(3/2)*Tabella3397120143[Rydberg R]</f>
        <v>12.471693000000002</v>
      </c>
      <c r="C110" s="1" cm="1">
        <f t="array" ref="C110">(3/2)*Tabella3397120143[Rydberg R]</f>
        <v>12.471693000000002</v>
      </c>
      <c r="F110" s="3">
        <v>800</v>
      </c>
      <c r="G110" s="12" cm="1">
        <f t="array" ref="G110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0.86160383472234447</v>
      </c>
      <c r="H110" s="12" cm="1">
        <f t="array" ref="H110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0.6062725827315385</v>
      </c>
      <c r="I110" s="12" cm="1">
        <f t="array" ref="I110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0.48013599159350623</v>
      </c>
      <c r="J110" s="1" cm="1">
        <f t="array" ref="J110">Tabella1629107130153[[#This Row],[Cv vib1]]*Tabella3397120143[Rydberg R]</f>
        <v>7.1637723428532141</v>
      </c>
    </row>
    <row r="111" spans="1:10" x14ac:dyDescent="0.3">
      <c r="A111" s="3">
        <v>1100</v>
      </c>
      <c r="B111" s="1" cm="1">
        <f t="array" ref="B111">(3/2)*Tabella3397120143[Rydberg R]</f>
        <v>12.471693000000002</v>
      </c>
      <c r="C111" s="1" cm="1">
        <f t="array" ref="C111">(3/2)*Tabella3397120143[Rydberg R]</f>
        <v>12.471693000000002</v>
      </c>
      <c r="F111" s="3">
        <v>900</v>
      </c>
      <c r="G111" s="12" cm="1">
        <f t="array" ref="G111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0.88864549527723713</v>
      </c>
      <c r="H111" s="12" cm="1">
        <f t="array" ref="H111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0.67080874364548559</v>
      </c>
      <c r="I111" s="12" cm="1">
        <f t="array" ref="I111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0.55556641329392442</v>
      </c>
      <c r="J111" s="1" cm="1">
        <f t="array" ref="J111">Tabella1629107130153[[#This Row],[Cv vib1]]*Tabella3397120143[Rydberg R]</f>
        <v>7.3886092019537681</v>
      </c>
    </row>
    <row r="112" spans="1:10" x14ac:dyDescent="0.3">
      <c r="A112" s="3">
        <v>1200</v>
      </c>
      <c r="B112" s="1" cm="1">
        <f t="array" ref="B112">(3/2)*Tabella3397120143[Rydberg R]</f>
        <v>12.471693000000002</v>
      </c>
      <c r="C112" s="1" cm="1">
        <f t="array" ref="C112">(3/2)*Tabella3397120143[Rydberg R]</f>
        <v>12.471693000000002</v>
      </c>
      <c r="F112" s="3">
        <v>1000</v>
      </c>
      <c r="G112" s="12" cm="1">
        <f t="array" ref="G112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0.908612148557565</v>
      </c>
      <c r="H112" s="12" cm="1">
        <f t="array" ref="H112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0.72200243218692428</v>
      </c>
      <c r="I112" s="12" cm="1">
        <f t="array" ref="I112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0.61817653546194884</v>
      </c>
      <c r="J112" s="1" cm="1">
        <f t="array" ref="J112">Tabella1629107130153[[#This Row],[Cv vib1]]*Tabella3397120143[Rydberg R]</f>
        <v>7.55462118192023</v>
      </c>
    </row>
    <row r="113" spans="1:10" x14ac:dyDescent="0.3">
      <c r="A113" s="3">
        <v>1300</v>
      </c>
      <c r="B113" s="1" cm="1">
        <f t="array" ref="B113">(3/2)*Tabella3397120143[Rydberg R]</f>
        <v>12.471693000000002</v>
      </c>
      <c r="C113" s="1" cm="1">
        <f t="array" ref="C113">(3/2)*Tabella3397120143[Rydberg R]</f>
        <v>12.471693000000002</v>
      </c>
      <c r="F113" s="3">
        <v>1100</v>
      </c>
      <c r="G113" s="12" cm="1">
        <f t="array" ref="G113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0.92373136037554171</v>
      </c>
      <c r="H113" s="12" cm="1">
        <f t="array" ref="H113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0.76288608134944369</v>
      </c>
      <c r="I113" s="12" cm="1">
        <f t="array" ref="I113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0.66991888824909329</v>
      </c>
      <c r="J113" s="1" cm="1">
        <f t="array" ref="J113">Tabella1629107130153[[#This Row],[Cv vib1]]*Tabella3397120143[Rydberg R]</f>
        <v>7.6803292940507477</v>
      </c>
    </row>
    <row r="114" spans="1:10" x14ac:dyDescent="0.3">
      <c r="A114" s="3">
        <v>1400</v>
      </c>
      <c r="B114" s="1" cm="1">
        <f t="array" ref="B114">(3/2)*Tabella3397120143[Rydberg R]</f>
        <v>12.471693000000002</v>
      </c>
      <c r="C114" s="1" cm="1">
        <f t="array" ref="C114">(3/2)*Tabella3397120143[Rydberg R]</f>
        <v>12.471693000000002</v>
      </c>
      <c r="F114" s="3">
        <v>1200</v>
      </c>
      <c r="G114" s="12" cm="1">
        <f t="array" ref="G114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0.9354327194395704</v>
      </c>
      <c r="H114" s="12" cm="1">
        <f t="array" ref="H114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0.79583575014085861</v>
      </c>
      <c r="I114" s="12" cm="1">
        <f t="array" ref="I114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0.71273653829193151</v>
      </c>
      <c r="J114" s="1" cm="1">
        <f t="array" ref="J114">Tabella1629107130153[[#This Row],[Cv vib1]]*Tabella3397120143[Rydberg R]</f>
        <v>7.7776197993369705</v>
      </c>
    </row>
    <row r="115" spans="1:10" x14ac:dyDescent="0.3">
      <c r="A115" s="3">
        <v>1500</v>
      </c>
      <c r="B115" s="1" cm="1">
        <f t="array" ref="B115">(3/2)*Tabella3397120143[Rydberg R]</f>
        <v>12.471693000000002</v>
      </c>
      <c r="C115" s="1" cm="1">
        <f t="array" ref="C115">(3/2)*Tabella3397120143[Rydberg R]</f>
        <v>12.471693000000002</v>
      </c>
      <c r="F115" s="3">
        <v>1300</v>
      </c>
      <c r="G115" s="12" cm="1">
        <f t="array" ref="G115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0.94466211671607536</v>
      </c>
      <c r="H115" s="12" cm="1">
        <f t="array" ref="H115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0.82265696136940258</v>
      </c>
      <c r="I115" s="12" cm="1">
        <f t="array" ref="I115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0.74832219431843716</v>
      </c>
      <c r="J115" s="1" cm="1">
        <f t="array" ref="J115">Tabella1629107130153[[#This Row],[Cv vib1]]*Tabella3397120143[Rydberg R]</f>
        <v>7.8543572722753741</v>
      </c>
    </row>
    <row r="116" spans="1:10" x14ac:dyDescent="0.3">
      <c r="A116" s="3">
        <v>1600</v>
      </c>
      <c r="B116" s="1" cm="1">
        <f t="array" ref="B116">(3/2)*Tabella3397120143[Rydberg R]</f>
        <v>12.471693000000002</v>
      </c>
      <c r="C116" s="1" cm="1">
        <f t="array" ref="C116">(3/2)*Tabella3397120143[Rydberg R]</f>
        <v>12.471693000000002</v>
      </c>
      <c r="F116" s="3">
        <v>1400</v>
      </c>
      <c r="G116" s="12" cm="1">
        <f t="array" ref="G116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0.95206306351370729</v>
      </c>
      <c r="H116" s="12" cm="1">
        <f t="array" ref="H116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0.84470885532001805</v>
      </c>
      <c r="I116" s="12" cm="1">
        <f t="array" ref="I116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0.77807023104146744</v>
      </c>
      <c r="J116" s="1" cm="1">
        <f t="array" ref="J116">Tabella1629107130153[[#This Row],[Cv vib1]]*Tabella3397120143[Rydberg R]</f>
        <v>7.9158921631883068</v>
      </c>
    </row>
    <row r="117" spans="1:10" x14ac:dyDescent="0.3">
      <c r="A117" s="3">
        <v>1700</v>
      </c>
      <c r="B117" s="1" cm="1">
        <f t="array" ref="B117">(3/2)*Tabella3397120143[Rydberg R]</f>
        <v>12.471693000000002</v>
      </c>
      <c r="C117" s="1" cm="1">
        <f t="array" ref="C117">(3/2)*Tabella3397120143[Rydberg R]</f>
        <v>12.471693000000002</v>
      </c>
      <c r="F117" s="3">
        <v>1500</v>
      </c>
      <c r="G117" s="12" cm="1">
        <f t="array" ref="G117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0.95808445027679257</v>
      </c>
      <c r="H117" s="12" cm="1">
        <f t="array" ref="H117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0.86301513879485359</v>
      </c>
      <c r="I117" s="12" cm="1">
        <f t="array" ref="I117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0.80310056293094423</v>
      </c>
      <c r="J117" s="1" cm="1">
        <f t="array" ref="J117">Tabella1629107130153[[#This Row],[Cv vib1]]*Tabella3397120143[Rydberg R]</f>
        <v>7.9659567546172818</v>
      </c>
    </row>
    <row r="118" spans="1:10" x14ac:dyDescent="0.3">
      <c r="A118" s="3">
        <v>1800</v>
      </c>
      <c r="B118" s="1" cm="1">
        <f t="array" ref="B118">(3/2)*Tabella3397120143[Rydberg R]</f>
        <v>12.471693000000002</v>
      </c>
      <c r="C118" s="1" cm="1">
        <f t="array" ref="C118">(3/2)*Tabella3397120143[Rydberg R]</f>
        <v>12.471693000000002</v>
      </c>
      <c r="F118" s="3">
        <v>1600</v>
      </c>
      <c r="G118" s="12" cm="1">
        <f t="array" ref="G118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0.96304650272560943</v>
      </c>
      <c r="H118" s="12" cm="1">
        <f t="array" ref="H118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0.87835111713018843</v>
      </c>
      <c r="I118" s="12" cm="1">
        <f t="array" ref="I118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0.82430314418231554</v>
      </c>
      <c r="J118" s="1" cm="1">
        <f t="array" ref="J118">Tabella1629107130153[[#This Row],[Cv vib1]]*Tabella3397120143[Rydberg R]</f>
        <v>8.0072135511449769</v>
      </c>
    </row>
    <row r="119" spans="1:10" x14ac:dyDescent="0.3">
      <c r="A119" s="3">
        <v>1900</v>
      </c>
      <c r="B119" s="1" cm="1">
        <f t="array" ref="B119">(3/2)*Tabella3397120143[Rydberg R]</f>
        <v>12.471693000000002</v>
      </c>
      <c r="C119" s="1" cm="1">
        <f t="array" ref="C119">(3/2)*Tabella3397120143[Rydberg R]</f>
        <v>12.471693000000002</v>
      </c>
      <c r="F119" s="3">
        <v>1700</v>
      </c>
      <c r="G119" s="12" cm="1">
        <f t="array" ref="G119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0.96718229001008527</v>
      </c>
      <c r="H119" s="12" cm="1">
        <f t="array" ref="H119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0.89130862792769261</v>
      </c>
      <c r="I119" s="12" cm="1">
        <f t="array" ref="I119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0.84238312652321579</v>
      </c>
      <c r="J119" s="1" cm="1">
        <f t="array" ref="J119">Tabella1629107130153[[#This Row],[Cv vib1]]*Tabella3397120143[Rydberg R]</f>
        <v>8.0416003973618349</v>
      </c>
    </row>
    <row r="120" spans="1:10" x14ac:dyDescent="0.3">
      <c r="A120" s="3">
        <v>2000</v>
      </c>
      <c r="B120" s="1" cm="1">
        <f t="array" ref="B120">(3/2)*Tabella3397120143[Rydberg R]</f>
        <v>12.471693000000002</v>
      </c>
      <c r="C120" s="1" cm="1">
        <f t="array" ref="C120">(3/2)*Tabella3397120143[Rydberg R]</f>
        <v>12.471693000000002</v>
      </c>
      <c r="F120" s="3">
        <v>1800</v>
      </c>
      <c r="G120" s="12" cm="1">
        <f t="array" ref="G120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0.97066452707894313</v>
      </c>
      <c r="H120" s="12" cm="1">
        <f t="array" ref="H120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0.90234353859287042</v>
      </c>
      <c r="I120" s="12" cm="1">
        <f t="array" ref="I120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0.85789999296965846</v>
      </c>
      <c r="J120" s="1" cm="1">
        <f t="array" ref="J120">Tabella1629107130153[[#This Row],[Cv vib1]]*Tabella3397120143[Rydberg R]</f>
        <v>8.0705533251458448</v>
      </c>
    </row>
    <row r="121" spans="1:10" x14ac:dyDescent="0.3">
      <c r="F121" s="3">
        <v>1900</v>
      </c>
      <c r="G121" s="12" cm="1">
        <f t="array" ref="G121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0.97362329354232491</v>
      </c>
      <c r="H121" s="12" cm="1">
        <f t="array" ref="H121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0.91181028856975155</v>
      </c>
      <c r="I121" s="12" cm="1">
        <f t="array" ref="I121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0.87129932690311185</v>
      </c>
      <c r="J121" s="1" cm="1">
        <f t="array" ref="J121">Tabella1629107130153[[#This Row],[Cv vib1]]*Tabella3397120143[Rydberg R]</f>
        <v>8.0951538764725068</v>
      </c>
    </row>
    <row r="122" spans="1:10" x14ac:dyDescent="0.3">
      <c r="F122" s="3">
        <v>2000</v>
      </c>
      <c r="G122" s="12" cm="1">
        <f t="array" ref="G122">(    POWER(Tabella31108131154[Theta vib1],2)*EXP(Tabella31108131154[Theta vib1]/Tabella1629107130153[[#This Row],[Temperatura]])    )   /       (   POWER(Tabella1629107130153[[#This Row],[Temperatura]],2)*POWER(EXP(Tabella31108131154[Theta vib1]/Tabella1629107130153[[#This Row],[Temperatura]])-1,2)  )</f>
        <v>0.97615800189245949</v>
      </c>
      <c r="H122" s="12" cm="1">
        <f t="array" ref="H122">(    POWER(Tabella31108131154[Theta vib2],2)*EXP(Tabella31108131154[Theta vib2]/Tabella1629107130153[[#This Row],[Temperatura]])    )   /       (   POWER(Tabella1629107130153[[#This Row],[Temperatura]],2)*POWER(EXP(Tabella31108131154[Theta vib2]/Tabella1629107130153[[#This Row],[Temperatura]])-1,2)  )</f>
        <v>0.91998704236399709</v>
      </c>
      <c r="I122" s="12" cm="1">
        <f t="array" ref="I122">(    POWER(Tabella31108131154[Theta vib3],2)*EXP(Tabella31108131154[Theta vib3]/Tabella1629107130153[[#This Row],[Temperatura]])    )   /       (   POWER(Tabella1629107130153[[#This Row],[Temperatura]],2)*POWER(EXP(Tabella31108131154[Theta vib3]/Tabella1629107130153[[#This Row],[Temperatura]])-1,2)  )</f>
        <v>0.8829378216721081</v>
      </c>
      <c r="J122" s="1" cm="1">
        <f t="array" ref="J122">Tabella1629107130153[[#This Row],[Cv vib1]]*Tabella3397120143[Rydberg R]</f>
        <v>8.116228612730783</v>
      </c>
    </row>
    <row r="126" spans="1:10" ht="42.6" x14ac:dyDescent="0.85">
      <c r="A126" s="13" t="s">
        <v>80</v>
      </c>
    </row>
    <row r="128" spans="1:10" ht="28.8" x14ac:dyDescent="0.55000000000000004">
      <c r="A128" s="14" t="s">
        <v>81</v>
      </c>
    </row>
    <row r="131" spans="1:4" x14ac:dyDescent="0.3">
      <c r="A131" t="s">
        <v>71</v>
      </c>
      <c r="B131" t="s">
        <v>72</v>
      </c>
      <c r="C131" t="s">
        <v>73</v>
      </c>
      <c r="D131" t="s">
        <v>74</v>
      </c>
    </row>
    <row r="132" spans="1:4" x14ac:dyDescent="0.3">
      <c r="A132" t="s">
        <v>82</v>
      </c>
      <c r="B132" s="1">
        <f>C103</f>
        <v>12.471693000000002</v>
      </c>
      <c r="C132" s="1">
        <f>(2.981*4.184)</f>
        <v>12.472504000000001</v>
      </c>
      <c r="D132" s="17">
        <f>ABS(Tabella205456117140163[[#This Row],[My value]]-Tabella205456117140163[[#This Row],[Gaussian]])/Tabella205456117140163[[#This Row],[Gaussian]]</f>
        <v>6.5023029858221328E-5</v>
      </c>
    </row>
    <row r="133" spans="1:4" x14ac:dyDescent="0.3">
      <c r="A133" t="s">
        <v>83</v>
      </c>
      <c r="B133" s="1">
        <f>J105</f>
        <v>3.6819438528852535</v>
      </c>
      <c r="C133" s="1">
        <f>0.881*4.184</f>
        <v>3.6861040000000003</v>
      </c>
      <c r="D133" s="17">
        <f>ABS(Tabella205456117140163[[#This Row],[My value]]-Tabella205456117140163[[#This Row],[Gaussian]])/Tabella205456117140163[[#This Row],[Gaussian]]</f>
        <v>1.1286027509659984E-3</v>
      </c>
    </row>
    <row r="134" spans="1:4" x14ac:dyDescent="0.3">
      <c r="A134" t="s">
        <v>84</v>
      </c>
      <c r="B134" s="1">
        <f>B103</f>
        <v>12.471693000000002</v>
      </c>
      <c r="C134" s="1">
        <f>2.981*4.184</f>
        <v>12.472504000000001</v>
      </c>
      <c r="D134" s="17">
        <f>ABS(Tabella205456117140163[[#This Row],[My value]]-Tabella205456117140163[[#This Row],[Gaussian]])/Tabella205456117140163[[#This Row],[Gaussian]]</f>
        <v>6.5023029858221328E-5</v>
      </c>
    </row>
  </sheetData>
  <phoneticPr fontId="1" type="noConversion"/>
  <pageMargins left="0.7" right="0.7" top="0.75" bottom="0.75" header="0.3" footer="0.3"/>
  <drawing r:id="rId1"/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A595-8BC8-411C-977D-36D42CD16AEC}">
  <dimension ref="B9:X154"/>
  <sheetViews>
    <sheetView tabSelected="1" topLeftCell="A76" zoomScale="70" zoomScaleNormal="70" workbookViewId="0">
      <selection activeCell="T147" sqref="T147"/>
    </sheetView>
  </sheetViews>
  <sheetFormatPr defaultRowHeight="14.4" x14ac:dyDescent="0.3"/>
  <cols>
    <col min="2" max="7" width="10.5546875" customWidth="1"/>
    <col min="9" max="10" width="10.109375" customWidth="1"/>
    <col min="11" max="11" width="10.33203125" customWidth="1"/>
    <col min="12" max="12" width="9.6640625" customWidth="1"/>
    <col min="21" max="22" width="11.21875" customWidth="1"/>
    <col min="23" max="23" width="13.33203125" customWidth="1"/>
    <col min="24" max="24" width="12.109375" customWidth="1"/>
  </cols>
  <sheetData>
    <row r="9" spans="2:24" x14ac:dyDescent="0.3">
      <c r="B9" t="s">
        <v>4</v>
      </c>
      <c r="C9" t="s">
        <v>107</v>
      </c>
      <c r="D9" t="s">
        <v>99</v>
      </c>
      <c r="E9" t="s">
        <v>100</v>
      </c>
      <c r="F9" t="s">
        <v>101</v>
      </c>
      <c r="T9" t="s">
        <v>4</v>
      </c>
      <c r="U9" t="s">
        <v>107</v>
      </c>
      <c r="V9" t="s">
        <v>99</v>
      </c>
      <c r="W9" t="s">
        <v>100</v>
      </c>
      <c r="X9" t="s">
        <v>101</v>
      </c>
    </row>
    <row r="10" spans="2:24" x14ac:dyDescent="0.3">
      <c r="B10">
        <v>298</v>
      </c>
      <c r="C10" s="1">
        <f>metano!C38</f>
        <v>2521877.4627657244</v>
      </c>
      <c r="D10" s="1">
        <f>acqua!C38</f>
        <v>3001780.6884724037</v>
      </c>
      <c r="E10" s="1">
        <f>'monossido di carbonio'!C38</f>
        <v>5828871.0614144932</v>
      </c>
      <c r="F10" s="1">
        <f>'diossido di azoto'!C38</f>
        <v>12251683.935067885</v>
      </c>
      <c r="T10">
        <v>298</v>
      </c>
      <c r="U10" s="1">
        <f>metano!E38</f>
        <v>146.27541669686576</v>
      </c>
      <c r="V10" s="1">
        <f>acqua!E38</f>
        <v>43.604478404705191</v>
      </c>
      <c r="W10" s="1">
        <f>'monossido di carbonio'!E38</f>
        <v>108.96498822795705</v>
      </c>
      <c r="X10" s="1">
        <f>'diossido di azoto'!E38</f>
        <v>2248.1434137803572</v>
      </c>
    </row>
    <row r="11" spans="2:24" x14ac:dyDescent="0.3">
      <c r="B11">
        <v>400</v>
      </c>
      <c r="C11" s="1">
        <f>metano!C39</f>
        <v>5264211.124957609</v>
      </c>
      <c r="D11" s="1">
        <f>acqua!C39</f>
        <v>6265969.5120988935</v>
      </c>
      <c r="E11" s="1">
        <f>'monossido di carbonio'!C39</f>
        <v>12167287.404119264</v>
      </c>
      <c r="F11" s="1">
        <f>'diossido di azoto'!C39</f>
        <v>25574379.335511845</v>
      </c>
      <c r="T11">
        <v>400</v>
      </c>
      <c r="U11" s="1">
        <f>metano!E39</f>
        <v>227.47670812841204</v>
      </c>
      <c r="V11" s="1">
        <f>acqua!E39</f>
        <v>67.810459413795002</v>
      </c>
      <c r="W11" s="1">
        <f>'monossido di carbonio'!E39</f>
        <v>146.26172916504302</v>
      </c>
      <c r="X11" s="1">
        <f>'diossido di azoto'!E39</f>
        <v>3496.1463430805184</v>
      </c>
    </row>
    <row r="12" spans="2:24" x14ac:dyDescent="0.3">
      <c r="B12">
        <v>500</v>
      </c>
      <c r="C12" s="1">
        <f>metano!C40</f>
        <v>9196198.377590565</v>
      </c>
      <c r="D12" s="1">
        <f>acqua!C40</f>
        <v>10946198.260933122</v>
      </c>
      <c r="E12" s="1">
        <f>'monossido di carbonio'!C40</f>
        <v>21255376.357334509</v>
      </c>
      <c r="F12" s="1">
        <f>'diossido di azoto'!C40</f>
        <v>44676602.091070868</v>
      </c>
      <c r="T12">
        <v>500</v>
      </c>
      <c r="U12" s="1">
        <f>metano!E40</f>
        <v>317.90836417062752</v>
      </c>
      <c r="V12" s="1">
        <f>acqua!E40</f>
        <v>94.767998021709317</v>
      </c>
      <c r="W12" s="1">
        <f>'monossido di carbonio'!E40</f>
        <v>182.8271614563038</v>
      </c>
      <c r="X12" s="1">
        <f>'diossido di azoto'!E40</f>
        <v>4886.0130515095461</v>
      </c>
    </row>
    <row r="13" spans="2:24" x14ac:dyDescent="0.3">
      <c r="B13">
        <v>600</v>
      </c>
      <c r="C13" s="1">
        <f>metano!C41</f>
        <v>14506460.04873226</v>
      </c>
      <c r="D13" s="1">
        <f>acqua!C41</f>
        <v>17266981.554538038</v>
      </c>
      <c r="E13" s="1">
        <f>'monossido di carbonio'!C41</f>
        <v>33529101.405621</v>
      </c>
      <c r="F13" s="1">
        <f>'diossido di azoto'!C41</f>
        <v>70474702.34293066</v>
      </c>
      <c r="T13">
        <v>600</v>
      </c>
      <c r="U13" s="1">
        <f>metano!E41</f>
        <v>417.90139746196849</v>
      </c>
      <c r="V13" s="1">
        <f>acqua!E41</f>
        <v>124.57576859062863</v>
      </c>
      <c r="W13" s="1">
        <f>'monossido di carbonio'!E41</f>
        <v>219.39259374756455</v>
      </c>
      <c r="X13" s="1">
        <f>'diossido di azoto'!E41</f>
        <v>6422.8309549834457</v>
      </c>
    </row>
    <row r="14" spans="2:24" x14ac:dyDescent="0.3">
      <c r="B14">
        <v>700</v>
      </c>
      <c r="C14" s="1">
        <f>metano!C42</f>
        <v>21326933.774790563</v>
      </c>
      <c r="D14" s="1">
        <f>acqua!C42</f>
        <v>25385364.235456251</v>
      </c>
      <c r="E14" s="1">
        <f>'monossido di carbonio'!C42</f>
        <v>49293412.921121113</v>
      </c>
      <c r="F14" s="1">
        <f>'diossido di azoto'!C42</f>
        <v>103609654.22415982</v>
      </c>
      <c r="T14">
        <v>700</v>
      </c>
      <c r="U14" s="1">
        <f>metano!E42</f>
        <v>526.61594892147468</v>
      </c>
      <c r="V14" s="1">
        <f>acqua!E42</f>
        <v>156.98341041069682</v>
      </c>
      <c r="W14" s="1">
        <f>'monossido di carbonio'!E42</f>
        <v>255.9580260388253</v>
      </c>
      <c r="X14" s="1">
        <f>'diossido di azoto'!E42</f>
        <v>8093.6920495190352</v>
      </c>
    </row>
    <row r="15" spans="2:24" x14ac:dyDescent="0.3">
      <c r="B15">
        <v>800</v>
      </c>
      <c r="C15" s="1">
        <f>metano!C43</f>
        <v>29778875.0724416</v>
      </c>
      <c r="D15" s="1">
        <f>acqua!C43</f>
        <v>35445676.261706412</v>
      </c>
      <c r="E15" s="1">
        <f>'monossido di carbonio'!C43</f>
        <v>68828571.456787363</v>
      </c>
      <c r="F15" s="1">
        <f>'diossido di azoto'!C43</f>
        <v>144670536.42222068</v>
      </c>
      <c r="T15">
        <v>800</v>
      </c>
      <c r="U15" s="1">
        <f>metano!E43</f>
        <v>643.4012915183655</v>
      </c>
      <c r="V15" s="1">
        <f>acqua!E43</f>
        <v>191.79694274747627</v>
      </c>
      <c r="W15" s="1">
        <f>'monossido di carbonio'!E43</f>
        <v>292.52345833008604</v>
      </c>
      <c r="X15" s="1">
        <f>'diossido di azoto'!E43</f>
        <v>9888.5951488510254</v>
      </c>
    </row>
    <row r="16" spans="2:24" x14ac:dyDescent="0.3">
      <c r="B16">
        <v>900</v>
      </c>
      <c r="C16" s="1">
        <f>metano!C44</f>
        <v>39975103.230146907</v>
      </c>
      <c r="D16" s="1">
        <f>acqua!C44</f>
        <v>47582205.982501037</v>
      </c>
      <c r="E16" s="1">
        <f>'monossido di carbonio'!C44</f>
        <v>92395338.725032106</v>
      </c>
      <c r="F16" s="1">
        <f>'diossido di azoto'!C44</f>
        <v>194205443.07904336</v>
      </c>
      <c r="T16">
        <v>900</v>
      </c>
      <c r="U16" s="1">
        <f>metano!E44</f>
        <v>767.73388993338096</v>
      </c>
      <c r="V16" s="1">
        <f>acqua!E44</f>
        <v>228.86030052155525</v>
      </c>
      <c r="W16" s="1">
        <f>'monossido di carbonio'!E44</f>
        <v>329.08889062134682</v>
      </c>
      <c r="X16" s="1">
        <f>'diossido di azoto'!E44</f>
        <v>11799.4939078966</v>
      </c>
    </row>
    <row r="17" spans="2:24" x14ac:dyDescent="0.3">
      <c r="B17">
        <v>1000</v>
      </c>
      <c r="C17" s="1">
        <f>metano!C45</f>
        <v>52021553.871447526</v>
      </c>
      <c r="D17" s="1">
        <f>acqua!C45</f>
        <v>61921048.14814581</v>
      </c>
      <c r="E17" s="1">
        <f>'monossido di carbonio'!C45</f>
        <v>120238566.07154621</v>
      </c>
      <c r="F17" s="1">
        <f>'diossido di azoto'!C45</f>
        <v>252729026.3917551</v>
      </c>
      <c r="T17">
        <v>1000</v>
      </c>
      <c r="U17" s="1">
        <f>metano!E45</f>
        <v>899.18064040388253</v>
      </c>
      <c r="V17" s="1">
        <f>acqua!E45</f>
        <v>268.04437616249282</v>
      </c>
      <c r="W17" s="1">
        <f>'monossido di carbonio'!E45</f>
        <v>365.6543229126076</v>
      </c>
      <c r="X17" s="1">
        <f>'diossido di azoto'!E45</f>
        <v>13819.731846753348</v>
      </c>
    </row>
    <row r="18" spans="2:24" x14ac:dyDescent="0.3">
      <c r="B18">
        <v>1100</v>
      </c>
      <c r="C18" s="1">
        <f>metano!C46</f>
        <v>66018405.855081007</v>
      </c>
      <c r="D18" s="1">
        <f>acqua!C46</f>
        <v>78581445.254751191</v>
      </c>
      <c r="E18" s="1">
        <f>'monossido di carbonio'!C46</f>
        <v>152589799.10442713</v>
      </c>
      <c r="F18" s="1">
        <f>'diossido di azoto'!C46</f>
        <v>320727971.2736091</v>
      </c>
      <c r="T18">
        <v>1100</v>
      </c>
      <c r="U18" s="1">
        <f>metano!E46</f>
        <v>1037.3754729347916</v>
      </c>
      <c r="V18" s="1">
        <f>acqua!E46</f>
        <v>309.24004476362012</v>
      </c>
      <c r="W18" s="1">
        <f>'monossido di carbonio'!E46</f>
        <v>402.21975520386832</v>
      </c>
      <c r="X18" s="1">
        <f>'diossido di azoto'!E46</f>
        <v>15943.682744235221</v>
      </c>
    </row>
    <row r="19" spans="2:24" x14ac:dyDescent="0.3">
      <c r="B19">
        <v>1200</v>
      </c>
      <c r="C19" s="1">
        <f>metano!C47</f>
        <v>82060930.171762764</v>
      </c>
      <c r="D19" s="1">
        <f>acqua!C47</f>
        <v>97676797.982695296</v>
      </c>
      <c r="E19" s="1">
        <f>'monossido di carbonio'!C47</f>
        <v>189669239.76804861</v>
      </c>
      <c r="F19" s="1">
        <f>'diossido di azoto'!C47</f>
        <v>398665119.43031341</v>
      </c>
      <c r="T19">
        <v>1200</v>
      </c>
      <c r="U19" s="1">
        <f>metano!E47</f>
        <v>1182.0036480507736</v>
      </c>
      <c r="V19" s="1">
        <f>acqua!E47</f>
        <v>352.35348296783945</v>
      </c>
      <c r="W19" s="1">
        <f>'monossido di carbonio'!E47</f>
        <v>438.78518749512909</v>
      </c>
      <c r="X19" s="1">
        <f>'diossido di azoto'!E47</f>
        <v>18166.509290734703</v>
      </c>
    </row>
    <row r="20" spans="2:24" x14ac:dyDescent="0.3">
      <c r="B20">
        <v>1300</v>
      </c>
      <c r="C20" s="1">
        <f>metano!C48</f>
        <v>100240148.4364855</v>
      </c>
      <c r="D20" s="1">
        <f>acqua!C48</f>
        <v>119315448.99737346</v>
      </c>
      <c r="E20" s="1">
        <f>'monossido di carbonio'!C48</f>
        <v>231687268.33085251</v>
      </c>
      <c r="F20" s="1">
        <f>'diossido di azoto'!C48</f>
        <v>486982668.42087841</v>
      </c>
      <c r="T20">
        <v>1300</v>
      </c>
      <c r="U20" s="1">
        <f>metano!E48</f>
        <v>1332.7907695874394</v>
      </c>
      <c r="V20" s="1">
        <f>acqua!E48</f>
        <v>397.30289369745577</v>
      </c>
      <c r="W20" s="1">
        <f>'monossido di carbonio'!E48</f>
        <v>475.35061978638987</v>
      </c>
      <c r="X20" s="1">
        <f>'diossido di azoto'!E48</f>
        <v>20483.994223066584</v>
      </c>
    </row>
    <row r="21" spans="2:24" x14ac:dyDescent="0.3">
      <c r="B21">
        <v>1400</v>
      </c>
      <c r="C21" s="1">
        <f>metano!C49</f>
        <v>120643355.95256518</v>
      </c>
      <c r="D21" s="1">
        <f>acqua!C49</f>
        <v>143601305.55025297</v>
      </c>
      <c r="E21" s="1">
        <f>'monossido di carbonio'!C49</f>
        <v>278845652.35482734</v>
      </c>
      <c r="F21" s="1">
        <f>'diossido di azoto'!C49</f>
        <v>586104712.78637624</v>
      </c>
      <c r="T21">
        <v>1400</v>
      </c>
      <c r="U21" s="1">
        <f>metano!E49</f>
        <v>1489.4948342534576</v>
      </c>
      <c r="V21" s="1">
        <f>acqua!E49</f>
        <v>444.01613614077957</v>
      </c>
      <c r="W21" s="1">
        <f>'monossido di carbonio'!E49</f>
        <v>511.91605207765059</v>
      </c>
      <c r="X21" s="1">
        <f>'diossido di azoto'!E49</f>
        <v>22892.418132202289</v>
      </c>
    </row>
    <row r="22" spans="2:24" x14ac:dyDescent="0.3">
      <c r="B22">
        <v>1500</v>
      </c>
      <c r="C22" s="1">
        <f>metano!C50</f>
        <v>143354545.43822351</v>
      </c>
      <c r="D22" s="1">
        <f>acqua!C50</f>
        <v>170634343.83892369</v>
      </c>
      <c r="E22" s="1">
        <f>'monossido di carbonio'!C50</f>
        <v>331338526.06411374</v>
      </c>
      <c r="F22" s="1">
        <f>'diossido di azoto'!C50</f>
        <v>696439302.58145177</v>
      </c>
      <c r="T22">
        <v>1500</v>
      </c>
      <c r="U22" s="1">
        <f>metano!E50</f>
        <v>1651.9003166839025</v>
      </c>
      <c r="V22" s="1">
        <f>acqua!E50</f>
        <v>492.42896251556033</v>
      </c>
      <c r="W22" s="1">
        <f>'monossido di carbonio'!E50</f>
        <v>548.48148436891131</v>
      </c>
      <c r="X22" s="1">
        <f>'diossido di azoto'!E50</f>
        <v>25388.468554977462</v>
      </c>
    </row>
    <row r="23" spans="2:24" x14ac:dyDescent="0.3">
      <c r="B23">
        <v>1600</v>
      </c>
      <c r="C23" s="1">
        <f>metano!C51</f>
        <v>168454755.99864444</v>
      </c>
      <c r="D23" s="1">
        <f>acqua!C51</f>
        <v>200511024.3871657</v>
      </c>
      <c r="E23" s="1">
        <f>'monossido di carbonio'!C51</f>
        <v>389353196.93181866</v>
      </c>
      <c r="F23" s="1">
        <f>'diossido di azoto'!C51</f>
        <v>818380138.73637199</v>
      </c>
      <c r="T23">
        <v>1600</v>
      </c>
      <c r="U23" s="1">
        <f>metano!E51</f>
        <v>1819.8136650272811</v>
      </c>
      <c r="V23" s="1">
        <f>acqua!E51</f>
        <v>542.48367531035535</v>
      </c>
      <c r="W23" s="1">
        <f>'monossido di carbonio'!E51</f>
        <v>585.04691666017209</v>
      </c>
      <c r="X23" s="1">
        <f>'diossido di azoto'!E51</f>
        <v>27969.170744643907</v>
      </c>
    </row>
    <row r="24" spans="2:24" x14ac:dyDescent="0.3">
      <c r="B24">
        <v>1700</v>
      </c>
      <c r="C24" s="1">
        <f>metano!C52</f>
        <v>196022364.61200806</v>
      </c>
      <c r="D24" s="1">
        <f>acqua!C52</f>
        <v>233324638.99959299</v>
      </c>
      <c r="E24" s="1">
        <f>'monossido di carbonio'!C52</f>
        <v>453070819.39814854</v>
      </c>
      <c r="F24" s="1">
        <f>'diossido di azoto'!C52</f>
        <v>952307989.14279425</v>
      </c>
      <c r="T24">
        <v>1700</v>
      </c>
      <c r="U24" s="1">
        <f>metano!E52</f>
        <v>1993.0598018351375</v>
      </c>
      <c r="V24" s="1">
        <f>acqua!E52</f>
        <v>594.1280842050636</v>
      </c>
      <c r="W24" s="1">
        <f>'monossido di carbonio'!E52</f>
        <v>621.61234895143286</v>
      </c>
      <c r="X24" s="1">
        <f>'diossido di azoto'!E52</f>
        <v>30631.83389216799</v>
      </c>
    </row>
    <row r="25" spans="2:24" x14ac:dyDescent="0.3">
      <c r="B25">
        <v>1800</v>
      </c>
      <c r="C25" s="1">
        <f>metano!C53</f>
        <v>226133332.58135051</v>
      </c>
      <c r="D25" s="1">
        <f>acqua!C53</f>
        <v>269165604.11233348</v>
      </c>
      <c r="E25" s="1">
        <f>'monossido di carbonio'!C53</f>
        <v>522666964.49997985</v>
      </c>
      <c r="F25" s="1">
        <f>'diossido di azoto'!C53</f>
        <v>1098591885.9562399</v>
      </c>
      <c r="T25">
        <v>1800</v>
      </c>
      <c r="U25" s="1">
        <f>metano!E53</f>
        <v>2171.4793588744874</v>
      </c>
      <c r="V25" s="1">
        <f>acqua!E53</f>
        <v>647.31468177273348</v>
      </c>
      <c r="W25" s="1">
        <f>'monossido di carbonio'!E53</f>
        <v>658.17778124269364</v>
      </c>
      <c r="X25" s="1">
        <f>'diossido di azoto'!E53</f>
        <v>33374.008627372263</v>
      </c>
    </row>
    <row r="26" spans="2:24" x14ac:dyDescent="0.3">
      <c r="B26">
        <v>1900</v>
      </c>
      <c r="C26" s="1">
        <f>metano!C54</f>
        <v>258861416.13519424</v>
      </c>
      <c r="D26" s="1">
        <f>acqua!C54</f>
        <v>308121711.47009856</v>
      </c>
      <c r="E26" s="1">
        <f>'monossido di carbonio'!C54</f>
        <v>598312106.63679194</v>
      </c>
      <c r="F26" s="1">
        <f>'diossido di azoto'!C54</f>
        <v>1257590148.7276602</v>
      </c>
      <c r="T26">
        <v>1900</v>
      </c>
      <c r="U26" s="1">
        <f>metano!E54</f>
        <v>2354.9264590099669</v>
      </c>
      <c r="V26" s="1">
        <f>acqua!E54</f>
        <v>701.9999822620174</v>
      </c>
      <c r="W26" s="1">
        <f>'monossido di carbonio'!E54</f>
        <v>694.74321353395442</v>
      </c>
      <c r="X26" s="1">
        <f>'diossido di azoto'!E54</f>
        <v>36193.452928128252</v>
      </c>
    </row>
    <row r="27" spans="2:24" x14ac:dyDescent="0.3">
      <c r="B27">
        <v>2000</v>
      </c>
      <c r="C27" s="1">
        <f>metano!C55</f>
        <v>294278348.08289552</v>
      </c>
      <c r="D27" s="1">
        <f>acqua!C55</f>
        <v>350278344.34985685</v>
      </c>
      <c r="E27" s="1">
        <f>'monossido di carbonio'!C55</f>
        <v>680172043.43469834</v>
      </c>
      <c r="F27" s="1">
        <f>'diossido di azoto'!C55</f>
        <v>1429651266.9142756</v>
      </c>
      <c r="T27">
        <v>2000</v>
      </c>
      <c r="U27" s="1">
        <f>metano!E55</f>
        <v>2543.2669133649983</v>
      </c>
      <c r="V27" s="1">
        <f>acqua!E55</f>
        <v>758.14398417366795</v>
      </c>
      <c r="W27" s="1">
        <f>'monossido di carbonio'!E55</f>
        <v>731.30864582521519</v>
      </c>
      <c r="X27" s="1">
        <f>'diossido di azoto'!E55</f>
        <v>39088.104412076034</v>
      </c>
    </row>
    <row r="32" spans="2:24" x14ac:dyDescent="0.3">
      <c r="B32" t="s">
        <v>4</v>
      </c>
      <c r="C32" t="s">
        <v>107</v>
      </c>
      <c r="D32" t="s">
        <v>99</v>
      </c>
      <c r="E32" t="s">
        <v>100</v>
      </c>
      <c r="F32" t="s">
        <v>101</v>
      </c>
    </row>
    <row r="33" spans="2:6" x14ac:dyDescent="0.3">
      <c r="B33">
        <v>298</v>
      </c>
      <c r="C33" s="1">
        <f>metano!D38</f>
        <v>2.4684156686781186E-21</v>
      </c>
      <c r="D33" s="1">
        <f>acqua!D38</f>
        <v>1.5985894747668009E-10</v>
      </c>
      <c r="E33" s="1">
        <f>'monossido di carbonio'!D38</f>
        <v>4.9164499111288441E-3</v>
      </c>
      <c r="F33" s="1">
        <f>'diossido di azoto'!D38</f>
        <v>9.3521271906612583E-5</v>
      </c>
    </row>
    <row r="34" spans="2:6" x14ac:dyDescent="0.3">
      <c r="B34">
        <v>400</v>
      </c>
      <c r="C34" s="1">
        <f>metano!D39</f>
        <v>4.5603329076358544E-16</v>
      </c>
      <c r="D34" s="1">
        <f>acqua!D39</f>
        <v>5.046676480992032E-8</v>
      </c>
      <c r="E34" s="1">
        <f>'monossido di carbonio'!D39</f>
        <v>1.9073506659193943E-2</v>
      </c>
      <c r="F34" s="1">
        <f>'diossido di azoto'!D39</f>
        <v>1.0549874891024604E-3</v>
      </c>
    </row>
    <row r="35" spans="2:6" x14ac:dyDescent="0.3">
      <c r="B35">
        <v>500</v>
      </c>
      <c r="C35" s="1">
        <f>metano!D40</f>
        <v>5.6707014620515153E-13</v>
      </c>
      <c r="D35" s="1">
        <f>acqua!D40</f>
        <v>1.4643878398643956E-6</v>
      </c>
      <c r="E35" s="1">
        <f>'monossido di carbonio'!D40</f>
        <v>4.2168515484109874E-2</v>
      </c>
      <c r="F35" s="1">
        <f>'diossido di azoto'!D40</f>
        <v>4.5268392093338735E-3</v>
      </c>
    </row>
    <row r="36" spans="2:6" x14ac:dyDescent="0.3">
      <c r="B36">
        <v>600</v>
      </c>
      <c r="C36" s="1">
        <f>metano!D41</f>
        <v>6.8848518278132965E-11</v>
      </c>
      <c r="D36" s="1">
        <f>acqua!D41</f>
        <v>1.3928480676607449E-5</v>
      </c>
      <c r="E36" s="1">
        <f>'monossido di carbonio'!D41</f>
        <v>7.1735295765189139E-2</v>
      </c>
      <c r="F36" s="1">
        <f>'diossido di azoto'!D41</f>
        <v>1.2425483367735682E-2</v>
      </c>
    </row>
    <row r="37" spans="2:6" x14ac:dyDescent="0.3">
      <c r="B37">
        <v>700</v>
      </c>
      <c r="C37" s="1">
        <f>metano!D42</f>
        <v>2.2329538994490243E-9</v>
      </c>
      <c r="D37" s="1">
        <f>acqua!D42</f>
        <v>7.0180525320407382E-5</v>
      </c>
      <c r="E37" s="1">
        <f>'monossido di carbonio'!D42</f>
        <v>0.10520281758845078</v>
      </c>
      <c r="F37" s="1">
        <f>'diossido di azoto'!D42</f>
        <v>2.6472527964324467E-2</v>
      </c>
    </row>
    <row r="38" spans="2:6" x14ac:dyDescent="0.3">
      <c r="B38">
        <v>800</v>
      </c>
      <c r="C38" s="1">
        <f>metano!D43</f>
        <v>3.1905686644379746E-8</v>
      </c>
      <c r="D38" s="1">
        <f>acqua!D43</f>
        <v>2.3804157949120958E-4</v>
      </c>
      <c r="E38" s="1">
        <f>'monossido di carbonio'!D43</f>
        <v>0.14076568033036407</v>
      </c>
      <c r="F38" s="1">
        <f>'diossido di azoto'!D43</f>
        <v>4.8152237608787334E-2</v>
      </c>
    </row>
    <row r="39" spans="2:6" x14ac:dyDescent="0.3">
      <c r="B39">
        <v>900</v>
      </c>
      <c r="C39" s="1">
        <f>metano!D44</f>
        <v>2.6470866318275023E-7</v>
      </c>
      <c r="D39" s="1">
        <f>acqua!D44</f>
        <v>6.2074465945095804E-4</v>
      </c>
      <c r="E39" s="1">
        <f>'monossido di carbonio'!D44</f>
        <v>0.17730779240672312</v>
      </c>
      <c r="F39" s="1">
        <f>'diossido di azoto'!D44</f>
        <v>7.8783587692774631E-2</v>
      </c>
    </row>
    <row r="40" spans="2:6" x14ac:dyDescent="0.3">
      <c r="B40">
        <v>1000</v>
      </c>
      <c r="C40" s="1">
        <f>metano!D45</f>
        <v>1.5032282671174634E-6</v>
      </c>
      <c r="D40" s="1">
        <f>acqua!D45</f>
        <v>1.3475619935165129E-3</v>
      </c>
      <c r="E40" s="1">
        <f>'monossido di carbonio'!D45</f>
        <v>0.21418352852114592</v>
      </c>
      <c r="F40" s="1">
        <f>'diossido di azoto'!D45</f>
        <v>0.11958906302455577</v>
      </c>
    </row>
    <row r="41" spans="2:6" x14ac:dyDescent="0.3">
      <c r="B41">
        <v>1100</v>
      </c>
      <c r="C41" s="1">
        <f>metano!D46</f>
        <v>6.4830923741909241E-6</v>
      </c>
      <c r="D41" s="1">
        <f>acqua!D46</f>
        <v>2.5615189480488196E-3</v>
      </c>
      <c r="E41" s="1">
        <f>'monossido di carbonio'!D46</f>
        <v>0.25103715910588692</v>
      </c>
      <c r="F41" s="1">
        <f>'diossido di azoto'!D46</f>
        <v>0.17173881494414112</v>
      </c>
    </row>
    <row r="42" spans="2:6" x14ac:dyDescent="0.3">
      <c r="B42">
        <v>1200</v>
      </c>
      <c r="C42" s="1">
        <f>metano!D47</f>
        <v>2.2747080536235654E-5</v>
      </c>
      <c r="D42" s="1">
        <f>acqua!D47</f>
        <v>4.4090344105660881E-3</v>
      </c>
      <c r="E42" s="1">
        <f>'monossido di carbonio'!D47</f>
        <v>0.28768339079495919</v>
      </c>
      <c r="F42" s="1">
        <f>'diossido di azoto'!D47</f>
        <v>0.23637571498987192</v>
      </c>
    </row>
    <row r="43" spans="2:6" x14ac:dyDescent="0.3">
      <c r="B43">
        <v>1300</v>
      </c>
      <c r="C43" s="1">
        <f>metano!D48</f>
        <v>6.8078103134747373E-5</v>
      </c>
      <c r="D43" s="1">
        <f>acqua!D48</f>
        <v>7.0331217939209349E-3</v>
      </c>
      <c r="E43" s="1">
        <f>'monossido di carbonio'!D48</f>
        <v>0.32403454721257913</v>
      </c>
      <c r="F43" s="1">
        <f>'diossido di azoto'!D48</f>
        <v>0.31462890108194541</v>
      </c>
    </row>
    <row r="44" spans="2:6" x14ac:dyDescent="0.3">
      <c r="B44">
        <v>1400</v>
      </c>
      <c r="C44" s="1">
        <f>metano!D49</f>
        <v>1.7972895619725306E-4</v>
      </c>
      <c r="D44" s="1">
        <f>acqua!D49</f>
        <v>1.0569845920345955E-2</v>
      </c>
      <c r="E44" s="1">
        <f>'monossido di carbonio'!D49</f>
        <v>0.36005771430745359</v>
      </c>
      <c r="F44" s="1">
        <f>'diossido di azoto'!D49</f>
        <v>0.40762094713557695</v>
      </c>
    </row>
    <row r="45" spans="2:6" x14ac:dyDescent="0.3">
      <c r="B45">
        <v>1500</v>
      </c>
      <c r="C45" s="1">
        <f>metano!D50</f>
        <v>4.2894370885485442E-4</v>
      </c>
      <c r="D45" s="1">
        <f>acqua!D50</f>
        <v>1.5147079011615151E-2</v>
      </c>
      <c r="E45" s="1">
        <f>'monossido di carbonio'!D50</f>
        <v>0.39574992110514479</v>
      </c>
      <c r="F45" s="1">
        <f>'diossido di azoto'!D50</f>
        <v>0.51647160602448217</v>
      </c>
    </row>
    <row r="46" spans="2:6" x14ac:dyDescent="0.3">
      <c r="B46">
        <v>1600</v>
      </c>
      <c r="C46" s="1">
        <f>metano!D51</f>
        <v>9.4254396304753007E-4</v>
      </c>
      <c r="D46" s="1">
        <f>acqua!D51</f>
        <v>2.0884625655887664E-2</v>
      </c>
      <c r="E46" s="1">
        <f>'monossido di carbonio'!D51</f>
        <v>0.43112388895503029</v>
      </c>
      <c r="F46" s="1">
        <f>'diossido di azoto'!D51</f>
        <v>0.64229973020718367</v>
      </c>
    </row>
    <row r="47" spans="2:6" x14ac:dyDescent="0.3">
      <c r="B47">
        <v>1700</v>
      </c>
      <c r="C47" s="1">
        <f>metano!D52</f>
        <v>1.9336581158986477E-3</v>
      </c>
      <c r="D47" s="1">
        <f>acqua!D52</f>
        <v>2.7895034870526584E-2</v>
      </c>
      <c r="E47" s="1">
        <f>'monossido di carbonio'!D52</f>
        <v>0.46619991132224503</v>
      </c>
      <c r="F47" s="1">
        <f>'diossido di azoto'!D52</f>
        <v>0.78622422653477886</v>
      </c>
    </row>
    <row r="48" spans="2:6" x14ac:dyDescent="0.3">
      <c r="B48">
        <v>1800</v>
      </c>
      <c r="C48" s="1">
        <f>metano!D53</f>
        <v>3.7440041298667844E-3</v>
      </c>
      <c r="D48" s="1">
        <f>acqua!D53</f>
        <v>3.6284670561222712E-2</v>
      </c>
      <c r="E48" s="1">
        <f>'monossido di carbonio'!D53</f>
        <v>0.50100127972230823</v>
      </c>
      <c r="F48" s="1">
        <f>'diossido di azoto'!D53</f>
        <v>0.94936450099087755</v>
      </c>
    </row>
    <row r="49" spans="2:24" x14ac:dyDescent="0.3">
      <c r="B49">
        <v>1900</v>
      </c>
      <c r="C49" s="1">
        <f>metano!D54</f>
        <v>6.9004955383880099E-3</v>
      </c>
      <c r="D49" s="1">
        <f>acqua!D54</f>
        <v>4.6154801416935037E-2</v>
      </c>
      <c r="E49" s="1">
        <f>'monossido di carbonio'!D54</f>
        <v>0.53555176008657623</v>
      </c>
      <c r="F49" s="1">
        <f>'diossido di azoto'!D54</f>
        <v>1.1328406364496326</v>
      </c>
    </row>
    <row r="50" spans="2:24" x14ac:dyDescent="0.3">
      <c r="B50">
        <v>2000</v>
      </c>
      <c r="C50" s="1">
        <f>metano!D55</f>
        <v>1.2189325562006562E-2</v>
      </c>
      <c r="D50" s="1">
        <f>acqua!D55</f>
        <v>5.7602593952840973E-2</v>
      </c>
      <c r="E50" s="1">
        <f>'monossido di carbonio'!D55</f>
        <v>0.56987425351741194</v>
      </c>
      <c r="F50" s="1">
        <f>'diossido di azoto'!D55</f>
        <v>1.3377734335293641</v>
      </c>
    </row>
    <row r="62" spans="2:24" x14ac:dyDescent="0.3">
      <c r="B62" t="s">
        <v>4</v>
      </c>
      <c r="C62" t="s">
        <v>107</v>
      </c>
      <c r="D62" t="s">
        <v>99</v>
      </c>
      <c r="E62" t="s">
        <v>100</v>
      </c>
      <c r="F62" t="s">
        <v>101</v>
      </c>
      <c r="T62" t="s">
        <v>4</v>
      </c>
      <c r="U62" t="s">
        <v>107</v>
      </c>
      <c r="V62" t="s">
        <v>99</v>
      </c>
      <c r="W62" t="s">
        <v>100</v>
      </c>
      <c r="X62" t="s">
        <v>101</v>
      </c>
    </row>
    <row r="63" spans="2:24" x14ac:dyDescent="0.3">
      <c r="B63">
        <v>298</v>
      </c>
      <c r="C63" s="1">
        <f>metano!D65</f>
        <v>143.34559928506391</v>
      </c>
      <c r="D63" s="1">
        <f>acqua!D65</f>
        <v>144.79399541361065</v>
      </c>
      <c r="E63" s="1">
        <f>'monossido di carbonio'!D65</f>
        <v>150.31161925702861</v>
      </c>
      <c r="F63" s="1">
        <f>'diossido di azoto'!D65</f>
        <v>156.48793464978749</v>
      </c>
      <c r="T63">
        <v>298</v>
      </c>
      <c r="U63" s="1">
        <f>metano!H65</f>
        <v>53.92338427077113</v>
      </c>
      <c r="V63" s="1">
        <f>acqua!H66</f>
        <v>44.160215883499525</v>
      </c>
      <c r="W63" s="1">
        <f>'monossido di carbonio'!H66</f>
        <v>47.317810541361339</v>
      </c>
      <c r="X63" s="1">
        <f>'diossido di azoto'!H65</f>
        <v>76.641587005207327</v>
      </c>
    </row>
    <row r="64" spans="2:24" x14ac:dyDescent="0.3">
      <c r="B64">
        <v>400</v>
      </c>
      <c r="C64" s="1">
        <f>metano!D66</f>
        <v>149.46444177826342</v>
      </c>
      <c r="D64" s="1">
        <f>acqua!D66</f>
        <v>150.91283790681013</v>
      </c>
      <c r="E64" s="1">
        <f>'monossido di carbonio'!D66</f>
        <v>156.43046175022812</v>
      </c>
      <c r="F64" s="1">
        <f>'diossido di azoto'!D66</f>
        <v>162.60677714298697</v>
      </c>
      <c r="T64">
        <v>400</v>
      </c>
      <c r="U64" s="1">
        <f>metano!H66</f>
        <v>57.594689766690877</v>
      </c>
      <c r="V64" s="1">
        <f>acqua!H67</f>
        <v>44.160215883499525</v>
      </c>
      <c r="W64" s="1">
        <f>'monossido di carbonio'!H67</f>
        <v>49.765347538641173</v>
      </c>
      <c r="X64" s="1">
        <f>'diossido di azoto'!H66</f>
        <v>80.312892501127067</v>
      </c>
    </row>
    <row r="65" spans="2:24" x14ac:dyDescent="0.3">
      <c r="B65">
        <v>500</v>
      </c>
      <c r="C65" s="1">
        <f>metano!D67</f>
        <v>154.1027382231311</v>
      </c>
      <c r="D65" s="1">
        <f>acqua!D67</f>
        <v>155.55113435167777</v>
      </c>
      <c r="E65" s="1">
        <f>'monossido di carbonio'!D67</f>
        <v>161.06875819509588</v>
      </c>
      <c r="F65" s="1">
        <f>'diossido di azoto'!D67</f>
        <v>167.24507358785462</v>
      </c>
      <c r="T65">
        <v>500</v>
      </c>
      <c r="U65" s="1">
        <f>metano!H67</f>
        <v>60.377667633611445</v>
      </c>
      <c r="V65" s="1">
        <f>acqua!H68</f>
        <v>46.9431937504201</v>
      </c>
      <c r="W65" s="1">
        <f>'monossido di carbonio'!H68</f>
        <v>51.620666116588218</v>
      </c>
      <c r="X65" s="1">
        <f>'diossido di azoto'!H67</f>
        <v>83.095870368047628</v>
      </c>
    </row>
    <row r="66" spans="2:24" x14ac:dyDescent="0.3">
      <c r="B66">
        <v>600</v>
      </c>
      <c r="C66" s="1">
        <f>metano!D68</f>
        <v>157.89250236249143</v>
      </c>
      <c r="D66" s="1">
        <f>acqua!D68</f>
        <v>159.34089849103813</v>
      </c>
      <c r="E66" s="1">
        <f>'monossido di carbonio'!D68</f>
        <v>164.85852233445624</v>
      </c>
      <c r="F66" s="1">
        <f>'diossido di azoto'!D68</f>
        <v>171.03483772721509</v>
      </c>
      <c r="T66">
        <v>600</v>
      </c>
      <c r="U66" s="1">
        <f>metano!H68</f>
        <v>62.651526117227711</v>
      </c>
      <c r="V66" s="1">
        <f>acqua!H69</f>
        <v>49.217052234036366</v>
      </c>
      <c r="W66" s="1">
        <f>'monossido di carbonio'!H69</f>
        <v>53.136571772332402</v>
      </c>
      <c r="X66" s="1">
        <f>'diossido di azoto'!H68</f>
        <v>85.369728851663908</v>
      </c>
    </row>
    <row r="67" spans="2:24" x14ac:dyDescent="0.3">
      <c r="B67">
        <v>700</v>
      </c>
      <c r="C67" s="1">
        <f>metano!D69</f>
        <v>161.09670228673633</v>
      </c>
      <c r="D67" s="1">
        <f>acqua!D69</f>
        <v>162.54509841528304</v>
      </c>
      <c r="E67" s="1">
        <f>'monossido di carbonio'!D69</f>
        <v>168.06272225870103</v>
      </c>
      <c r="F67" s="1">
        <f>'diossido di azoto'!D69</f>
        <v>174.23903765145988</v>
      </c>
      <c r="T67">
        <v>700</v>
      </c>
      <c r="U67" s="1">
        <f>metano!H69</f>
        <v>64.574046071774575</v>
      </c>
      <c r="V67" s="1">
        <f>acqua!H70</f>
        <v>51.139572188583223</v>
      </c>
      <c r="W67" s="1">
        <f>'monossido di carbonio'!H70</f>
        <v>54.418251742030307</v>
      </c>
      <c r="X67" s="1">
        <f>'diossido di azoto'!H69</f>
        <v>87.292248806210765</v>
      </c>
    </row>
    <row r="68" spans="2:24" x14ac:dyDescent="0.3">
      <c r="B68">
        <v>800</v>
      </c>
      <c r="C68" s="1">
        <f>metano!D70</f>
        <v>163.87230651119549</v>
      </c>
      <c r="D68" s="1">
        <f>acqua!D70</f>
        <v>165.32070263974214</v>
      </c>
      <c r="E68" s="1">
        <f>'monossido di carbonio'!D70</f>
        <v>170.83832648316016</v>
      </c>
      <c r="F68" s="1">
        <f>'diossido di azoto'!D70</f>
        <v>177.01464187591901</v>
      </c>
      <c r="T68">
        <v>800</v>
      </c>
      <c r="U68" s="1">
        <f>metano!H70</f>
        <v>66.23940860645007</v>
      </c>
      <c r="V68" s="1">
        <f>acqua!H71</f>
        <v>52.804934723258732</v>
      </c>
      <c r="W68" s="1">
        <f>'monossido di carbonio'!H71</f>
        <v>55.528493431813978</v>
      </c>
      <c r="X68" s="1">
        <f>'diossido di azoto'!H70</f>
        <v>88.957611340886274</v>
      </c>
    </row>
    <row r="69" spans="2:24" x14ac:dyDescent="0.3">
      <c r="B69">
        <v>900</v>
      </c>
      <c r="C69" s="1">
        <f>metano!D71</f>
        <v>166.32056294671958</v>
      </c>
      <c r="D69" s="1">
        <f>acqua!D71</f>
        <v>167.76895907526625</v>
      </c>
      <c r="E69" s="1">
        <f>'monossido di carbonio'!D71</f>
        <v>173.28658291868439</v>
      </c>
      <c r="F69" s="1">
        <f>'diossido di azoto'!D71</f>
        <v>179.4628983114431</v>
      </c>
      <c r="T69">
        <v>900</v>
      </c>
      <c r="U69" s="1">
        <f>metano!H71</f>
        <v>67.708362467764545</v>
      </c>
      <c r="V69" s="1">
        <f>acqua!H72</f>
        <v>54.273888584573207</v>
      </c>
      <c r="W69" s="1">
        <f>'monossido di carbonio'!H72</f>
        <v>56.507796006023618</v>
      </c>
      <c r="X69" s="1">
        <f>'diossido di azoto'!H71</f>
        <v>90.426565202200749</v>
      </c>
    </row>
    <row r="70" spans="2:24" x14ac:dyDescent="0.3">
      <c r="B70">
        <v>1000</v>
      </c>
      <c r="C70" s="1">
        <f>metano!D72</f>
        <v>168.51060295606302</v>
      </c>
      <c r="D70" s="1">
        <f>acqua!D72</f>
        <v>169.95899908460981</v>
      </c>
      <c r="E70" s="1">
        <f>'monossido di carbonio'!D72</f>
        <v>175.47662292802781</v>
      </c>
      <c r="F70" s="1">
        <f>'diossido di azoto'!D72</f>
        <v>181.65293832078666</v>
      </c>
      <c r="T70">
        <v>1000</v>
      </c>
      <c r="U70" s="1">
        <f>metano!H72</f>
        <v>69.022386473370645</v>
      </c>
      <c r="V70" s="1">
        <f>acqua!H73</f>
        <v>55.587912590179307</v>
      </c>
      <c r="W70" s="1">
        <f>'monossido di carbonio'!H73</f>
        <v>57.383812009761023</v>
      </c>
      <c r="X70" s="1">
        <f>'diossido di azoto'!H72</f>
        <v>91.740589207806849</v>
      </c>
    </row>
    <row r="71" spans="2:24" x14ac:dyDescent="0.3">
      <c r="B71">
        <v>1100</v>
      </c>
      <c r="C71" s="1">
        <f>metano!D73</f>
        <v>170.49173512655366</v>
      </c>
      <c r="D71" s="1">
        <f>acqua!D73</f>
        <v>171.94013125510034</v>
      </c>
      <c r="E71" s="1">
        <f>'monossido di carbonio'!D73</f>
        <v>177.45775509851845</v>
      </c>
      <c r="F71" s="1">
        <f>'diossido di azoto'!D73</f>
        <v>183.63407049127719</v>
      </c>
      <c r="T71">
        <v>1100</v>
      </c>
      <c r="U71" s="1">
        <f>metano!H73</f>
        <v>70.211065775664991</v>
      </c>
      <c r="V71" s="1">
        <f>acqua!H74</f>
        <v>56.776591892473647</v>
      </c>
      <c r="W71" s="1">
        <f>'monossido di carbonio'!H74</f>
        <v>58.176264877957252</v>
      </c>
      <c r="X71" s="1">
        <f>'diossido di azoto'!H73</f>
        <v>92.929268510101181</v>
      </c>
    </row>
    <row r="72" spans="2:24" x14ac:dyDescent="0.3">
      <c r="B72">
        <v>1200</v>
      </c>
      <c r="C72" s="1">
        <f>metano!D74</f>
        <v>172.3003670954235</v>
      </c>
      <c r="D72" s="1">
        <f>acqua!D74</f>
        <v>173.74876322397017</v>
      </c>
      <c r="E72" s="1">
        <f>'monossido di carbonio'!D74</f>
        <v>179.26638706738828</v>
      </c>
      <c r="F72" s="1">
        <f>'diossido di azoto'!D74</f>
        <v>185.44270246014702</v>
      </c>
      <c r="T72">
        <v>1200</v>
      </c>
      <c r="U72" s="1">
        <f>metano!H74</f>
        <v>71.296244956986925</v>
      </c>
      <c r="V72" s="1">
        <f>acqua!H75</f>
        <v>57.861771073795573</v>
      </c>
      <c r="W72" s="1">
        <f>'monossido di carbonio'!H75</f>
        <v>58.899717665505207</v>
      </c>
      <c r="X72" s="1">
        <f>'diossido di azoto'!H74</f>
        <v>94.014447691423115</v>
      </c>
    </row>
    <row r="73" spans="2:24" x14ac:dyDescent="0.3">
      <c r="B73">
        <v>1300</v>
      </c>
      <c r="C73" s="1">
        <f>metano!D75</f>
        <v>173.9641472237453</v>
      </c>
      <c r="D73" s="1">
        <f>acqua!D75</f>
        <v>175.41254335229198</v>
      </c>
      <c r="E73" s="1">
        <f>'monossido di carbonio'!D75</f>
        <v>180.93016719571008</v>
      </c>
      <c r="F73" s="1">
        <f>'diossido di azoto'!D75</f>
        <v>187.10648258846894</v>
      </c>
      <c r="T73">
        <v>1300</v>
      </c>
      <c r="U73" s="1">
        <f>metano!H75</f>
        <v>72.29451303398001</v>
      </c>
      <c r="V73" s="1">
        <f>acqua!H76</f>
        <v>58.860039150788658</v>
      </c>
      <c r="W73" s="1">
        <f>'monossido di carbonio'!H76</f>
        <v>59.565229716833926</v>
      </c>
      <c r="X73" s="1">
        <f>'diossido di azoto'!H75</f>
        <v>95.0127157684162</v>
      </c>
    </row>
    <row r="74" spans="2:24" x14ac:dyDescent="0.3">
      <c r="B74">
        <v>1400</v>
      </c>
      <c r="C74" s="1">
        <f>metano!D76</f>
        <v>175.50456701966823</v>
      </c>
      <c r="D74" s="1">
        <f>acqua!D76</f>
        <v>176.95296314821505</v>
      </c>
      <c r="E74" s="1">
        <f>'monossido di carbonio'!D76</f>
        <v>182.47058699163304</v>
      </c>
      <c r="F74" s="1">
        <f>'diossido di azoto'!D76</f>
        <v>188.64690238439189</v>
      </c>
      <c r="T74">
        <v>1400</v>
      </c>
      <c r="U74" s="1">
        <f>metano!H76</f>
        <v>73.218764911533768</v>
      </c>
      <c r="V74" s="1">
        <f>acqua!H77</f>
        <v>59.78429102834243</v>
      </c>
      <c r="W74" s="1">
        <f>'monossido di carbonio'!H77</f>
        <v>60.181397635203112</v>
      </c>
      <c r="X74" s="1">
        <f>'diossido di azoto'!H76</f>
        <v>95.936967645969972</v>
      </c>
    </row>
    <row r="75" spans="2:24" x14ac:dyDescent="0.3">
      <c r="B75">
        <v>1500</v>
      </c>
      <c r="C75" s="1">
        <f>metano!D77</f>
        <v>176.93866354029115</v>
      </c>
      <c r="D75" s="1">
        <f>acqua!D77</f>
        <v>178.38705966883782</v>
      </c>
      <c r="E75" s="1">
        <f>'monossido di carbonio'!D77</f>
        <v>183.90468351225593</v>
      </c>
      <c r="F75" s="1">
        <f>'diossido di azoto'!D77</f>
        <v>190.08099890501467</v>
      </c>
      <c r="T75">
        <v>1500</v>
      </c>
      <c r="U75" s="1">
        <f>metano!H77</f>
        <v>74.079222823907486</v>
      </c>
      <c r="V75" s="1">
        <f>acqua!H78</f>
        <v>60.644748940716148</v>
      </c>
      <c r="W75" s="1">
        <f>'monossido di carbonio'!H78</f>
        <v>60.755036243452246</v>
      </c>
      <c r="X75" s="1">
        <f>'diossido di azoto'!H77</f>
        <v>96.797425558343676</v>
      </c>
    </row>
    <row r="76" spans="2:24" x14ac:dyDescent="0.3">
      <c r="B76">
        <v>1600</v>
      </c>
      <c r="C76" s="1">
        <f>metano!D78</f>
        <v>178.2801712441275</v>
      </c>
      <c r="D76" s="1">
        <f>acqua!D78</f>
        <v>179.72856737267418</v>
      </c>
      <c r="E76" s="1">
        <f>'monossido di carbonio'!D78</f>
        <v>185.24619121609217</v>
      </c>
      <c r="F76" s="1">
        <f>'diossido di azoto'!D78</f>
        <v>191.42250660885091</v>
      </c>
      <c r="T76">
        <v>1600</v>
      </c>
      <c r="U76" s="1">
        <f>metano!H78</f>
        <v>74.884127446209291</v>
      </c>
      <c r="V76" s="1">
        <f>acqua!H79</f>
        <v>61.449653563017939</v>
      </c>
      <c r="W76" s="1">
        <f>'monossido di carbonio'!H79</f>
        <v>61.291639324986782</v>
      </c>
      <c r="X76" s="1">
        <f>'diossido di azoto'!H78</f>
        <v>97.602330180645481</v>
      </c>
    </row>
    <row r="77" spans="2:24" x14ac:dyDescent="0.3">
      <c r="B77">
        <v>1700</v>
      </c>
      <c r="C77" s="1">
        <f>metano!D79</f>
        <v>179.54032403002023</v>
      </c>
      <c r="D77" s="1">
        <f>acqua!D79</f>
        <v>180.98872015856691</v>
      </c>
      <c r="E77" s="1">
        <f>'monossido di carbonio'!D79</f>
        <v>186.50634400198504</v>
      </c>
      <c r="F77" s="1">
        <f>'diossido di azoto'!D79</f>
        <v>192.68265939474375</v>
      </c>
      <c r="T77">
        <v>1700</v>
      </c>
      <c r="U77" s="1">
        <f>metano!H79</f>
        <v>75.640219117744962</v>
      </c>
      <c r="V77" s="1">
        <f>acqua!H80</f>
        <v>62.205745234553618</v>
      </c>
      <c r="W77" s="1">
        <f>'monossido di carbonio'!H80</f>
        <v>61.795700439343904</v>
      </c>
      <c r="X77" s="1">
        <f>'diossido di azoto'!H79</f>
        <v>98.358421852181166</v>
      </c>
    </row>
    <row r="78" spans="2:24" x14ac:dyDescent="0.3">
      <c r="B78">
        <v>1800</v>
      </c>
      <c r="C78" s="1">
        <f>metano!D80</f>
        <v>180.7284276796515</v>
      </c>
      <c r="D78" s="1">
        <f>acqua!D80</f>
        <v>182.17682380819829</v>
      </c>
      <c r="E78" s="1">
        <f>'monossido di carbonio'!D80</f>
        <v>187.69444765161629</v>
      </c>
      <c r="F78" s="1">
        <f>'diossido di azoto'!D80</f>
        <v>193.87076304437514</v>
      </c>
      <c r="T78">
        <v>1800</v>
      </c>
      <c r="U78" s="1">
        <f>metano!H80</f>
        <v>76.353081307523752</v>
      </c>
      <c r="V78" s="1">
        <f>acqua!H81</f>
        <v>62.918607424332407</v>
      </c>
      <c r="W78" s="1">
        <f>'monossido di carbonio'!H81</f>
        <v>62.270941899196423</v>
      </c>
      <c r="X78" s="1">
        <f>'diossido di azoto'!H80</f>
        <v>99.071284041959942</v>
      </c>
    </row>
    <row r="79" spans="2:24" x14ac:dyDescent="0.3">
      <c r="B79">
        <v>1900</v>
      </c>
      <c r="C79" s="1">
        <f>metano!D81</f>
        <v>181.85227732139489</v>
      </c>
      <c r="D79" s="1">
        <f>acqua!D81</f>
        <v>183.30067344994157</v>
      </c>
      <c r="E79" s="1">
        <f>'monossido di carbonio'!D81</f>
        <v>188.81829729335956</v>
      </c>
      <c r="F79" s="1">
        <f>'diossido di azoto'!D81</f>
        <v>194.99461268611842</v>
      </c>
      <c r="T79">
        <v>1900</v>
      </c>
      <c r="U79" s="1">
        <f>metano!H81</f>
        <v>77.027391092569701</v>
      </c>
      <c r="V79" s="1">
        <f>acqua!H82</f>
        <v>63.592917209378363</v>
      </c>
      <c r="W79" s="1">
        <f>'monossido di carbonio'!H82</f>
        <v>62.720481755893722</v>
      </c>
      <c r="X79" s="1">
        <f>'diossido di azoto'!H81</f>
        <v>99.745593827005905</v>
      </c>
    </row>
    <row r="80" spans="2:24" x14ac:dyDescent="0.3">
      <c r="B80">
        <v>2000</v>
      </c>
      <c r="C80" s="1">
        <f>metano!D82</f>
        <v>182.91846768899504</v>
      </c>
      <c r="D80" s="1">
        <f>acqua!D82</f>
        <v>184.36686381754171</v>
      </c>
      <c r="E80" s="1">
        <f>'monossido di carbonio'!D82</f>
        <v>189.88448766095985</v>
      </c>
      <c r="F80" s="1">
        <f>'diossido di azoto'!D82</f>
        <v>196.0608030537187</v>
      </c>
      <c r="T80">
        <v>2000</v>
      </c>
      <c r="U80" s="1">
        <f>metano!H82</f>
        <v>77.667105313129852</v>
      </c>
      <c r="V80" s="1">
        <f>acqua!H83</f>
        <v>64.232631429938522</v>
      </c>
      <c r="W80" s="1">
        <f>'monossido di carbonio'!H83</f>
        <v>63.146957902933828</v>
      </c>
      <c r="X80" s="1">
        <f>'diossido di azoto'!H82</f>
        <v>100.38530804756604</v>
      </c>
    </row>
    <row r="85" spans="2:6" x14ac:dyDescent="0.3">
      <c r="B85" t="s">
        <v>4</v>
      </c>
      <c r="C85" t="s">
        <v>107</v>
      </c>
      <c r="D85" t="s">
        <v>99</v>
      </c>
      <c r="E85" t="s">
        <v>100</v>
      </c>
      <c r="F85" t="s">
        <v>101</v>
      </c>
    </row>
    <row r="86" spans="2:6" x14ac:dyDescent="0.3">
      <c r="B86">
        <v>298</v>
      </c>
      <c r="C86" s="1">
        <f>metano!X67</f>
        <v>0.35534558394460913</v>
      </c>
      <c r="D86" s="1">
        <f>acqua!Q67</f>
        <v>3.1612054179673874E-2</v>
      </c>
      <c r="E86" s="1">
        <f>'monossido di carbonio'!O67</f>
        <v>2.337332789574553E-3</v>
      </c>
      <c r="F86" s="1">
        <f>'diossido di azoto'!Q67</f>
        <v>1.1536203726594538</v>
      </c>
    </row>
    <row r="87" spans="2:6" x14ac:dyDescent="0.3">
      <c r="B87">
        <v>400</v>
      </c>
      <c r="C87" s="1">
        <f>metano!X68</f>
        <v>1.5581620349758667</v>
      </c>
      <c r="D87" s="1">
        <f>acqua!Q68</f>
        <v>0.17682434279403675</v>
      </c>
      <c r="E87" s="1">
        <f>'monossido di carbonio'!O68</f>
        <v>2.6969672447441379E-2</v>
      </c>
      <c r="F87" s="1">
        <f>'diossido di azoto'!Q68</f>
        <v>2.6655456167016949</v>
      </c>
    </row>
    <row r="88" spans="2:6" x14ac:dyDescent="0.3">
      <c r="B88">
        <v>500</v>
      </c>
      <c r="C88" s="1">
        <f>metano!X69</f>
        <v>3.635680377324348</v>
      </c>
      <c r="D88" s="1">
        <f>acqua!Q69</f>
        <v>0.47007649132895729</v>
      </c>
      <c r="E88" s="1">
        <f>'monossido di carbonio'!O69</f>
        <v>0.10825057910447369</v>
      </c>
      <c r="F88" s="1">
        <f>'diossido di azoto'!Q69</f>
        <v>4.4976763337482444</v>
      </c>
    </row>
    <row r="89" spans="2:6" x14ac:dyDescent="0.3">
      <c r="B89">
        <v>600</v>
      </c>
      <c r="C89" s="1">
        <f>metano!X70</f>
        <v>6.3786664904106756</v>
      </c>
      <c r="D89" s="1">
        <f>acqua!Q70</f>
        <v>0.89478278586798554</v>
      </c>
      <c r="E89" s="1">
        <f>'monossido di carbonio'!O70</f>
        <v>0.26720746317116439</v>
      </c>
      <c r="F89" s="1">
        <f>'diossido di azoto'!Q70</f>
        <v>6.5056229681245386</v>
      </c>
    </row>
    <row r="90" spans="2:6" x14ac:dyDescent="0.3">
      <c r="B90">
        <v>700</v>
      </c>
      <c r="C90" s="1">
        <f>metano!X71</f>
        <v>9.5611318739621804</v>
      </c>
      <c r="D90" s="1">
        <f>acqua!Q71</f>
        <v>1.4208965057751157</v>
      </c>
      <c r="E90" s="1">
        <f>'monossido di carbonio'!O71</f>
        <v>0.5024640223668061</v>
      </c>
      <c r="F90" s="1">
        <f>'diossido di azoto'!Q71</f>
        <v>8.5706987040758413</v>
      </c>
    </row>
    <row r="91" spans="2:6" x14ac:dyDescent="0.3">
      <c r="B91">
        <v>800</v>
      </c>
      <c r="C91" s="1">
        <f>metano!X72</f>
        <v>13.018219658425023</v>
      </c>
      <c r="D91" s="1">
        <f>acqua!Q72</f>
        <v>2.0255480019593737</v>
      </c>
      <c r="E91" s="1">
        <f>'monossido di carbonio'!O72</f>
        <v>0.80000392432517498</v>
      </c>
      <c r="F91" s="1">
        <f>'diossido di azoto'!Q72</f>
        <v>10.619311475654092</v>
      </c>
    </row>
    <row r="92" spans="2:6" x14ac:dyDescent="0.3">
      <c r="B92">
        <v>900</v>
      </c>
      <c r="C92" s="1">
        <f>metano!X73</f>
        <v>16.635942560206495</v>
      </c>
      <c r="D92" s="1">
        <f>acqua!Q73</f>
        <v>2.6933404046271732</v>
      </c>
      <c r="E92" s="1">
        <f>'monossido di carbonio'!O73</f>
        <v>1.1426750285795071</v>
      </c>
      <c r="F92" s="1">
        <f>'diossido di azoto'!Q73</f>
        <v>12.610219174300372</v>
      </c>
    </row>
    <row r="93" spans="2:6" x14ac:dyDescent="0.3">
      <c r="B93">
        <v>1000</v>
      </c>
      <c r="C93" s="1">
        <f>metano!X74</f>
        <v>20.33444600053739</v>
      </c>
      <c r="D93" s="1">
        <f>acqua!Q74</f>
        <v>3.4128196872277639</v>
      </c>
      <c r="E93" s="1">
        <f>'monossido di carbonio'!O74</f>
        <v>1.5149964107486049</v>
      </c>
      <c r="F93" s="1">
        <f>'diossido di azoto'!Q74</f>
        <v>14.522718511604312</v>
      </c>
    </row>
    <row r="94" spans="2:6" x14ac:dyDescent="0.3">
      <c r="B94">
        <v>1100</v>
      </c>
      <c r="C94" s="1">
        <f>metano!X75</f>
        <v>24.056875739796521</v>
      </c>
      <c r="D94" s="1">
        <f>acqua!Q75</f>
        <v>4.1741626398967222</v>
      </c>
      <c r="E94" s="1">
        <f>'monossido di carbonio'!O75</f>
        <v>1.9046675895254326</v>
      </c>
      <c r="F94" s="1">
        <f>'diossido di azoto'!Q75</f>
        <v>16.348304662637322</v>
      </c>
    </row>
    <row r="95" spans="2:6" x14ac:dyDescent="0.3">
      <c r="B95">
        <v>1200</v>
      </c>
      <c r="C95" s="1">
        <f>metano!X76</f>
        <v>27.762642468404987</v>
      </c>
      <c r="D95" s="1">
        <f>acqua!Q76</f>
        <v>4.9683247007014177</v>
      </c>
      <c r="E95" s="1">
        <f>'monossido di carbonio'!O76</f>
        <v>2.3025471761551932</v>
      </c>
      <c r="F95" s="1">
        <f>'diossido di azoto'!Q76</f>
        <v>18.085403938802578</v>
      </c>
    </row>
    <row r="96" spans="2:6" x14ac:dyDescent="0.3">
      <c r="B96">
        <v>1300</v>
      </c>
      <c r="C96" s="1">
        <f>metano!X77</f>
        <v>31.423078438431236</v>
      </c>
      <c r="D96" s="1">
        <f>acqua!Q77</f>
        <v>5.7869399543101094</v>
      </c>
      <c r="E96" s="1">
        <f>'monossido di carbonio'!O77</f>
        <v>2.702113212376311</v>
      </c>
      <c r="F96" s="1">
        <f>'diossido di azoto'!Q77</f>
        <v>19.736212767565984</v>
      </c>
    </row>
    <row r="97" spans="2:6" x14ac:dyDescent="0.3">
      <c r="B97">
        <v>1400</v>
      </c>
      <c r="C97" s="1">
        <f>metano!X78</f>
        <v>35.018384714797193</v>
      </c>
      <c r="D97" s="1">
        <f>acqua!Q78</f>
        <v>6.6224516211649647</v>
      </c>
      <c r="E97" s="1">
        <f>'monossido di carbonio'!O78</f>
        <v>3.0988495811465304</v>
      </c>
      <c r="F97" s="1">
        <f>'diossido di azoto'!Q78</f>
        <v>21.304849276159217</v>
      </c>
    </row>
    <row r="98" spans="2:6" x14ac:dyDescent="0.3">
      <c r="B98">
        <v>1500</v>
      </c>
      <c r="C98" s="1">
        <f>metano!X79</f>
        <v>38.535365670908654</v>
      </c>
      <c r="D98" s="1">
        <f>acqua!Q79</f>
        <v>7.4682349730911479</v>
      </c>
      <c r="E98" s="1">
        <f>'monossido di carbonio'!O79</f>
        <v>3.4897147120156875</v>
      </c>
      <c r="F98" s="1">
        <f>'diossido di azoto'!Q79</f>
        <v>22.796290725902765</v>
      </c>
    </row>
    <row r="99" spans="2:6" x14ac:dyDescent="0.3">
      <c r="B99">
        <v>1600</v>
      </c>
      <c r="C99" s="1">
        <f>metano!X80</f>
        <v>41.96571180438545</v>
      </c>
      <c r="D99" s="1">
        <f>acqua!Q80</f>
        <v>8.318643645646377</v>
      </c>
      <c r="E99" s="1">
        <f>'monossido di carbonio'!O80</f>
        <v>3.8727265913160474</v>
      </c>
      <c r="F99" s="1">
        <f>'diossido di azoto'!Q80</f>
        <v>24.215773497522719</v>
      </c>
    </row>
    <row r="100" spans="2:6" x14ac:dyDescent="0.3">
      <c r="B100">
        <v>1700</v>
      </c>
      <c r="C100" s="1">
        <f>metano!X81</f>
        <v>45.304695088593057</v>
      </c>
      <c r="D100" s="1">
        <f>acqua!Q81</f>
        <v>9.1689825416199486</v>
      </c>
      <c r="E100" s="1">
        <f>'monossido di carbonio'!O81</f>
        <v>4.2466540718763257</v>
      </c>
      <c r="F100" s="1">
        <f>'diossido di azoto'!Q81</f>
        <v>25.568463350585262</v>
      </c>
    </row>
    <row r="101" spans="2:6" x14ac:dyDescent="0.3">
      <c r="B101">
        <v>1800</v>
      </c>
      <c r="C101" s="1">
        <f>metano!X82</f>
        <v>48.550182989116379</v>
      </c>
      <c r="D101" s="1">
        <f>acqua!Q82</f>
        <v>10.015431480001102</v>
      </c>
      <c r="E101" s="1">
        <f>'monossido di carbonio'!O82</f>
        <v>4.6107929445248734</v>
      </c>
      <c r="F101" s="1">
        <f>'diossido di azoto'!Q82</f>
        <v>26.85928290577387</v>
      </c>
    </row>
    <row r="102" spans="2:6" x14ac:dyDescent="0.3">
      <c r="B102">
        <v>1900</v>
      </c>
      <c r="C102" s="1">
        <f>metano!X83</f>
        <v>51.701898800014249</v>
      </c>
      <c r="D102" s="1">
        <f>acqua!Q83</f>
        <v>10.854943618524171</v>
      </c>
      <c r="E102" s="1">
        <f>'monossido di carbonio'!O83</f>
        <v>4.9648056186902956</v>
      </c>
      <c r="F102" s="1">
        <f>'diossido di azoto'!Q83</f>
        <v>28.092830040530497</v>
      </c>
    </row>
    <row r="103" spans="2:6" x14ac:dyDescent="0.3">
      <c r="B103">
        <v>2000</v>
      </c>
      <c r="C103" s="1">
        <f>metano!X84</f>
        <v>54.760870815705566</v>
      </c>
      <c r="D103" s="1">
        <f>acqua!Q84</f>
        <v>11.685136309777151</v>
      </c>
      <c r="E103" s="1">
        <f>'monossido di carbonio'!O84</f>
        <v>5.3086071195601985</v>
      </c>
      <c r="F103" s="1">
        <f>'diossido di azoto'!Q84</f>
        <v>29.273348258054117</v>
      </c>
    </row>
    <row r="113" spans="2:12" x14ac:dyDescent="0.3">
      <c r="B113" t="s">
        <v>4</v>
      </c>
      <c r="C113" t="s">
        <v>107</v>
      </c>
      <c r="D113" t="s">
        <v>99</v>
      </c>
      <c r="E113" t="s">
        <v>100</v>
      </c>
      <c r="F113" t="s">
        <v>101</v>
      </c>
      <c r="H113" t="s">
        <v>4</v>
      </c>
      <c r="I113" t="s">
        <v>107</v>
      </c>
      <c r="J113" t="s">
        <v>99</v>
      </c>
      <c r="K113" t="s">
        <v>100</v>
      </c>
      <c r="L113" t="s">
        <v>101</v>
      </c>
    </row>
    <row r="114" spans="2:12" x14ac:dyDescent="0.3">
      <c r="B114">
        <v>298</v>
      </c>
      <c r="C114" s="1">
        <f>metano!C103</f>
        <v>12.471693000000002</v>
      </c>
      <c r="D114" s="1">
        <f>acqua!C103</f>
        <v>12.471693000000002</v>
      </c>
      <c r="E114" s="1">
        <f>'monossido di carbonio'!C104</f>
        <v>12.471693000000002</v>
      </c>
      <c r="F114" s="1">
        <f>'diossido di azoto'!C103</f>
        <v>12.471693000000002</v>
      </c>
      <c r="H114">
        <v>298</v>
      </c>
      <c r="I114" s="1">
        <f>metano!B103</f>
        <v>12.471693000000002</v>
      </c>
      <c r="J114" s="1">
        <f>acqua!B103</f>
        <v>12.471693000000002</v>
      </c>
      <c r="K114" s="1">
        <f>'monossido di carbonio'!B104</f>
        <v>8.3144620000000007</v>
      </c>
      <c r="L114" s="1">
        <f>'diossido di azoto'!B103</f>
        <v>12.471693000000002</v>
      </c>
    </row>
    <row r="115" spans="2:12" x14ac:dyDescent="0.3">
      <c r="B115">
        <v>400</v>
      </c>
      <c r="C115" s="1">
        <f>metano!C104</f>
        <v>12.471693000000002</v>
      </c>
      <c r="D115" s="1">
        <f>acqua!C104</f>
        <v>12.471693000000002</v>
      </c>
      <c r="E115" s="1">
        <f>'monossido di carbonio'!C105</f>
        <v>12.471693000000002</v>
      </c>
      <c r="F115" s="1">
        <f>'diossido di azoto'!C104</f>
        <v>12.471693000000002</v>
      </c>
      <c r="H115">
        <v>400</v>
      </c>
      <c r="I115" s="1">
        <f>metano!B104</f>
        <v>12.471693000000002</v>
      </c>
      <c r="J115" s="1">
        <f>acqua!B104</f>
        <v>12.471693000000002</v>
      </c>
      <c r="K115" s="1">
        <f>'monossido di carbonio'!B105</f>
        <v>8.3144620000000007</v>
      </c>
      <c r="L115" s="1">
        <f>'diossido di azoto'!B104</f>
        <v>12.471693000000002</v>
      </c>
    </row>
    <row r="116" spans="2:12" x14ac:dyDescent="0.3">
      <c r="B116">
        <v>500</v>
      </c>
      <c r="C116" s="1">
        <f>metano!C105</f>
        <v>12.471693000000002</v>
      </c>
      <c r="D116" s="1">
        <f>acqua!C105</f>
        <v>12.471693000000002</v>
      </c>
      <c r="E116" s="1">
        <f>'monossido di carbonio'!C106</f>
        <v>12.471693000000002</v>
      </c>
      <c r="F116" s="1">
        <f>'diossido di azoto'!C105</f>
        <v>12.471693000000002</v>
      </c>
      <c r="H116">
        <v>500</v>
      </c>
      <c r="I116" s="1">
        <f>metano!B105</f>
        <v>12.471693000000002</v>
      </c>
      <c r="J116" s="1">
        <f>acqua!B105</f>
        <v>12.471693000000002</v>
      </c>
      <c r="K116" s="1">
        <f>'monossido di carbonio'!B106</f>
        <v>8.3144620000000007</v>
      </c>
      <c r="L116" s="1">
        <f>'diossido di azoto'!B105</f>
        <v>12.471693000000002</v>
      </c>
    </row>
    <row r="117" spans="2:12" x14ac:dyDescent="0.3">
      <c r="B117">
        <v>600</v>
      </c>
      <c r="C117" s="1">
        <f>metano!C106</f>
        <v>12.471693000000002</v>
      </c>
      <c r="D117" s="1">
        <f>acqua!C106</f>
        <v>12.471693000000002</v>
      </c>
      <c r="E117" s="1">
        <f>'monossido di carbonio'!C107</f>
        <v>12.471693000000002</v>
      </c>
      <c r="F117" s="1">
        <f>'diossido di azoto'!C106</f>
        <v>12.471693000000002</v>
      </c>
      <c r="H117">
        <v>600</v>
      </c>
      <c r="I117" s="1">
        <f>metano!B106</f>
        <v>12.471693000000002</v>
      </c>
      <c r="J117" s="1">
        <f>acqua!B106</f>
        <v>12.471693000000002</v>
      </c>
      <c r="K117" s="1">
        <f>'monossido di carbonio'!B107</f>
        <v>8.3144620000000007</v>
      </c>
      <c r="L117" s="1">
        <f>'diossido di azoto'!B106</f>
        <v>12.471693000000002</v>
      </c>
    </row>
    <row r="118" spans="2:12" x14ac:dyDescent="0.3">
      <c r="B118">
        <v>700</v>
      </c>
      <c r="C118" s="1">
        <f>metano!C107</f>
        <v>12.471693000000002</v>
      </c>
      <c r="D118" s="1">
        <f>acqua!C107</f>
        <v>12.471693000000002</v>
      </c>
      <c r="E118" s="1">
        <f>'monossido di carbonio'!C108</f>
        <v>12.471693000000002</v>
      </c>
      <c r="F118" s="1">
        <f>'diossido di azoto'!C107</f>
        <v>12.471693000000002</v>
      </c>
      <c r="H118">
        <v>700</v>
      </c>
      <c r="I118" s="1">
        <f>metano!B107</f>
        <v>12.471693000000002</v>
      </c>
      <c r="J118" s="1">
        <f>acqua!B107</f>
        <v>12.471693000000002</v>
      </c>
      <c r="K118" s="1">
        <f>'monossido di carbonio'!B108</f>
        <v>8.3144620000000007</v>
      </c>
      <c r="L118" s="1">
        <f>'diossido di azoto'!B107</f>
        <v>12.471693000000002</v>
      </c>
    </row>
    <row r="119" spans="2:12" x14ac:dyDescent="0.3">
      <c r="B119">
        <v>800</v>
      </c>
      <c r="C119" s="1">
        <f>metano!C108</f>
        <v>12.471693000000002</v>
      </c>
      <c r="D119" s="1">
        <f>acqua!C108</f>
        <v>12.471693000000002</v>
      </c>
      <c r="E119" s="1">
        <f>'monossido di carbonio'!C109</f>
        <v>12.471693000000002</v>
      </c>
      <c r="F119" s="1">
        <f>'diossido di azoto'!C108</f>
        <v>12.471693000000002</v>
      </c>
      <c r="H119">
        <v>800</v>
      </c>
      <c r="I119" s="1">
        <f>metano!B108</f>
        <v>12.471693000000002</v>
      </c>
      <c r="J119" s="1">
        <f>acqua!B108</f>
        <v>12.471693000000002</v>
      </c>
      <c r="K119" s="1">
        <f>'monossido di carbonio'!B109</f>
        <v>8.3144620000000007</v>
      </c>
      <c r="L119" s="1">
        <f>'diossido di azoto'!B108</f>
        <v>12.471693000000002</v>
      </c>
    </row>
    <row r="120" spans="2:12" x14ac:dyDescent="0.3">
      <c r="B120">
        <v>900</v>
      </c>
      <c r="C120" s="1">
        <f>metano!C109</f>
        <v>12.471693000000002</v>
      </c>
      <c r="D120" s="1">
        <f>acqua!C109</f>
        <v>12.471693000000002</v>
      </c>
      <c r="E120" s="1">
        <f>'monossido di carbonio'!C110</f>
        <v>12.471693000000002</v>
      </c>
      <c r="F120" s="1">
        <f>'diossido di azoto'!C109</f>
        <v>12.471693000000002</v>
      </c>
      <c r="H120">
        <v>900</v>
      </c>
      <c r="I120" s="1">
        <f>metano!B109</f>
        <v>12.471693000000002</v>
      </c>
      <c r="J120" s="1">
        <f>acqua!B109</f>
        <v>12.471693000000002</v>
      </c>
      <c r="K120" s="1">
        <f>'monossido di carbonio'!B110</f>
        <v>8.3144620000000007</v>
      </c>
      <c r="L120" s="1">
        <f>'diossido di azoto'!B109</f>
        <v>12.471693000000002</v>
      </c>
    </row>
    <row r="121" spans="2:12" x14ac:dyDescent="0.3">
      <c r="B121">
        <v>1000</v>
      </c>
      <c r="C121" s="1">
        <f>metano!C110</f>
        <v>12.471693000000002</v>
      </c>
      <c r="D121" s="1">
        <f>acqua!C110</f>
        <v>12.471693000000002</v>
      </c>
      <c r="E121" s="1">
        <f>'monossido di carbonio'!C111</f>
        <v>12.471693000000002</v>
      </c>
      <c r="F121" s="1">
        <f>'diossido di azoto'!C110</f>
        <v>12.471693000000002</v>
      </c>
      <c r="H121">
        <v>1000</v>
      </c>
      <c r="I121" s="1">
        <f>metano!B110</f>
        <v>12.471693000000002</v>
      </c>
      <c r="J121" s="1">
        <f>acqua!B110</f>
        <v>12.471693000000002</v>
      </c>
      <c r="K121" s="1">
        <f>'monossido di carbonio'!B111</f>
        <v>8.3144620000000007</v>
      </c>
      <c r="L121" s="1">
        <f>'diossido di azoto'!B110</f>
        <v>12.471693000000002</v>
      </c>
    </row>
    <row r="122" spans="2:12" x14ac:dyDescent="0.3">
      <c r="B122">
        <v>1100</v>
      </c>
      <c r="C122" s="1">
        <f>metano!C111</f>
        <v>12.471693000000002</v>
      </c>
      <c r="D122" s="1">
        <f>acqua!C111</f>
        <v>12.471693000000002</v>
      </c>
      <c r="E122" s="1">
        <f>'monossido di carbonio'!C112</f>
        <v>12.471693000000002</v>
      </c>
      <c r="F122" s="1">
        <f>'diossido di azoto'!C111</f>
        <v>12.471693000000002</v>
      </c>
      <c r="H122">
        <v>1100</v>
      </c>
      <c r="I122" s="1">
        <f>metano!B111</f>
        <v>12.471693000000002</v>
      </c>
      <c r="J122" s="1">
        <f>acqua!B111</f>
        <v>12.471693000000002</v>
      </c>
      <c r="K122" s="1">
        <f>'monossido di carbonio'!B112</f>
        <v>8.3144620000000007</v>
      </c>
      <c r="L122" s="1">
        <f>'diossido di azoto'!B111</f>
        <v>12.471693000000002</v>
      </c>
    </row>
    <row r="123" spans="2:12" x14ac:dyDescent="0.3">
      <c r="B123">
        <v>1200</v>
      </c>
      <c r="C123" s="1">
        <f>metano!C112</f>
        <v>12.471693000000002</v>
      </c>
      <c r="D123" s="1">
        <f>acqua!C112</f>
        <v>12.471693000000002</v>
      </c>
      <c r="E123" s="1">
        <f>'monossido di carbonio'!C113</f>
        <v>12.471693000000002</v>
      </c>
      <c r="F123" s="1">
        <f>'diossido di azoto'!C112</f>
        <v>12.471693000000002</v>
      </c>
      <c r="H123">
        <v>1200</v>
      </c>
      <c r="I123" s="1">
        <f>metano!B112</f>
        <v>12.471693000000002</v>
      </c>
      <c r="J123" s="1">
        <f>acqua!B112</f>
        <v>12.471693000000002</v>
      </c>
      <c r="K123" s="1">
        <f>'monossido di carbonio'!B113</f>
        <v>8.3144620000000007</v>
      </c>
      <c r="L123" s="1">
        <f>'diossido di azoto'!B112</f>
        <v>12.471693000000002</v>
      </c>
    </row>
    <row r="124" spans="2:12" x14ac:dyDescent="0.3">
      <c r="B124">
        <v>1300</v>
      </c>
      <c r="C124" s="1">
        <f>metano!C113</f>
        <v>12.471693000000002</v>
      </c>
      <c r="D124" s="1">
        <f>acqua!C113</f>
        <v>12.471693000000002</v>
      </c>
      <c r="E124" s="1">
        <f>'monossido di carbonio'!C114</f>
        <v>12.471693000000002</v>
      </c>
      <c r="F124" s="1">
        <f>'diossido di azoto'!C113</f>
        <v>12.471693000000002</v>
      </c>
      <c r="H124">
        <v>1300</v>
      </c>
      <c r="I124" s="1">
        <f>metano!B113</f>
        <v>12.471693000000002</v>
      </c>
      <c r="J124" s="1">
        <f>acqua!B113</f>
        <v>12.471693000000002</v>
      </c>
      <c r="K124" s="1">
        <f>'monossido di carbonio'!B114</f>
        <v>8.3144620000000007</v>
      </c>
      <c r="L124" s="1">
        <f>'diossido di azoto'!B113</f>
        <v>12.471693000000002</v>
      </c>
    </row>
    <row r="125" spans="2:12" x14ac:dyDescent="0.3">
      <c r="B125">
        <v>1400</v>
      </c>
      <c r="C125" s="1">
        <f>metano!C114</f>
        <v>12.471693000000002</v>
      </c>
      <c r="D125" s="1">
        <f>acqua!C114</f>
        <v>12.471693000000002</v>
      </c>
      <c r="E125" s="1">
        <f>'monossido di carbonio'!C115</f>
        <v>12.471693000000002</v>
      </c>
      <c r="F125" s="1">
        <f>'diossido di azoto'!C114</f>
        <v>12.471693000000002</v>
      </c>
      <c r="H125">
        <v>1400</v>
      </c>
      <c r="I125" s="1">
        <f>metano!B114</f>
        <v>12.471693000000002</v>
      </c>
      <c r="J125" s="1">
        <f>acqua!B114</f>
        <v>12.471693000000002</v>
      </c>
      <c r="K125" s="1">
        <f>'monossido di carbonio'!B115</f>
        <v>8.3144620000000007</v>
      </c>
      <c r="L125" s="1">
        <f>'diossido di azoto'!B114</f>
        <v>12.471693000000002</v>
      </c>
    </row>
    <row r="126" spans="2:12" x14ac:dyDescent="0.3">
      <c r="B126">
        <v>1500</v>
      </c>
      <c r="C126" s="1">
        <f>metano!C115</f>
        <v>12.471693000000002</v>
      </c>
      <c r="D126" s="1">
        <f>acqua!C115</f>
        <v>12.471693000000002</v>
      </c>
      <c r="E126" s="1">
        <f>'monossido di carbonio'!C116</f>
        <v>12.471693000000002</v>
      </c>
      <c r="F126" s="1">
        <f>'diossido di azoto'!C115</f>
        <v>12.471693000000002</v>
      </c>
      <c r="H126">
        <v>1500</v>
      </c>
      <c r="I126" s="1">
        <f>metano!B115</f>
        <v>12.471693000000002</v>
      </c>
      <c r="J126" s="1">
        <f>acqua!B115</f>
        <v>12.471693000000002</v>
      </c>
      <c r="K126" s="1">
        <f>'monossido di carbonio'!B116</f>
        <v>8.3144620000000007</v>
      </c>
      <c r="L126" s="1">
        <f>'diossido di azoto'!B115</f>
        <v>12.471693000000002</v>
      </c>
    </row>
    <row r="127" spans="2:12" x14ac:dyDescent="0.3">
      <c r="B127">
        <v>1600</v>
      </c>
      <c r="C127" s="1">
        <f>metano!C116</f>
        <v>12.471693000000002</v>
      </c>
      <c r="D127" s="1">
        <f>acqua!C116</f>
        <v>12.471693000000002</v>
      </c>
      <c r="E127" s="1">
        <f>'monossido di carbonio'!C117</f>
        <v>12.471693000000002</v>
      </c>
      <c r="F127" s="1">
        <f>'diossido di azoto'!C116</f>
        <v>12.471693000000002</v>
      </c>
      <c r="H127">
        <v>1600</v>
      </c>
      <c r="I127" s="1">
        <f>metano!B116</f>
        <v>12.471693000000002</v>
      </c>
      <c r="J127" s="1">
        <f>acqua!B116</f>
        <v>12.471693000000002</v>
      </c>
      <c r="K127" s="1">
        <f>'monossido di carbonio'!B117</f>
        <v>8.3144620000000007</v>
      </c>
      <c r="L127" s="1">
        <f>'diossido di azoto'!B116</f>
        <v>12.471693000000002</v>
      </c>
    </row>
    <row r="128" spans="2:12" x14ac:dyDescent="0.3">
      <c r="B128">
        <v>1700</v>
      </c>
      <c r="C128" s="1">
        <f>metano!C117</f>
        <v>12.471693000000002</v>
      </c>
      <c r="D128" s="1">
        <f>acqua!C117</f>
        <v>12.471693000000002</v>
      </c>
      <c r="E128" s="1">
        <f>'monossido di carbonio'!C118</f>
        <v>12.471693000000002</v>
      </c>
      <c r="F128" s="1">
        <f>'diossido di azoto'!C117</f>
        <v>12.471693000000002</v>
      </c>
      <c r="H128">
        <v>1700</v>
      </c>
      <c r="I128" s="1">
        <f>metano!B117</f>
        <v>12.471693000000002</v>
      </c>
      <c r="J128" s="1">
        <f>acqua!B117</f>
        <v>12.471693000000002</v>
      </c>
      <c r="K128" s="1">
        <f>'monossido di carbonio'!B118</f>
        <v>8.3144620000000007</v>
      </c>
      <c r="L128" s="1">
        <f>'diossido di azoto'!B117</f>
        <v>12.471693000000002</v>
      </c>
    </row>
    <row r="129" spans="2:12" x14ac:dyDescent="0.3">
      <c r="B129">
        <v>1800</v>
      </c>
      <c r="C129" s="1">
        <f>metano!C118</f>
        <v>12.471693000000002</v>
      </c>
      <c r="D129" s="1">
        <f>acqua!C118</f>
        <v>12.471693000000002</v>
      </c>
      <c r="E129" s="1">
        <f>'monossido di carbonio'!C119</f>
        <v>12.471693000000002</v>
      </c>
      <c r="F129" s="1">
        <f>'diossido di azoto'!C118</f>
        <v>12.471693000000002</v>
      </c>
      <c r="H129">
        <v>1800</v>
      </c>
      <c r="I129" s="1">
        <f>metano!B118</f>
        <v>12.471693000000002</v>
      </c>
      <c r="J129" s="1">
        <f>acqua!B118</f>
        <v>12.471693000000002</v>
      </c>
      <c r="K129" s="1">
        <f>'monossido di carbonio'!B119</f>
        <v>8.3144620000000007</v>
      </c>
      <c r="L129" s="1">
        <f>'diossido di azoto'!B118</f>
        <v>12.471693000000002</v>
      </c>
    </row>
    <row r="130" spans="2:12" x14ac:dyDescent="0.3">
      <c r="B130">
        <v>1900</v>
      </c>
      <c r="C130" s="1">
        <f>metano!C119</f>
        <v>12.471693000000002</v>
      </c>
      <c r="D130" s="1">
        <f>acqua!C119</f>
        <v>12.471693000000002</v>
      </c>
      <c r="E130" s="1">
        <f>'monossido di carbonio'!C120</f>
        <v>12.471693000000002</v>
      </c>
      <c r="F130" s="1">
        <f>'diossido di azoto'!C119</f>
        <v>12.471693000000002</v>
      </c>
      <c r="H130">
        <v>1900</v>
      </c>
      <c r="I130" s="1">
        <f>metano!B119</f>
        <v>12.471693000000002</v>
      </c>
      <c r="J130" s="1">
        <f>acqua!B119</f>
        <v>12.471693000000002</v>
      </c>
      <c r="K130" s="1">
        <f>'monossido di carbonio'!B120</f>
        <v>8.3144620000000007</v>
      </c>
      <c r="L130" s="1">
        <f>'diossido di azoto'!B119</f>
        <v>12.471693000000002</v>
      </c>
    </row>
    <row r="131" spans="2:12" x14ac:dyDescent="0.3">
      <c r="B131">
        <v>2000</v>
      </c>
      <c r="C131" s="1">
        <f>metano!C120</f>
        <v>12.471693000000002</v>
      </c>
      <c r="D131" s="1">
        <f>acqua!C120</f>
        <v>12.471693000000002</v>
      </c>
      <c r="E131" s="1">
        <f>'monossido di carbonio'!C121</f>
        <v>12.471693000000002</v>
      </c>
      <c r="F131" s="1">
        <f>'diossido di azoto'!C120</f>
        <v>12.471693000000002</v>
      </c>
      <c r="H131">
        <v>2000</v>
      </c>
      <c r="I131" s="1">
        <f>metano!B120</f>
        <v>12.471693000000002</v>
      </c>
      <c r="J131" s="1">
        <f>acqua!B120</f>
        <v>12.471693000000002</v>
      </c>
      <c r="K131" s="1">
        <f>'monossido di carbonio'!B121</f>
        <v>8.3144620000000007</v>
      </c>
      <c r="L131" s="1">
        <f>'diossido di azoto'!B120</f>
        <v>12.471693000000002</v>
      </c>
    </row>
    <row r="136" spans="2:12" x14ac:dyDescent="0.3">
      <c r="B136" t="s">
        <v>4</v>
      </c>
      <c r="C136" t="s">
        <v>107</v>
      </c>
      <c r="D136" t="s">
        <v>99</v>
      </c>
      <c r="E136" t="s">
        <v>100</v>
      </c>
      <c r="F136" t="s">
        <v>101</v>
      </c>
    </row>
    <row r="137" spans="2:12" x14ac:dyDescent="0.3">
      <c r="B137">
        <v>298</v>
      </c>
      <c r="C137" s="1">
        <f>metano!P105</f>
        <v>1.9539926462932609</v>
      </c>
      <c r="D137" s="1">
        <f>acqua!J105</f>
        <v>0.21683064057509557</v>
      </c>
      <c r="E137" s="1">
        <f>'monossido di carbonio'!H106</f>
        <v>2.2710956082236129E-2</v>
      </c>
      <c r="F137" s="1">
        <f>'diossido di azoto'!J105</f>
        <v>3.6819438528852535</v>
      </c>
    </row>
    <row r="138" spans="2:12" x14ac:dyDescent="0.3">
      <c r="B138">
        <v>400</v>
      </c>
      <c r="C138" s="1">
        <f>metano!P106</f>
        <v>6.101561738755402</v>
      </c>
      <c r="D138" s="1">
        <f>acqua!J106</f>
        <v>1.0905335185047891</v>
      </c>
      <c r="E138" s="1">
        <f>'monossido di carbonio'!H107</f>
        <v>0.18971681094514353</v>
      </c>
      <c r="F138" s="1">
        <f>'diossido di azoto'!J106</f>
        <v>4.6932590591269738</v>
      </c>
    </row>
    <row r="139" spans="2:12" x14ac:dyDescent="0.3">
      <c r="B139">
        <v>500</v>
      </c>
      <c r="C139" s="1">
        <f>metano!P107</f>
        <v>10.980400707168242</v>
      </c>
      <c r="D139" s="1">
        <f>acqua!J107</f>
        <v>2.6936263974443611</v>
      </c>
      <c r="E139" s="1">
        <f>'monossido di carbonio'!H108</f>
        <v>0.59347348920645782</v>
      </c>
      <c r="F139" s="1">
        <f>'diossido di azoto'!J107</f>
        <v>5.7255234156649131</v>
      </c>
    </row>
    <row r="140" spans="2:12" x14ac:dyDescent="0.3">
      <c r="B140">
        <v>600</v>
      </c>
      <c r="C140" s="1">
        <f>metano!P108</f>
        <v>15.577037131973006</v>
      </c>
      <c r="D140" s="1">
        <f>acqua!J108</f>
        <v>4.6962645586087337</v>
      </c>
      <c r="E140" s="1">
        <f>'monossido di carbonio'!H109</f>
        <v>1.1926911411643459</v>
      </c>
      <c r="F140" s="1">
        <f>'diossido di azoto'!J108</f>
        <v>6.3987575807436006</v>
      </c>
    </row>
    <row r="141" spans="2:12" x14ac:dyDescent="0.3">
      <c r="B141">
        <v>700</v>
      </c>
      <c r="C141" s="1">
        <f>metano!P109</f>
        <v>19.530504744643949</v>
      </c>
      <c r="D141" s="1">
        <f>acqua!J109</f>
        <v>6.8452324847616399</v>
      </c>
      <c r="E141" s="1">
        <f>'monossido di carbonio'!H110</f>
        <v>1.8846181556819135</v>
      </c>
      <c r="F141" s="1">
        <f>'diossido di azoto'!J109</f>
        <v>6.8503062658327281</v>
      </c>
    </row>
    <row r="142" spans="2:12" x14ac:dyDescent="0.3">
      <c r="B142">
        <v>800</v>
      </c>
      <c r="C142" s="1">
        <f>metano!P110</f>
        <v>22.827675121519402</v>
      </c>
      <c r="D142" s="1">
        <f>acqua!J110</f>
        <v>9.0540902473957114</v>
      </c>
      <c r="E142" s="1">
        <f>'monossido di carbonio'!H111</f>
        <v>2.583320563977761</v>
      </c>
      <c r="F142" s="1">
        <f>'diossido di azoto'!J110</f>
        <v>7.1637723428532141</v>
      </c>
    </row>
    <row r="143" spans="2:12" x14ac:dyDescent="0.3">
      <c r="B143">
        <v>900</v>
      </c>
      <c r="C143" s="1">
        <f>metano!P111</f>
        <v>25.563406040630916</v>
      </c>
      <c r="D143" s="1">
        <f>acqua!J111</f>
        <v>11.305896643227797</v>
      </c>
      <c r="E143" s="1">
        <f>'monossido di carbonio'!H112</f>
        <v>3.238436114982866</v>
      </c>
      <c r="F143" s="1">
        <f>'diossido di azoto'!J111</f>
        <v>7.3886092019537681</v>
      </c>
    </row>
    <row r="144" spans="2:12" x14ac:dyDescent="0.3">
      <c r="B144">
        <v>1000</v>
      </c>
      <c r="C144" s="1">
        <f>metano!P112</f>
        <v>27.845823452921515</v>
      </c>
      <c r="D144" s="1">
        <f>acqua!J112</f>
        <v>13.583210171066334</v>
      </c>
      <c r="E144" s="1">
        <f>'monossido di carbonio'!H113</f>
        <v>3.827690777326759</v>
      </c>
      <c r="F144" s="1">
        <f>'diossido di azoto'!J112</f>
        <v>7.55462118192023</v>
      </c>
    </row>
    <row r="145" spans="2:6" x14ac:dyDescent="0.3">
      <c r="B145">
        <v>1100</v>
      </c>
      <c r="C145" s="1">
        <f>metano!P113</f>
        <v>29.768114589797353</v>
      </c>
      <c r="D145" s="1">
        <f>acqua!J113</f>
        <v>15.854335887126258</v>
      </c>
      <c r="E145" s="1">
        <f>'monossido di carbonio'!H114</f>
        <v>4.3456561570441545</v>
      </c>
      <c r="F145" s="1">
        <f>'diossido di azoto'!J113</f>
        <v>7.6803292940507477</v>
      </c>
    </row>
    <row r="146" spans="2:6" x14ac:dyDescent="0.3">
      <c r="B146">
        <v>1200</v>
      </c>
      <c r="C146" s="1">
        <f>metano!P114</f>
        <v>31.404057735937279</v>
      </c>
      <c r="D146" s="1">
        <f>acqua!J114</f>
        <v>18.081351991482112</v>
      </c>
      <c r="E146" s="1">
        <f>'monossido di carbonio'!H115</f>
        <v>4.7954767917344512</v>
      </c>
      <c r="F146" s="1">
        <f>'diossido di azoto'!J114</f>
        <v>7.7776197993369705</v>
      </c>
    </row>
    <row r="147" spans="2:6" x14ac:dyDescent="0.3">
      <c r="B147">
        <v>1300</v>
      </c>
      <c r="C147" s="1">
        <f>metano!P115</f>
        <v>32.810484956123368</v>
      </c>
      <c r="D147" s="1">
        <f>acqua!J115</f>
        <v>20.229483026223001</v>
      </c>
      <c r="E147" s="1">
        <f>'monossido di carbonio'!H116</f>
        <v>5.1839479684114798</v>
      </c>
      <c r="F147" s="1">
        <f>'diossido di azoto'!J115</f>
        <v>7.8543572722753741</v>
      </c>
    </row>
    <row r="148" spans="2:6" x14ac:dyDescent="0.3">
      <c r="B148">
        <v>1400</v>
      </c>
      <c r="C148" s="1">
        <f>metano!P116</f>
        <v>34.03097618631088</v>
      </c>
      <c r="D148" s="1">
        <f>acqua!J116</f>
        <v>22.272161894631761</v>
      </c>
      <c r="E148" s="1">
        <f>'monossido di carbonio'!H117</f>
        <v>5.5189044719322693</v>
      </c>
      <c r="F148" s="1">
        <f>'diossido di azoto'!J116</f>
        <v>7.9158921631883068</v>
      </c>
    </row>
    <row r="149" spans="2:6" x14ac:dyDescent="0.3">
      <c r="B149">
        <v>1500</v>
      </c>
      <c r="C149" s="1">
        <f>metano!P117</f>
        <v>35.099132243937092</v>
      </c>
      <c r="D149" s="1">
        <f>acqua!J117</f>
        <v>24.192221131222649</v>
      </c>
      <c r="E149" s="1">
        <f>'monossido di carbonio'!H118</f>
        <v>5.8079633018903181</v>
      </c>
      <c r="F149" s="1">
        <f>'diossido di azoto'!J117</f>
        <v>7.9659567546172818</v>
      </c>
    </row>
    <row r="150" spans="2:6" x14ac:dyDescent="0.3">
      <c r="B150">
        <v>1600</v>
      </c>
      <c r="C150" s="1">
        <f>metano!P118</f>
        <v>36.041113710268597</v>
      </c>
      <c r="D150" s="1">
        <f>acqua!J118</f>
        <v>25.980909454733954</v>
      </c>
      <c r="E150" s="1">
        <f>'monossido di carbonio'!H119</f>
        <v>6.0579951148716384</v>
      </c>
      <c r="F150" s="1">
        <f>'diossido di azoto'!J118</f>
        <v>8.0072135511449769</v>
      </c>
    </row>
    <row r="151" spans="2:6" x14ac:dyDescent="0.3">
      <c r="B151">
        <v>1700</v>
      </c>
      <c r="C151" s="1">
        <f>metano!P119</f>
        <v>36.877520084659331</v>
      </c>
      <c r="D151" s="1">
        <f>acqua!J119</f>
        <v>27.636077362102853</v>
      </c>
      <c r="E151" s="1">
        <f>'monossido di carbonio'!H120</f>
        <v>6.2749639941239241</v>
      </c>
      <c r="F151" s="1">
        <f>'diossido di azoto'!J119</f>
        <v>8.0416003973618349</v>
      </c>
    </row>
    <row r="152" spans="2:6" x14ac:dyDescent="0.3">
      <c r="B152">
        <v>1800</v>
      </c>
      <c r="C152" s="1">
        <f>metano!P120</f>
        <v>37.624760068521049</v>
      </c>
      <c r="D152" s="1">
        <f>acqua!J120</f>
        <v>29.160293242607182</v>
      </c>
      <c r="E152" s="1">
        <f>'monossido di carbonio'!H121</f>
        <v>6.4639407653017003</v>
      </c>
      <c r="F152" s="1">
        <f>'diossido di azoto'!J120</f>
        <v>8.0705533251458448</v>
      </c>
    </row>
    <row r="153" spans="2:6" x14ac:dyDescent="0.3">
      <c r="B153">
        <v>1900</v>
      </c>
      <c r="C153" s="1">
        <f>metano!P121</f>
        <v>38.296050254091902</v>
      </c>
      <c r="D153" s="1">
        <f>acqua!J121</f>
        <v>30.559225830233956</v>
      </c>
      <c r="E153" s="1">
        <f>'monossido di carbonio'!H122</f>
        <v>6.6291891027060599</v>
      </c>
      <c r="F153" s="1">
        <f>'diossido di azoto'!J121</f>
        <v>8.0951538764725068</v>
      </c>
    </row>
    <row r="154" spans="2:6" x14ac:dyDescent="0.3">
      <c r="B154">
        <v>2000</v>
      </c>
      <c r="C154" s="1">
        <f>metano!P122</f>
        <v>38.902147651419035</v>
      </c>
      <c r="D154" s="1">
        <f>acqua!J122</f>
        <v>31.840388023393075</v>
      </c>
      <c r="E154" s="1">
        <f>'monossido di carbonio'!H123</f>
        <v>6.7742744751735762</v>
      </c>
      <c r="F154" s="1">
        <f>'diossido di azoto'!J122</f>
        <v>8.116228612730783</v>
      </c>
    </row>
  </sheetData>
  <pageMargins left="0.7" right="0.7" top="0.75" bottom="0.75" header="0.3" footer="0.3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metano</vt:lpstr>
      <vt:lpstr>acqua</vt:lpstr>
      <vt:lpstr>monossido di carbonio</vt:lpstr>
      <vt:lpstr>diossido di azoto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Filippo Buda</cp:lastModifiedBy>
  <dcterms:created xsi:type="dcterms:W3CDTF">2024-04-10T07:13:55Z</dcterms:created>
  <dcterms:modified xsi:type="dcterms:W3CDTF">2024-06-23T14:21:08Z</dcterms:modified>
</cp:coreProperties>
</file>