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670120_polimi_it/Documents/POLIMI/II ANNO/II SEMESTRE/MOLECULAR MODELING IN PROCESS ENGINEERING/Practicals/Project5/"/>
    </mc:Choice>
  </mc:AlternateContent>
  <xr:revisionPtr revIDLastSave="27" documentId="13_ncr:1_{C40F80D4-7DC5-4611-A5DB-ED4ABF0CA183}" xr6:coauthVersionLast="47" xr6:coauthVersionMax="47" xr10:uidLastSave="{1A0CA131-732E-4716-8F66-7D99CDD96745}"/>
  <bookViews>
    <workbookView xWindow="-108" yWindow="-108" windowWidth="23256" windowHeight="12456" activeTab="3" xr2:uid="{00000000-000D-0000-FFFF-FFFF00000000}"/>
  </bookViews>
  <sheets>
    <sheet name="CH4" sheetId="1" r:id="rId1"/>
    <sheet name="CH3" sheetId="2" r:id="rId2"/>
    <sheet name="H" sheetId="3" r:id="rId3"/>
    <sheet name="keq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5" i="1" l="1"/>
  <c r="K56" i="1"/>
  <c r="K57" i="1"/>
  <c r="K58" i="1"/>
  <c r="K59" i="1"/>
  <c r="K60" i="1"/>
  <c r="K61" i="1"/>
  <c r="K62" i="1"/>
  <c r="K54" i="1"/>
  <c r="I8" i="5"/>
  <c r="I9" i="5"/>
  <c r="I10" i="5"/>
  <c r="I11" i="5"/>
  <c r="I12" i="5"/>
  <c r="I13" i="5"/>
  <c r="I14" i="5"/>
  <c r="I15" i="5"/>
  <c r="I16" i="5"/>
  <c r="I17" i="5"/>
  <c r="I18" i="5"/>
  <c r="M18" i="5" s="1"/>
  <c r="I19" i="5"/>
  <c r="M19" i="5" s="1"/>
  <c r="I20" i="5"/>
  <c r="I21" i="5"/>
  <c r="I22" i="5"/>
  <c r="I23" i="5"/>
  <c r="I24" i="5"/>
  <c r="I25" i="5"/>
  <c r="M25" i="5" s="1"/>
  <c r="I7" i="5"/>
  <c r="K55" i="2"/>
  <c r="K56" i="2"/>
  <c r="K57" i="2"/>
  <c r="K58" i="2"/>
  <c r="K59" i="2"/>
  <c r="K54" i="2"/>
  <c r="M12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7" i="5"/>
  <c r="H167" i="2"/>
  <c r="H163" i="2"/>
  <c r="H164" i="2"/>
  <c r="H165" i="2"/>
  <c r="H168" i="2"/>
  <c r="H171" i="2"/>
  <c r="H170" i="2"/>
  <c r="H169" i="2"/>
  <c r="H166" i="2"/>
  <c r="H162" i="2"/>
  <c r="H161" i="2"/>
  <c r="H160" i="2"/>
  <c r="H158" i="2"/>
  <c r="H157" i="2"/>
  <c r="H156" i="2"/>
  <c r="H155" i="2"/>
  <c r="H154" i="2"/>
  <c r="H153" i="2"/>
  <c r="F7" i="5"/>
  <c r="F8" i="5"/>
  <c r="F9" i="5"/>
  <c r="F10" i="5"/>
  <c r="F11" i="5"/>
  <c r="M11" i="5" s="1"/>
  <c r="F12" i="5"/>
  <c r="F13" i="5"/>
  <c r="F14" i="5"/>
  <c r="F15" i="5"/>
  <c r="M15" i="5" s="1"/>
  <c r="F16" i="5"/>
  <c r="M16" i="5" s="1"/>
  <c r="F17" i="5"/>
  <c r="M17" i="5" s="1"/>
  <c r="F18" i="5"/>
  <c r="F19" i="5"/>
  <c r="F20" i="5"/>
  <c r="F21" i="5"/>
  <c r="F22" i="5"/>
  <c r="F23" i="5"/>
  <c r="M23" i="5" s="1"/>
  <c r="F24" i="5"/>
  <c r="F25" i="5"/>
  <c r="B8" i="5"/>
  <c r="B7" i="5"/>
  <c r="H275" i="3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74" i="3"/>
  <c r="B275" i="3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74" i="3"/>
  <c r="H227" i="3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26" i="3"/>
  <c r="B228" i="3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27" i="3"/>
  <c r="B226" i="3"/>
  <c r="H203" i="3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02" i="3"/>
  <c r="B203" i="3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02" i="3"/>
  <c r="H177" i="3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76" i="3"/>
  <c r="B177" i="3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76" i="3"/>
  <c r="D154" i="3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53" i="3"/>
  <c r="D129" i="3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28" i="3"/>
  <c r="D108" i="3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07" i="3"/>
  <c r="D106" i="3"/>
  <c r="D85" i="3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84" i="3"/>
  <c r="D83" i="3"/>
  <c r="E66" i="3"/>
  <c r="F65" i="3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F53" i="3"/>
  <c r="G53" i="3" s="1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V53" i="3" s="1"/>
  <c r="W53" i="3" s="1"/>
  <c r="C33" i="3"/>
  <c r="C34" i="3" s="1"/>
  <c r="C32" i="3"/>
  <c r="D32" i="3" s="1"/>
  <c r="E32" i="3" s="1"/>
  <c r="K2" i="3"/>
  <c r="L2" i="3" s="1"/>
  <c r="E2" i="3"/>
  <c r="B250" i="2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49" i="2"/>
  <c r="H227" i="2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26" i="2"/>
  <c r="B227" i="2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26" i="2"/>
  <c r="H204" i="2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03" i="2"/>
  <c r="H202" i="2"/>
  <c r="B203" i="2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02" i="2"/>
  <c r="H178" i="2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77" i="2"/>
  <c r="H176" i="2"/>
  <c r="B178" i="2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77" i="2"/>
  <c r="B176" i="2"/>
  <c r="D155" i="2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54" i="2"/>
  <c r="D153" i="2"/>
  <c r="D130" i="2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29" i="2"/>
  <c r="D128" i="2"/>
  <c r="D107" i="2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06" i="2"/>
  <c r="D84" i="2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83" i="2"/>
  <c r="F65" i="2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G53" i="2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F53" i="2"/>
  <c r="E33" i="2"/>
  <c r="D32" i="2"/>
  <c r="C33" i="2"/>
  <c r="C34" i="2" s="1"/>
  <c r="C32" i="2"/>
  <c r="E32" i="2" s="1"/>
  <c r="K2" i="2"/>
  <c r="L2" i="2" s="1"/>
  <c r="E2" i="2"/>
  <c r="H274" i="1"/>
  <c r="H275" i="1"/>
  <c r="B274" i="1"/>
  <c r="B275" i="1"/>
  <c r="B249" i="1"/>
  <c r="B250" i="1"/>
  <c r="H226" i="1"/>
  <c r="H227" i="1"/>
  <c r="B227" i="1"/>
  <c r="B226" i="1"/>
  <c r="H203" i="1"/>
  <c r="B203" i="1"/>
  <c r="H176" i="1"/>
  <c r="H177" i="1"/>
  <c r="B176" i="1"/>
  <c r="B177" i="1"/>
  <c r="D154" i="1"/>
  <c r="D129" i="1"/>
  <c r="D107" i="1"/>
  <c r="D83" i="1"/>
  <c r="D84" i="1"/>
  <c r="F65" i="1"/>
  <c r="F53" i="1"/>
  <c r="C33" i="1"/>
  <c r="C32" i="1"/>
  <c r="D32" i="1" s="1"/>
  <c r="E32" i="1" s="1"/>
  <c r="E2" i="1"/>
  <c r="C202" i="1"/>
  <c r="K2" i="1"/>
  <c r="L2" i="1" s="1"/>
  <c r="M13" i="5" l="1"/>
  <c r="M10" i="5"/>
  <c r="M8" i="5"/>
  <c r="M22" i="5"/>
  <c r="M21" i="5"/>
  <c r="M9" i="5"/>
  <c r="M20" i="5"/>
  <c r="M7" i="5"/>
  <c r="M14" i="5"/>
  <c r="M24" i="5"/>
  <c r="H159" i="2"/>
  <c r="B9" i="5"/>
  <c r="D34" i="3"/>
  <c r="E34" i="3" s="1"/>
  <c r="C35" i="3"/>
  <c r="D33" i="3"/>
  <c r="E33" i="3" s="1"/>
  <c r="D34" i="2"/>
  <c r="E34" i="2" s="1"/>
  <c r="C35" i="2"/>
  <c r="D33" i="2"/>
  <c r="B10" i="5" l="1"/>
  <c r="C36" i="3"/>
  <c r="D35" i="3"/>
  <c r="E35" i="3" s="1"/>
  <c r="C36" i="2"/>
  <c r="D35" i="2"/>
  <c r="E35" i="2" s="1"/>
  <c r="B11" i="5" l="1"/>
  <c r="C37" i="3"/>
  <c r="D36" i="3"/>
  <c r="E36" i="3" s="1"/>
  <c r="C37" i="2"/>
  <c r="D36" i="2"/>
  <c r="E36" i="2" s="1"/>
  <c r="B12" i="5" l="1"/>
  <c r="D37" i="3"/>
  <c r="E37" i="3" s="1"/>
  <c r="C38" i="3"/>
  <c r="C38" i="2"/>
  <c r="D37" i="2"/>
  <c r="E37" i="2" s="1"/>
  <c r="B13" i="5" l="1"/>
  <c r="D38" i="3"/>
  <c r="E38" i="3" s="1"/>
  <c r="C39" i="3"/>
  <c r="D38" i="2"/>
  <c r="E38" i="2" s="1"/>
  <c r="C39" i="2"/>
  <c r="B14" i="5" l="1"/>
  <c r="D39" i="3"/>
  <c r="E39" i="3" s="1"/>
  <c r="C40" i="3"/>
  <c r="C40" i="2"/>
  <c r="D39" i="2"/>
  <c r="E39" i="2" s="1"/>
  <c r="B15" i="5" l="1"/>
  <c r="C41" i="3"/>
  <c r="D40" i="3"/>
  <c r="E40" i="3" s="1"/>
  <c r="C41" i="2"/>
  <c r="D40" i="2"/>
  <c r="E40" i="2" s="1"/>
  <c r="B16" i="5" l="1"/>
  <c r="D41" i="3"/>
  <c r="E41" i="3" s="1"/>
  <c r="C42" i="3"/>
  <c r="C42" i="2"/>
  <c r="D41" i="2"/>
  <c r="E41" i="2" s="1"/>
  <c r="B17" i="5" l="1"/>
  <c r="C43" i="3"/>
  <c r="D42" i="3"/>
  <c r="E42" i="3" s="1"/>
  <c r="D42" i="2"/>
  <c r="E42" i="2" s="1"/>
  <c r="C43" i="2"/>
  <c r="B18" i="5" l="1"/>
  <c r="D43" i="3"/>
  <c r="E43" i="3" s="1"/>
  <c r="C44" i="3"/>
  <c r="D43" i="2"/>
  <c r="E43" i="2" s="1"/>
  <c r="C44" i="2"/>
  <c r="B19" i="5" l="1"/>
  <c r="C45" i="3"/>
  <c r="D44" i="3"/>
  <c r="E44" i="3" s="1"/>
  <c r="C45" i="2"/>
  <c r="D44" i="2"/>
  <c r="E44" i="2" s="1"/>
  <c r="E250" i="2" a="1"/>
  <c r="E250" i="2" s="1"/>
  <c r="E251" i="2" a="1"/>
  <c r="E251" i="2"/>
  <c r="E252" i="2" a="1"/>
  <c r="E252" i="2" s="1"/>
  <c r="E253" i="2" a="1"/>
  <c r="E253" i="2"/>
  <c r="E254" i="2" a="1"/>
  <c r="E254" i="2"/>
  <c r="E255" i="2" a="1"/>
  <c r="E255" i="2" s="1"/>
  <c r="E256" i="2" a="1"/>
  <c r="E256" i="2" s="1"/>
  <c r="E257" i="2" a="1"/>
  <c r="E257" i="2" s="1"/>
  <c r="E258" i="2" a="1"/>
  <c r="E258" i="2"/>
  <c r="E259" i="2" a="1"/>
  <c r="E259" i="2"/>
  <c r="E260" i="2" a="1"/>
  <c r="E260" i="2"/>
  <c r="E261" i="2" a="1"/>
  <c r="E261" i="2" s="1"/>
  <c r="E262" i="2" a="1"/>
  <c r="E262" i="2" s="1"/>
  <c r="E263" i="2" a="1"/>
  <c r="E263" i="2" s="1"/>
  <c r="E264" i="2" a="1"/>
  <c r="E264" i="2"/>
  <c r="E265" i="2" a="1"/>
  <c r="E265" i="2" s="1"/>
  <c r="E266" i="2" a="1"/>
  <c r="E266" i="2"/>
  <c r="E267" i="2" a="1"/>
  <c r="E267" i="2"/>
  <c r="E249" i="2" a="1"/>
  <c r="E249" i="2" s="1"/>
  <c r="K244" i="2" a="1"/>
  <c r="K244" i="2" s="1"/>
  <c r="K227" i="2" a="1"/>
  <c r="K227" i="2" s="1"/>
  <c r="K228" i="2" a="1"/>
  <c r="K228" i="2"/>
  <c r="K229" i="2" a="1"/>
  <c r="K229" i="2"/>
  <c r="K230" i="2" a="1"/>
  <c r="K230" i="2"/>
  <c r="K231" i="2" a="1"/>
  <c r="K231" i="2"/>
  <c r="K232" i="2" a="1"/>
  <c r="K232" i="2"/>
  <c r="K233" i="2" a="1"/>
  <c r="K233" i="2" s="1"/>
  <c r="K234" i="2" a="1"/>
  <c r="K234" i="2"/>
  <c r="K235" i="2" a="1"/>
  <c r="K235" i="2"/>
  <c r="K236" i="2" a="1"/>
  <c r="K236" i="2"/>
  <c r="K237" i="2" a="1"/>
  <c r="K237" i="2"/>
  <c r="K238" i="2" a="1"/>
  <c r="K238" i="2" s="1"/>
  <c r="K239" i="2" a="1"/>
  <c r="K239" i="2" s="1"/>
  <c r="K240" i="2" a="1"/>
  <c r="K240" i="2"/>
  <c r="K241" i="2" a="1"/>
  <c r="K241" i="2" s="1"/>
  <c r="K242" i="2" a="1"/>
  <c r="K242" i="2" s="1"/>
  <c r="K243" i="2" a="1"/>
  <c r="K243" i="2"/>
  <c r="K226" i="2" a="1"/>
  <c r="K226" i="2" s="1"/>
  <c r="E226" i="2" a="1"/>
  <c r="E226" i="2" s="1"/>
  <c r="E244" i="2" a="1"/>
  <c r="E244" i="2" s="1"/>
  <c r="E227" i="2" a="1"/>
  <c r="E227" i="2" s="1"/>
  <c r="E228" i="2" a="1"/>
  <c r="E228" i="2" s="1"/>
  <c r="E229" i="2" a="1"/>
  <c r="E229" i="2" s="1"/>
  <c r="E230" i="2" a="1"/>
  <c r="E230" i="2"/>
  <c r="E231" i="2" a="1"/>
  <c r="E231" i="2"/>
  <c r="E232" i="2" a="1"/>
  <c r="E232" i="2"/>
  <c r="E233" i="2" a="1"/>
  <c r="E233" i="2"/>
  <c r="E234" i="2" a="1"/>
  <c r="E234" i="2"/>
  <c r="E235" i="2" a="1"/>
  <c r="E235" i="2"/>
  <c r="E236" i="2" a="1"/>
  <c r="E236" i="2"/>
  <c r="E237" i="2" a="1"/>
  <c r="E237" i="2"/>
  <c r="E238" i="2" a="1"/>
  <c r="E238" i="2" s="1"/>
  <c r="E239" i="2" a="1"/>
  <c r="E239" i="2"/>
  <c r="E240" i="2" a="1"/>
  <c r="E240" i="2" s="1"/>
  <c r="E241" i="2" a="1"/>
  <c r="E241" i="2" s="1"/>
  <c r="E242" i="2" a="1"/>
  <c r="E242" i="2"/>
  <c r="E243" i="2" a="1"/>
  <c r="E243" i="2"/>
  <c r="K203" i="2" a="1"/>
  <c r="K203" i="2" s="1"/>
  <c r="K204" i="2" a="1"/>
  <c r="K204" i="2" s="1"/>
  <c r="K205" i="2" a="1"/>
  <c r="K205" i="2"/>
  <c r="K206" i="2" a="1"/>
  <c r="K206" i="2" s="1"/>
  <c r="K207" i="2" a="1"/>
  <c r="K207" i="2" s="1"/>
  <c r="K208" i="2" a="1"/>
  <c r="K208" i="2" s="1"/>
  <c r="K209" i="2" a="1"/>
  <c r="K209" i="2" s="1"/>
  <c r="K210" i="2" a="1"/>
  <c r="K210" i="2" s="1"/>
  <c r="K211" i="2" a="1"/>
  <c r="K211" i="2"/>
  <c r="K212" i="2" a="1"/>
  <c r="K212" i="2" s="1"/>
  <c r="K213" i="2" a="1"/>
  <c r="K213" i="2"/>
  <c r="K214" i="2" a="1"/>
  <c r="K214" i="2"/>
  <c r="K215" i="2" a="1"/>
  <c r="K215" i="2" s="1"/>
  <c r="K216" i="2" a="1"/>
  <c r="K216" i="2" s="1"/>
  <c r="K217" i="2" a="1"/>
  <c r="K217" i="2" s="1"/>
  <c r="K218" i="2" a="1"/>
  <c r="K218" i="2" s="1"/>
  <c r="K219" i="2" a="1"/>
  <c r="K219" i="2"/>
  <c r="K220" i="2" a="1"/>
  <c r="K220" i="2"/>
  <c r="K202" i="2" a="1"/>
  <c r="K202" i="2" s="1"/>
  <c r="F202" i="2" a="1"/>
  <c r="F202" i="2" s="1"/>
  <c r="F203" i="2" a="1"/>
  <c r="F203" i="2" s="1"/>
  <c r="F204" i="2" a="1"/>
  <c r="F204" i="2"/>
  <c r="F205" i="2" a="1"/>
  <c r="F205" i="2" s="1"/>
  <c r="F206" i="2" a="1"/>
  <c r="F206" i="2"/>
  <c r="F207" i="2" a="1"/>
  <c r="F207" i="2"/>
  <c r="F208" i="2" a="1"/>
  <c r="F208" i="2"/>
  <c r="F209" i="2" a="1"/>
  <c r="F209" i="2" s="1"/>
  <c r="F210" i="2" a="1"/>
  <c r="F210" i="2" s="1"/>
  <c r="F211" i="2" a="1"/>
  <c r="F211" i="2"/>
  <c r="F212" i="2" a="1"/>
  <c r="F212" i="2" s="1"/>
  <c r="F213" i="2" a="1"/>
  <c r="F213" i="2"/>
  <c r="F214" i="2" a="1"/>
  <c r="F214" i="2"/>
  <c r="F215" i="2" a="1"/>
  <c r="F215" i="2" s="1"/>
  <c r="F216" i="2" a="1"/>
  <c r="F216" i="2" s="1"/>
  <c r="F217" i="2" a="1"/>
  <c r="F217" i="2" s="1"/>
  <c r="F218" i="2" a="1"/>
  <c r="F218" i="2"/>
  <c r="F219" i="2" a="1"/>
  <c r="F219" i="2" s="1"/>
  <c r="F220" i="2" a="1"/>
  <c r="F220" i="2" s="1"/>
  <c r="K177" i="2" a="1"/>
  <c r="K177" i="2"/>
  <c r="K178" i="2" a="1"/>
  <c r="K178" i="2"/>
  <c r="K179" i="2" a="1"/>
  <c r="K179" i="2"/>
  <c r="K180" i="2" a="1"/>
  <c r="K180" i="2"/>
  <c r="K181" i="2" a="1"/>
  <c r="K181" i="2" s="1"/>
  <c r="K182" i="2" a="1"/>
  <c r="K182" i="2"/>
  <c r="K183" i="2" a="1"/>
  <c r="K183" i="2"/>
  <c r="K184" i="2" a="1"/>
  <c r="K184" i="2"/>
  <c r="K185" i="2" a="1"/>
  <c r="K185" i="2"/>
  <c r="K186" i="2" a="1"/>
  <c r="K186" i="2"/>
  <c r="K187" i="2" a="1"/>
  <c r="K187" i="2" s="1"/>
  <c r="K188" i="2" a="1"/>
  <c r="K188" i="2"/>
  <c r="K189" i="2" a="1"/>
  <c r="K189" i="2"/>
  <c r="K190" i="2" a="1"/>
  <c r="K190" i="2" s="1"/>
  <c r="K191" i="2" a="1"/>
  <c r="K191" i="2" s="1"/>
  <c r="K192" i="2" a="1"/>
  <c r="K192" i="2"/>
  <c r="K193" i="2" a="1"/>
  <c r="K193" i="2" s="1"/>
  <c r="K194" i="2" a="1"/>
  <c r="K194" i="2"/>
  <c r="K176" i="2" a="1"/>
  <c r="K176" i="2" s="1"/>
  <c r="E176" i="2" a="1"/>
  <c r="E176" i="2" s="1"/>
  <c r="E177" i="2" a="1"/>
  <c r="E177" i="2" s="1"/>
  <c r="E178" i="2" a="1"/>
  <c r="E178" i="2" s="1"/>
  <c r="E179" i="2" a="1"/>
  <c r="E179" i="2" s="1"/>
  <c r="E180" i="2" a="1"/>
  <c r="E180" i="2"/>
  <c r="E181" i="2" a="1"/>
  <c r="E181" i="2"/>
  <c r="E182" i="2" a="1"/>
  <c r="E182" i="2"/>
  <c r="E183" i="2" a="1"/>
  <c r="E183" i="2" s="1"/>
  <c r="E184" i="2" a="1"/>
  <c r="E184" i="2" s="1"/>
  <c r="E185" i="2" a="1"/>
  <c r="E185" i="2" s="1"/>
  <c r="E186" i="2" a="1"/>
  <c r="E186" i="2" s="1"/>
  <c r="E187" i="2" a="1"/>
  <c r="E187" i="2" s="1"/>
  <c r="E188" i="2" a="1"/>
  <c r="E188" i="2"/>
  <c r="E189" i="2" a="1"/>
  <c r="E189" i="2" s="1"/>
  <c r="E190" i="2" a="1"/>
  <c r="E190" i="2" s="1"/>
  <c r="E191" i="2" a="1"/>
  <c r="E191" i="2"/>
  <c r="E192" i="2" a="1"/>
  <c r="E192" i="2" s="1"/>
  <c r="E193" i="2" a="1"/>
  <c r="E193" i="2" s="1"/>
  <c r="E194" i="2" a="1"/>
  <c r="E194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53" i="2"/>
  <c r="J292" i="2"/>
  <c r="I292" i="2"/>
  <c r="D292" i="2"/>
  <c r="C292" i="2"/>
  <c r="J291" i="2"/>
  <c r="I291" i="2"/>
  <c r="D291" i="2"/>
  <c r="C291" i="2"/>
  <c r="J290" i="2"/>
  <c r="I290" i="2"/>
  <c r="D290" i="2"/>
  <c r="C290" i="2"/>
  <c r="J289" i="2"/>
  <c r="I289" i="2"/>
  <c r="D289" i="2"/>
  <c r="C289" i="2"/>
  <c r="J288" i="2"/>
  <c r="I288" i="2"/>
  <c r="D288" i="2"/>
  <c r="C288" i="2"/>
  <c r="J287" i="2"/>
  <c r="I287" i="2"/>
  <c r="D287" i="2"/>
  <c r="C287" i="2"/>
  <c r="J286" i="2"/>
  <c r="I286" i="2"/>
  <c r="D286" i="2"/>
  <c r="C286" i="2"/>
  <c r="J285" i="2"/>
  <c r="I285" i="2"/>
  <c r="D285" i="2"/>
  <c r="C285" i="2"/>
  <c r="J284" i="2"/>
  <c r="I284" i="2"/>
  <c r="D284" i="2"/>
  <c r="C284" i="2"/>
  <c r="J283" i="2"/>
  <c r="I283" i="2"/>
  <c r="D283" i="2"/>
  <c r="C283" i="2"/>
  <c r="J282" i="2"/>
  <c r="I282" i="2"/>
  <c r="D282" i="2"/>
  <c r="C282" i="2"/>
  <c r="J281" i="2"/>
  <c r="I281" i="2"/>
  <c r="D281" i="2"/>
  <c r="C281" i="2"/>
  <c r="J280" i="2"/>
  <c r="I280" i="2"/>
  <c r="D280" i="2"/>
  <c r="C280" i="2"/>
  <c r="J279" i="2"/>
  <c r="I279" i="2"/>
  <c r="D279" i="2"/>
  <c r="C279" i="2"/>
  <c r="J278" i="2"/>
  <c r="I278" i="2"/>
  <c r="D278" i="2"/>
  <c r="C278" i="2"/>
  <c r="J277" i="2"/>
  <c r="I277" i="2"/>
  <c r="D277" i="2"/>
  <c r="C277" i="2"/>
  <c r="J276" i="2"/>
  <c r="I276" i="2"/>
  <c r="H276" i="2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D276" i="2"/>
  <c r="C276" i="2"/>
  <c r="J275" i="2"/>
  <c r="I275" i="2"/>
  <c r="H275" i="2"/>
  <c r="D275" i="2"/>
  <c r="C275" i="2"/>
  <c r="B275" i="2"/>
  <c r="E275" i="2" s="1" a="1"/>
  <c r="E275" i="2" s="1"/>
  <c r="J274" i="2"/>
  <c r="I274" i="2"/>
  <c r="H274" i="2"/>
  <c r="D274" i="2"/>
  <c r="C274" i="2"/>
  <c r="B274" i="2"/>
  <c r="K274" i="2" s="1" a="1"/>
  <c r="K274" i="2" s="1"/>
  <c r="J244" i="2"/>
  <c r="I244" i="2"/>
  <c r="D244" i="2"/>
  <c r="C244" i="2"/>
  <c r="J243" i="2"/>
  <c r="I243" i="2"/>
  <c r="D243" i="2"/>
  <c r="C243" i="2"/>
  <c r="J242" i="2"/>
  <c r="I242" i="2"/>
  <c r="D242" i="2"/>
  <c r="C242" i="2"/>
  <c r="J241" i="2"/>
  <c r="I241" i="2"/>
  <c r="D241" i="2"/>
  <c r="C241" i="2"/>
  <c r="J240" i="2"/>
  <c r="I240" i="2"/>
  <c r="D240" i="2"/>
  <c r="C240" i="2"/>
  <c r="J239" i="2"/>
  <c r="I239" i="2"/>
  <c r="D239" i="2"/>
  <c r="C239" i="2"/>
  <c r="J238" i="2"/>
  <c r="I238" i="2"/>
  <c r="D238" i="2"/>
  <c r="C238" i="2"/>
  <c r="J237" i="2"/>
  <c r="I237" i="2"/>
  <c r="D237" i="2"/>
  <c r="C237" i="2"/>
  <c r="J236" i="2"/>
  <c r="I236" i="2"/>
  <c r="D236" i="2"/>
  <c r="C236" i="2"/>
  <c r="J235" i="2"/>
  <c r="I235" i="2"/>
  <c r="D235" i="2"/>
  <c r="C235" i="2"/>
  <c r="J234" i="2"/>
  <c r="I234" i="2"/>
  <c r="D234" i="2"/>
  <c r="C234" i="2"/>
  <c r="J233" i="2"/>
  <c r="I233" i="2"/>
  <c r="D233" i="2"/>
  <c r="C233" i="2"/>
  <c r="J232" i="2"/>
  <c r="I232" i="2"/>
  <c r="D232" i="2"/>
  <c r="C232" i="2"/>
  <c r="J231" i="2"/>
  <c r="I231" i="2"/>
  <c r="D231" i="2"/>
  <c r="C231" i="2"/>
  <c r="J230" i="2"/>
  <c r="I230" i="2"/>
  <c r="D230" i="2"/>
  <c r="C230" i="2"/>
  <c r="J229" i="2"/>
  <c r="I229" i="2"/>
  <c r="D229" i="2"/>
  <c r="C229" i="2"/>
  <c r="J228" i="2"/>
  <c r="I228" i="2"/>
  <c r="D228" i="2"/>
  <c r="C228" i="2"/>
  <c r="J227" i="2"/>
  <c r="I227" i="2"/>
  <c r="D227" i="2"/>
  <c r="C227" i="2"/>
  <c r="J226" i="2"/>
  <c r="I226" i="2"/>
  <c r="D226" i="2"/>
  <c r="C226" i="2"/>
  <c r="L202" i="2"/>
  <c r="G202" i="2"/>
  <c r="L176" i="2"/>
  <c r="J176" i="2"/>
  <c r="I176" i="2"/>
  <c r="E154" i="2"/>
  <c r="E153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B133" i="2"/>
  <c r="F132" i="2"/>
  <c r="B132" i="2"/>
  <c r="B134" i="2" s="1"/>
  <c r="F131" i="2"/>
  <c r="F130" i="2"/>
  <c r="F129" i="2"/>
  <c r="F128" i="2"/>
  <c r="E110" i="2"/>
  <c r="E107" i="2"/>
  <c r="E106" i="2"/>
  <c r="J111" i="2" s="1"/>
  <c r="J114" i="2" s="1"/>
  <c r="D59" i="2"/>
  <c r="F59" i="2" s="1"/>
  <c r="D58" i="2"/>
  <c r="B58" i="2"/>
  <c r="D57" i="2"/>
  <c r="B56" i="2" s="1"/>
  <c r="D56" i="2"/>
  <c r="D55" i="2"/>
  <c r="E55" i="2" s="1"/>
  <c r="D54" i="2"/>
  <c r="E54" i="2" s="1"/>
  <c r="B54" i="2"/>
  <c r="B37" i="2"/>
  <c r="B36" i="2"/>
  <c r="B35" i="2"/>
  <c r="B34" i="2"/>
  <c r="B33" i="2"/>
  <c r="B32" i="2"/>
  <c r="G9" i="2"/>
  <c r="F9" i="2"/>
  <c r="E9" i="2"/>
  <c r="G6" i="2"/>
  <c r="F6" i="2"/>
  <c r="E6" i="2"/>
  <c r="H198" i="2" s="1"/>
  <c r="C198" i="2" s="1"/>
  <c r="J202" i="2" s="1"/>
  <c r="K5" i="2"/>
  <c r="L5" i="2" s="1"/>
  <c r="J5" i="2"/>
  <c r="H2" i="2"/>
  <c r="G2" i="2"/>
  <c r="G153" i="2"/>
  <c r="J244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27" i="3"/>
  <c r="J226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27" i="3"/>
  <c r="K226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03" i="3"/>
  <c r="K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02" i="3"/>
  <c r="E177" i="3"/>
  <c r="E178" i="3"/>
  <c r="E179" i="3"/>
  <c r="E180" i="3"/>
  <c r="E181" i="3"/>
  <c r="E182" i="3"/>
  <c r="E183" i="3"/>
  <c r="K183" i="3" s="1"/>
  <c r="E184" i="3"/>
  <c r="K184" i="3" s="1"/>
  <c r="E185" i="3"/>
  <c r="K185" i="3" s="1"/>
  <c r="E186" i="3"/>
  <c r="K186" i="3" s="1"/>
  <c r="E187" i="3"/>
  <c r="K187" i="3" s="1"/>
  <c r="E188" i="3"/>
  <c r="K188" i="3" s="1"/>
  <c r="E189" i="3"/>
  <c r="E190" i="3"/>
  <c r="E191" i="3"/>
  <c r="E192" i="3"/>
  <c r="E193" i="3"/>
  <c r="E194" i="3"/>
  <c r="E176" i="3"/>
  <c r="K178" i="3"/>
  <c r="K179" i="3"/>
  <c r="K180" i="3"/>
  <c r="K181" i="3"/>
  <c r="K182" i="3"/>
  <c r="K189" i="3"/>
  <c r="K190" i="3"/>
  <c r="K191" i="3"/>
  <c r="K192" i="3"/>
  <c r="K193" i="3"/>
  <c r="K194" i="3"/>
  <c r="K177" i="3"/>
  <c r="K176" i="3"/>
  <c r="B54" i="3"/>
  <c r="B55" i="3"/>
  <c r="B56" i="3"/>
  <c r="B57" i="3"/>
  <c r="B58" i="3"/>
  <c r="B59" i="3"/>
  <c r="B60" i="3"/>
  <c r="B61" i="3"/>
  <c r="B53" i="3"/>
  <c r="J292" i="3"/>
  <c r="I292" i="3"/>
  <c r="D292" i="3"/>
  <c r="C292" i="3"/>
  <c r="J291" i="3"/>
  <c r="I291" i="3"/>
  <c r="D291" i="3"/>
  <c r="C291" i="3"/>
  <c r="J290" i="3"/>
  <c r="I290" i="3"/>
  <c r="D290" i="3"/>
  <c r="C290" i="3"/>
  <c r="J289" i="3"/>
  <c r="I289" i="3"/>
  <c r="D289" i="3"/>
  <c r="C289" i="3"/>
  <c r="J288" i="3"/>
  <c r="I288" i="3"/>
  <c r="D288" i="3"/>
  <c r="C288" i="3"/>
  <c r="J287" i="3"/>
  <c r="I287" i="3"/>
  <c r="D287" i="3"/>
  <c r="C287" i="3"/>
  <c r="J286" i="3"/>
  <c r="I286" i="3"/>
  <c r="D286" i="3"/>
  <c r="C286" i="3"/>
  <c r="J285" i="3"/>
  <c r="I285" i="3"/>
  <c r="D285" i="3"/>
  <c r="C285" i="3"/>
  <c r="J284" i="3"/>
  <c r="I284" i="3"/>
  <c r="D284" i="3"/>
  <c r="C284" i="3"/>
  <c r="J283" i="3"/>
  <c r="I283" i="3"/>
  <c r="D283" i="3"/>
  <c r="C283" i="3"/>
  <c r="J282" i="3"/>
  <c r="I282" i="3"/>
  <c r="D282" i="3"/>
  <c r="C282" i="3"/>
  <c r="J281" i="3"/>
  <c r="I281" i="3"/>
  <c r="D281" i="3"/>
  <c r="C281" i="3"/>
  <c r="J280" i="3"/>
  <c r="I280" i="3"/>
  <c r="D280" i="3"/>
  <c r="C280" i="3"/>
  <c r="J279" i="3"/>
  <c r="I279" i="3"/>
  <c r="D279" i="3"/>
  <c r="C279" i="3"/>
  <c r="J278" i="3"/>
  <c r="I278" i="3"/>
  <c r="D278" i="3"/>
  <c r="C278" i="3"/>
  <c r="K277" i="3" a="1"/>
  <c r="K277" i="3" s="1"/>
  <c r="J277" i="3"/>
  <c r="I277" i="3"/>
  <c r="D277" i="3"/>
  <c r="C277" i="3"/>
  <c r="J276" i="3"/>
  <c r="I276" i="3"/>
  <c r="D276" i="3"/>
  <c r="C276" i="3"/>
  <c r="K275" i="3" a="1"/>
  <c r="K275" i="3" s="1"/>
  <c r="J275" i="3"/>
  <c r="I275" i="3"/>
  <c r="E275" i="3" a="1"/>
  <c r="E275" i="3" s="1"/>
  <c r="D275" i="3"/>
  <c r="C275" i="3"/>
  <c r="K276" i="3" a="1"/>
  <c r="K276" i="3" s="1"/>
  <c r="J274" i="3"/>
  <c r="I274" i="3"/>
  <c r="E274" i="3" a="1"/>
  <c r="E274" i="3" s="1"/>
  <c r="D274" i="3"/>
  <c r="C274" i="3"/>
  <c r="K274" i="3" a="1"/>
  <c r="K274" i="3" s="1"/>
  <c r="I244" i="3"/>
  <c r="C244" i="3"/>
  <c r="I243" i="3"/>
  <c r="C243" i="3"/>
  <c r="I242" i="3"/>
  <c r="C242" i="3"/>
  <c r="I241" i="3"/>
  <c r="C241" i="3"/>
  <c r="I240" i="3"/>
  <c r="C240" i="3"/>
  <c r="I239" i="3"/>
  <c r="C239" i="3"/>
  <c r="I238" i="3"/>
  <c r="C238" i="3"/>
  <c r="I237" i="3"/>
  <c r="C237" i="3"/>
  <c r="I236" i="3"/>
  <c r="C236" i="3"/>
  <c r="I235" i="3"/>
  <c r="C235" i="3"/>
  <c r="I234" i="3"/>
  <c r="C234" i="3"/>
  <c r="I233" i="3"/>
  <c r="C233" i="3"/>
  <c r="I232" i="3"/>
  <c r="C232" i="3"/>
  <c r="I231" i="3"/>
  <c r="C231" i="3"/>
  <c r="I230" i="3"/>
  <c r="C230" i="3"/>
  <c r="I229" i="3"/>
  <c r="C229" i="3"/>
  <c r="I228" i="3"/>
  <c r="C228" i="3"/>
  <c r="I227" i="3"/>
  <c r="C227" i="3"/>
  <c r="I226" i="3"/>
  <c r="C226" i="3"/>
  <c r="L202" i="3"/>
  <c r="G202" i="3"/>
  <c r="H198" i="3"/>
  <c r="C198" i="3" s="1"/>
  <c r="C177" i="3"/>
  <c r="L176" i="3"/>
  <c r="I176" i="3"/>
  <c r="C176" i="3"/>
  <c r="G153" i="3"/>
  <c r="F146" i="3"/>
  <c r="F145" i="3"/>
  <c r="F144" i="3"/>
  <c r="F143" i="3"/>
  <c r="F142" i="3"/>
  <c r="F141" i="3"/>
  <c r="F140" i="3"/>
  <c r="F139" i="3"/>
  <c r="F138" i="3"/>
  <c r="F137" i="3"/>
  <c r="F136" i="3"/>
  <c r="B136" i="3"/>
  <c r="F135" i="3"/>
  <c r="F134" i="3"/>
  <c r="F133" i="3"/>
  <c r="F132" i="3"/>
  <c r="B132" i="3"/>
  <c r="F131" i="3"/>
  <c r="F130" i="3"/>
  <c r="F129" i="3"/>
  <c r="F128" i="3"/>
  <c r="E83" i="3"/>
  <c r="D62" i="3"/>
  <c r="D61" i="3"/>
  <c r="D60" i="3"/>
  <c r="D59" i="3"/>
  <c r="D58" i="3"/>
  <c r="D57" i="3"/>
  <c r="D56" i="3"/>
  <c r="D55" i="3"/>
  <c r="D54" i="3"/>
  <c r="B40" i="3"/>
  <c r="B39" i="3"/>
  <c r="B38" i="3"/>
  <c r="B37" i="3"/>
  <c r="B36" i="3"/>
  <c r="B35" i="3"/>
  <c r="B34" i="3"/>
  <c r="B33" i="3"/>
  <c r="B32" i="3"/>
  <c r="G9" i="3"/>
  <c r="F9" i="3"/>
  <c r="E9" i="3"/>
  <c r="G6" i="3"/>
  <c r="F6" i="3"/>
  <c r="E6" i="3"/>
  <c r="K5" i="3"/>
  <c r="L5" i="3" s="1"/>
  <c r="J5" i="3"/>
  <c r="H2" i="3"/>
  <c r="J292" i="1"/>
  <c r="I292" i="1"/>
  <c r="D292" i="1"/>
  <c r="C292" i="1"/>
  <c r="J291" i="1"/>
  <c r="I291" i="1"/>
  <c r="D291" i="1"/>
  <c r="C291" i="1"/>
  <c r="J290" i="1"/>
  <c r="I290" i="1"/>
  <c r="D290" i="1"/>
  <c r="C290" i="1"/>
  <c r="J289" i="1"/>
  <c r="I289" i="1"/>
  <c r="D289" i="1"/>
  <c r="C289" i="1"/>
  <c r="J288" i="1"/>
  <c r="I288" i="1"/>
  <c r="D288" i="1"/>
  <c r="C288" i="1"/>
  <c r="J287" i="1"/>
  <c r="I287" i="1"/>
  <c r="D287" i="1"/>
  <c r="C287" i="1"/>
  <c r="J286" i="1"/>
  <c r="I286" i="1"/>
  <c r="D286" i="1"/>
  <c r="C286" i="1"/>
  <c r="J285" i="1"/>
  <c r="I285" i="1"/>
  <c r="D285" i="1"/>
  <c r="C285" i="1"/>
  <c r="J284" i="1"/>
  <c r="I284" i="1"/>
  <c r="D284" i="1"/>
  <c r="C284" i="1"/>
  <c r="J283" i="1"/>
  <c r="I283" i="1"/>
  <c r="D283" i="1"/>
  <c r="C283" i="1"/>
  <c r="J282" i="1"/>
  <c r="I282" i="1"/>
  <c r="D282" i="1"/>
  <c r="C282" i="1"/>
  <c r="J281" i="1"/>
  <c r="I281" i="1"/>
  <c r="D281" i="1"/>
  <c r="C281" i="1"/>
  <c r="J280" i="1"/>
  <c r="I280" i="1"/>
  <c r="D280" i="1"/>
  <c r="C280" i="1"/>
  <c r="J279" i="1"/>
  <c r="I279" i="1"/>
  <c r="D279" i="1"/>
  <c r="C279" i="1"/>
  <c r="J278" i="1"/>
  <c r="I278" i="1"/>
  <c r="D278" i="1"/>
  <c r="C278" i="1"/>
  <c r="J277" i="1"/>
  <c r="I277" i="1"/>
  <c r="D277" i="1"/>
  <c r="C277" i="1"/>
  <c r="J276" i="1"/>
  <c r="I276" i="1"/>
  <c r="D276" i="1"/>
  <c r="C276" i="1"/>
  <c r="J275" i="1"/>
  <c r="I275" i="1"/>
  <c r="H276" i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D275" i="1"/>
  <c r="C275" i="1"/>
  <c r="J274" i="1"/>
  <c r="I274" i="1"/>
  <c r="D274" i="1"/>
  <c r="C274" i="1"/>
  <c r="K274" i="1" a="1"/>
  <c r="K274" i="1" s="1"/>
  <c r="J244" i="1"/>
  <c r="I244" i="1"/>
  <c r="D244" i="1"/>
  <c r="C244" i="1"/>
  <c r="J243" i="1"/>
  <c r="I243" i="1"/>
  <c r="D243" i="1"/>
  <c r="C243" i="1"/>
  <c r="J242" i="1"/>
  <c r="I242" i="1"/>
  <c r="D242" i="1"/>
  <c r="C242" i="1"/>
  <c r="J241" i="1"/>
  <c r="I241" i="1"/>
  <c r="D241" i="1"/>
  <c r="C241" i="1"/>
  <c r="J240" i="1"/>
  <c r="I240" i="1"/>
  <c r="D240" i="1"/>
  <c r="C240" i="1"/>
  <c r="J239" i="1"/>
  <c r="I239" i="1"/>
  <c r="D239" i="1"/>
  <c r="C239" i="1"/>
  <c r="J238" i="1"/>
  <c r="I238" i="1"/>
  <c r="D238" i="1"/>
  <c r="C238" i="1"/>
  <c r="J237" i="1"/>
  <c r="I237" i="1"/>
  <c r="D237" i="1"/>
  <c r="C237" i="1"/>
  <c r="J236" i="1"/>
  <c r="I236" i="1"/>
  <c r="D236" i="1"/>
  <c r="C236" i="1"/>
  <c r="J235" i="1"/>
  <c r="I235" i="1"/>
  <c r="D235" i="1"/>
  <c r="C235" i="1"/>
  <c r="J234" i="1"/>
  <c r="I234" i="1"/>
  <c r="D234" i="1"/>
  <c r="C234" i="1"/>
  <c r="J233" i="1"/>
  <c r="I233" i="1"/>
  <c r="D233" i="1"/>
  <c r="C233" i="1"/>
  <c r="J232" i="1"/>
  <c r="I232" i="1"/>
  <c r="D232" i="1"/>
  <c r="C232" i="1"/>
  <c r="J231" i="1"/>
  <c r="I231" i="1"/>
  <c r="D231" i="1"/>
  <c r="C231" i="1"/>
  <c r="J230" i="1"/>
  <c r="I230" i="1"/>
  <c r="D230" i="1"/>
  <c r="C230" i="1"/>
  <c r="J229" i="1"/>
  <c r="I229" i="1"/>
  <c r="D229" i="1"/>
  <c r="C229" i="1"/>
  <c r="K228" i="1" a="1"/>
  <c r="K228" i="1" s="1"/>
  <c r="J228" i="1"/>
  <c r="I228" i="1"/>
  <c r="D228" i="1"/>
  <c r="C228" i="1"/>
  <c r="K227" i="1" a="1"/>
  <c r="K227" i="1" s="1"/>
  <c r="J227" i="1"/>
  <c r="I227" i="1"/>
  <c r="H228" i="1"/>
  <c r="H229" i="1" s="1"/>
  <c r="K229" i="1" s="1" a="1"/>
  <c r="K229" i="1" s="1"/>
  <c r="D227" i="1"/>
  <c r="C227" i="1"/>
  <c r="K226" i="1" a="1"/>
  <c r="K226" i="1" s="1"/>
  <c r="J226" i="1"/>
  <c r="I226" i="1"/>
  <c r="E226" i="1" a="1"/>
  <c r="E226" i="1" s="1"/>
  <c r="D226" i="1"/>
  <c r="C226" i="1"/>
  <c r="L202" i="1"/>
  <c r="G202" i="1"/>
  <c r="F202" i="1" a="1"/>
  <c r="F202" i="1" s="1"/>
  <c r="D202" i="1"/>
  <c r="K177" i="1" a="1"/>
  <c r="K177" i="1" s="1"/>
  <c r="J177" i="1"/>
  <c r="I177" i="1"/>
  <c r="L176" i="1"/>
  <c r="K176" i="1" a="1"/>
  <c r="K176" i="1" s="1"/>
  <c r="J176" i="1"/>
  <c r="H178" i="1"/>
  <c r="D176" i="1"/>
  <c r="L159" i="1"/>
  <c r="E154" i="1"/>
  <c r="E153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B133" i="1"/>
  <c r="F132" i="1"/>
  <c r="B132" i="1"/>
  <c r="B134" i="1" s="1"/>
  <c r="F131" i="1"/>
  <c r="F130" i="1"/>
  <c r="F129" i="1"/>
  <c r="F128" i="1"/>
  <c r="D108" i="1"/>
  <c r="E108" i="1" s="1"/>
  <c r="E107" i="1"/>
  <c r="E106" i="1"/>
  <c r="J111" i="1" s="1"/>
  <c r="J114" i="1" s="1"/>
  <c r="D85" i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E96" i="1" s="1"/>
  <c r="E83" i="1"/>
  <c r="G65" i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E62" i="1"/>
  <c r="D62" i="1"/>
  <c r="D61" i="1"/>
  <c r="B61" i="1"/>
  <c r="F60" i="1"/>
  <c r="D60" i="1"/>
  <c r="B60" i="1"/>
  <c r="D59" i="1"/>
  <c r="B59" i="1"/>
  <c r="D58" i="1"/>
  <c r="F57" i="1"/>
  <c r="D57" i="1"/>
  <c r="D56" i="1"/>
  <c r="B56" i="1"/>
  <c r="D55" i="1"/>
  <c r="D54" i="1"/>
  <c r="F61" i="1"/>
  <c r="B53" i="1"/>
  <c r="B40" i="1"/>
  <c r="B39" i="1"/>
  <c r="B38" i="1"/>
  <c r="B37" i="1"/>
  <c r="B36" i="1"/>
  <c r="B35" i="1"/>
  <c r="B34" i="1"/>
  <c r="B33" i="1"/>
  <c r="B32" i="1"/>
  <c r="G9" i="1"/>
  <c r="F9" i="1"/>
  <c r="E9" i="1"/>
  <c r="G6" i="1"/>
  <c r="F6" i="1"/>
  <c r="E6" i="1"/>
  <c r="H198" i="1" s="1"/>
  <c r="C198" i="1" s="1"/>
  <c r="E202" i="1" s="1"/>
  <c r="K5" i="1"/>
  <c r="L5" i="1" s="1"/>
  <c r="J5" i="1"/>
  <c r="H2" i="1"/>
  <c r="B20" i="5" l="1"/>
  <c r="D45" i="3"/>
  <c r="E45" i="3" s="1"/>
  <c r="C46" i="3"/>
  <c r="C46" i="2"/>
  <c r="D45" i="2"/>
  <c r="E45" i="2" s="1"/>
  <c r="C34" i="1"/>
  <c r="D33" i="1"/>
  <c r="E33" i="1" s="1"/>
  <c r="E111" i="2"/>
  <c r="E88" i="2"/>
  <c r="D176" i="2"/>
  <c r="C176" i="2"/>
  <c r="N189" i="2"/>
  <c r="E131" i="2"/>
  <c r="E130" i="2"/>
  <c r="E135" i="2"/>
  <c r="F249" i="2"/>
  <c r="E87" i="2"/>
  <c r="E132" i="2"/>
  <c r="D249" i="2"/>
  <c r="C249" i="2"/>
  <c r="J203" i="2"/>
  <c r="B55" i="2"/>
  <c r="F57" i="2"/>
  <c r="F58" i="2"/>
  <c r="B57" i="2"/>
  <c r="E133" i="2"/>
  <c r="F55" i="2"/>
  <c r="E56" i="2"/>
  <c r="E109" i="2"/>
  <c r="F56" i="2"/>
  <c r="H128" i="2"/>
  <c r="B276" i="2"/>
  <c r="K275" i="2" a="1"/>
  <c r="K275" i="2" s="1"/>
  <c r="B136" i="2"/>
  <c r="E128" i="2"/>
  <c r="G54" i="2"/>
  <c r="B53" i="2"/>
  <c r="F54" i="2"/>
  <c r="E58" i="2"/>
  <c r="G56" i="2"/>
  <c r="E202" i="2"/>
  <c r="C202" i="2"/>
  <c r="E83" i="2"/>
  <c r="E108" i="2"/>
  <c r="E274" i="2" a="1"/>
  <c r="E274" i="2" s="1"/>
  <c r="E86" i="2"/>
  <c r="D203" i="2"/>
  <c r="D202" i="2"/>
  <c r="G154" i="2"/>
  <c r="E85" i="2"/>
  <c r="I202" i="2"/>
  <c r="J86" i="2"/>
  <c r="J89" i="2" s="1"/>
  <c r="E84" i="2"/>
  <c r="G155" i="2"/>
  <c r="E59" i="2"/>
  <c r="N239" i="2"/>
  <c r="E57" i="2"/>
  <c r="B134" i="3"/>
  <c r="E129" i="3" s="1"/>
  <c r="N189" i="3"/>
  <c r="E138" i="3"/>
  <c r="E88" i="3"/>
  <c r="E134" i="3"/>
  <c r="E131" i="3"/>
  <c r="E135" i="3"/>
  <c r="E137" i="3"/>
  <c r="E133" i="3"/>
  <c r="E132" i="3"/>
  <c r="E141" i="3"/>
  <c r="E136" i="3"/>
  <c r="H128" i="3"/>
  <c r="C178" i="3"/>
  <c r="E128" i="3"/>
  <c r="I202" i="3"/>
  <c r="N215" i="3" s="1"/>
  <c r="D202" i="3"/>
  <c r="E84" i="3"/>
  <c r="E142" i="3"/>
  <c r="C202" i="3"/>
  <c r="H159" i="3"/>
  <c r="B73" i="3"/>
  <c r="A80" i="3" s="1"/>
  <c r="G154" i="3"/>
  <c r="E85" i="3"/>
  <c r="E143" i="3"/>
  <c r="E86" i="3"/>
  <c r="D203" i="3"/>
  <c r="G156" i="3"/>
  <c r="I203" i="3"/>
  <c r="G155" i="3"/>
  <c r="E87" i="3"/>
  <c r="J86" i="3"/>
  <c r="J89" i="3" s="1"/>
  <c r="B72" i="3"/>
  <c r="G2" i="3"/>
  <c r="J111" i="3"/>
  <c r="J114" i="3" s="1"/>
  <c r="E277" i="3" a="1"/>
  <c r="E277" i="3" s="1"/>
  <c r="I177" i="3"/>
  <c r="N239" i="3"/>
  <c r="E276" i="3" a="1"/>
  <c r="E276" i="3" s="1"/>
  <c r="G154" i="1"/>
  <c r="E56" i="1"/>
  <c r="E90" i="1"/>
  <c r="D109" i="1"/>
  <c r="B55" i="1"/>
  <c r="F56" i="1"/>
  <c r="E95" i="1"/>
  <c r="G55" i="1"/>
  <c r="F55" i="1"/>
  <c r="B54" i="1"/>
  <c r="G53" i="1"/>
  <c r="G58" i="1" s="1"/>
  <c r="F62" i="1"/>
  <c r="E55" i="1"/>
  <c r="D97" i="1"/>
  <c r="H128" i="1"/>
  <c r="F249" i="1"/>
  <c r="E128" i="1"/>
  <c r="H230" i="1"/>
  <c r="G59" i="1"/>
  <c r="F59" i="1"/>
  <c r="B58" i="1"/>
  <c r="E89" i="1"/>
  <c r="E59" i="1"/>
  <c r="D155" i="1"/>
  <c r="G155" i="1" s="1"/>
  <c r="I178" i="1"/>
  <c r="K178" i="1" a="1"/>
  <c r="K178" i="1" s="1"/>
  <c r="J178" i="1"/>
  <c r="H179" i="1"/>
  <c r="J203" i="1"/>
  <c r="H204" i="1"/>
  <c r="K203" i="1" a="1"/>
  <c r="K203" i="1" s="1"/>
  <c r="B276" i="1"/>
  <c r="K275" i="1" a="1"/>
  <c r="K275" i="1" s="1"/>
  <c r="E275" i="1" a="1"/>
  <c r="E275" i="1" s="1"/>
  <c r="E60" i="1"/>
  <c r="E87" i="1"/>
  <c r="I176" i="1"/>
  <c r="N189" i="1" s="1"/>
  <c r="K202" i="1" a="1"/>
  <c r="K202" i="1" s="1"/>
  <c r="G153" i="1"/>
  <c r="E88" i="1"/>
  <c r="I202" i="1"/>
  <c r="E93" i="1"/>
  <c r="E84" i="1"/>
  <c r="E91" i="1"/>
  <c r="D249" i="1"/>
  <c r="B136" i="1"/>
  <c r="D130" i="1"/>
  <c r="D131" i="1" s="1"/>
  <c r="G2" i="1"/>
  <c r="C249" i="1" s="1"/>
  <c r="E85" i="1"/>
  <c r="J202" i="1"/>
  <c r="N239" i="1"/>
  <c r="E249" i="1" a="1"/>
  <c r="E249" i="1" s="1"/>
  <c r="E54" i="1"/>
  <c r="E58" i="1"/>
  <c r="E61" i="1"/>
  <c r="E92" i="1"/>
  <c r="F54" i="1"/>
  <c r="B57" i="1"/>
  <c r="F58" i="1"/>
  <c r="E86" i="1"/>
  <c r="E274" i="1" a="1"/>
  <c r="E274" i="1" s="1"/>
  <c r="G54" i="1"/>
  <c r="J86" i="1"/>
  <c r="J89" i="1" s="1"/>
  <c r="E94" i="1"/>
  <c r="E176" i="1" a="1"/>
  <c r="E176" i="1" s="1"/>
  <c r="E57" i="1"/>
  <c r="C176" i="1"/>
  <c r="B228" i="1"/>
  <c r="E227" i="1" a="1"/>
  <c r="E227" i="1" s="1"/>
  <c r="B21" i="5" l="1"/>
  <c r="D46" i="3"/>
  <c r="E46" i="3" s="1"/>
  <c r="C47" i="3"/>
  <c r="D46" i="2"/>
  <c r="E46" i="2" s="1"/>
  <c r="C47" i="2"/>
  <c r="E130" i="1"/>
  <c r="H159" i="1"/>
  <c r="D34" i="1"/>
  <c r="E34" i="1" s="1"/>
  <c r="C35" i="1"/>
  <c r="I153" i="2"/>
  <c r="L158" i="2" s="1"/>
  <c r="J163" i="2" s="1"/>
  <c r="N215" i="2"/>
  <c r="J177" i="2"/>
  <c r="I177" i="2"/>
  <c r="E66" i="2"/>
  <c r="K66" i="2"/>
  <c r="D250" i="2"/>
  <c r="C250" i="2"/>
  <c r="B277" i="2"/>
  <c r="E276" i="2" a="1"/>
  <c r="E276" i="2" s="1"/>
  <c r="K276" i="2" a="1"/>
  <c r="K276" i="2" s="1"/>
  <c r="G59" i="2"/>
  <c r="G55" i="2"/>
  <c r="G57" i="2"/>
  <c r="G58" i="2"/>
  <c r="E134" i="2"/>
  <c r="B72" i="2"/>
  <c r="B73" i="2"/>
  <c r="A80" i="2" s="1"/>
  <c r="J204" i="2"/>
  <c r="E89" i="2"/>
  <c r="E155" i="2"/>
  <c r="E136" i="2"/>
  <c r="E203" i="2"/>
  <c r="C203" i="2"/>
  <c r="I203" i="2"/>
  <c r="E129" i="2"/>
  <c r="I154" i="2"/>
  <c r="F66" i="2"/>
  <c r="C177" i="2"/>
  <c r="D177" i="2"/>
  <c r="E112" i="2"/>
  <c r="E130" i="3"/>
  <c r="I178" i="3"/>
  <c r="E139" i="3"/>
  <c r="K278" i="3" a="1"/>
  <c r="K278" i="3" s="1"/>
  <c r="E278" i="3" a="1"/>
  <c r="E278" i="3" s="1"/>
  <c r="C179" i="3"/>
  <c r="C203" i="3"/>
  <c r="E89" i="3"/>
  <c r="E144" i="3"/>
  <c r="H153" i="3"/>
  <c r="I153" i="3" s="1"/>
  <c r="L158" i="3" s="1"/>
  <c r="K66" i="3"/>
  <c r="E140" i="3"/>
  <c r="I154" i="1"/>
  <c r="D110" i="1"/>
  <c r="E109" i="1"/>
  <c r="C203" i="1"/>
  <c r="B204" i="1"/>
  <c r="D203" i="1"/>
  <c r="F203" i="1" a="1"/>
  <c r="F203" i="1" s="1"/>
  <c r="E203" i="1"/>
  <c r="K179" i="1" a="1"/>
  <c r="K179" i="1" s="1"/>
  <c r="H180" i="1"/>
  <c r="I179" i="1"/>
  <c r="J179" i="1"/>
  <c r="E129" i="1"/>
  <c r="H231" i="1"/>
  <c r="K230" i="1" a="1"/>
  <c r="K230" i="1" s="1"/>
  <c r="B277" i="1"/>
  <c r="K276" i="1" a="1"/>
  <c r="K276" i="1" s="1"/>
  <c r="E276" i="1" a="1"/>
  <c r="E276" i="1" s="1"/>
  <c r="E177" i="1" a="1"/>
  <c r="E177" i="1" s="1"/>
  <c r="D177" i="1"/>
  <c r="C177" i="1"/>
  <c r="B178" i="1"/>
  <c r="F66" i="1"/>
  <c r="H154" i="1"/>
  <c r="H153" i="1"/>
  <c r="I153" i="1" s="1"/>
  <c r="L158" i="1" s="1"/>
  <c r="E66" i="1"/>
  <c r="D98" i="1"/>
  <c r="E97" i="1"/>
  <c r="E228" i="1" a="1"/>
  <c r="E228" i="1" s="1"/>
  <c r="B229" i="1"/>
  <c r="D132" i="1"/>
  <c r="E131" i="1"/>
  <c r="K66" i="1"/>
  <c r="K204" i="1" a="1"/>
  <c r="K204" i="1" s="1"/>
  <c r="J204" i="1"/>
  <c r="H205" i="1"/>
  <c r="G61" i="1"/>
  <c r="G60" i="1"/>
  <c r="G62" i="1"/>
  <c r="H53" i="1"/>
  <c r="G57" i="1"/>
  <c r="N215" i="1"/>
  <c r="D156" i="1"/>
  <c r="E155" i="1"/>
  <c r="G56" i="1"/>
  <c r="G66" i="1" s="1"/>
  <c r="B72" i="1"/>
  <c r="B73" i="1"/>
  <c r="A80" i="1" s="1"/>
  <c r="E250" i="1" a="1"/>
  <c r="E250" i="1" s="1"/>
  <c r="D250" i="1"/>
  <c r="B251" i="1"/>
  <c r="C250" i="1"/>
  <c r="I203" i="1"/>
  <c r="B22" i="5" l="1"/>
  <c r="D47" i="3"/>
  <c r="E47" i="3" s="1"/>
  <c r="C48" i="3"/>
  <c r="C48" i="2"/>
  <c r="D47" i="2"/>
  <c r="E47" i="2" s="1"/>
  <c r="C36" i="1"/>
  <c r="D35" i="1"/>
  <c r="E35" i="1" s="1"/>
  <c r="L161" i="2"/>
  <c r="G66" i="2"/>
  <c r="H55" i="2"/>
  <c r="H57" i="2"/>
  <c r="H59" i="2"/>
  <c r="H54" i="2"/>
  <c r="H58" i="2"/>
  <c r="H56" i="2"/>
  <c r="I155" i="2"/>
  <c r="E113" i="2"/>
  <c r="J205" i="2"/>
  <c r="J178" i="2"/>
  <c r="I178" i="2"/>
  <c r="E204" i="2"/>
  <c r="C204" i="2"/>
  <c r="I204" i="2"/>
  <c r="D204" i="2"/>
  <c r="E277" i="2" a="1"/>
  <c r="E277" i="2" s="1"/>
  <c r="K277" i="2" a="1"/>
  <c r="K277" i="2" s="1"/>
  <c r="B278" i="2"/>
  <c r="D251" i="2"/>
  <c r="C251" i="2"/>
  <c r="C178" i="2"/>
  <c r="D178" i="2"/>
  <c r="E137" i="2"/>
  <c r="E90" i="2"/>
  <c r="G156" i="2"/>
  <c r="E156" i="2"/>
  <c r="G157" i="3"/>
  <c r="K279" i="3" a="1"/>
  <c r="K279" i="3" s="1"/>
  <c r="E279" i="3" a="1"/>
  <c r="E279" i="3" s="1"/>
  <c r="C204" i="3"/>
  <c r="D204" i="3"/>
  <c r="I204" i="3"/>
  <c r="L161" i="3"/>
  <c r="J163" i="3"/>
  <c r="H154" i="3"/>
  <c r="I154" i="3" s="1"/>
  <c r="F66" i="3"/>
  <c r="E146" i="3"/>
  <c r="E145" i="3"/>
  <c r="I179" i="3"/>
  <c r="E90" i="3"/>
  <c r="C180" i="3"/>
  <c r="I180" i="1"/>
  <c r="J180" i="1"/>
  <c r="H181" i="1"/>
  <c r="K180" i="1" a="1"/>
  <c r="K180" i="1" s="1"/>
  <c r="D157" i="1"/>
  <c r="E156" i="1"/>
  <c r="G156" i="1"/>
  <c r="D133" i="1"/>
  <c r="E132" i="1"/>
  <c r="B230" i="1"/>
  <c r="E229" i="1" a="1"/>
  <c r="E229" i="1" s="1"/>
  <c r="H155" i="1"/>
  <c r="I155" i="1" s="1"/>
  <c r="H61" i="1"/>
  <c r="H62" i="1"/>
  <c r="I53" i="1"/>
  <c r="H60" i="1"/>
  <c r="H57" i="1"/>
  <c r="H54" i="1"/>
  <c r="H58" i="1"/>
  <c r="H55" i="1"/>
  <c r="H56" i="1"/>
  <c r="H59" i="1"/>
  <c r="E204" i="1"/>
  <c r="C204" i="1"/>
  <c r="F204" i="1" a="1"/>
  <c r="F204" i="1" s="1"/>
  <c r="I204" i="1"/>
  <c r="B205" i="1"/>
  <c r="D204" i="1"/>
  <c r="B252" i="1"/>
  <c r="E251" i="1" a="1"/>
  <c r="E251" i="1" s="1"/>
  <c r="D251" i="1"/>
  <c r="C251" i="1"/>
  <c r="E277" i="1" a="1"/>
  <c r="E277" i="1" s="1"/>
  <c r="B278" i="1"/>
  <c r="K277" i="1" a="1"/>
  <c r="K277" i="1" s="1"/>
  <c r="D178" i="1"/>
  <c r="C178" i="1"/>
  <c r="B179" i="1"/>
  <c r="E178" i="1" a="1"/>
  <c r="E178" i="1" s="1"/>
  <c r="E98" i="1"/>
  <c r="D99" i="1"/>
  <c r="L161" i="1"/>
  <c r="J163" i="1"/>
  <c r="K205" i="1" a="1"/>
  <c r="K205" i="1" s="1"/>
  <c r="J205" i="1"/>
  <c r="H206" i="1"/>
  <c r="H232" i="1"/>
  <c r="K231" i="1" a="1"/>
  <c r="K231" i="1" s="1"/>
  <c r="E110" i="1"/>
  <c r="D111" i="1"/>
  <c r="B23" i="5" l="1"/>
  <c r="C49" i="3"/>
  <c r="D48" i="3"/>
  <c r="E48" i="3" s="1"/>
  <c r="C49" i="2"/>
  <c r="D48" i="2"/>
  <c r="E48" i="2" s="1"/>
  <c r="C37" i="1"/>
  <c r="D36" i="1"/>
  <c r="E36" i="1" s="1"/>
  <c r="E157" i="2"/>
  <c r="G157" i="2"/>
  <c r="D252" i="2"/>
  <c r="C252" i="2"/>
  <c r="E91" i="2"/>
  <c r="I156" i="2"/>
  <c r="H66" i="2"/>
  <c r="E278" i="2" a="1"/>
  <c r="E278" i="2" s="1"/>
  <c r="B279" i="2"/>
  <c r="K278" i="2" a="1"/>
  <c r="K278" i="2" s="1"/>
  <c r="E138" i="2"/>
  <c r="J206" i="2"/>
  <c r="C179" i="2"/>
  <c r="D179" i="2"/>
  <c r="E205" i="2"/>
  <c r="C205" i="2"/>
  <c r="D205" i="2"/>
  <c r="I205" i="2"/>
  <c r="E114" i="2"/>
  <c r="I57" i="2"/>
  <c r="I59" i="2"/>
  <c r="I55" i="2"/>
  <c r="I56" i="2"/>
  <c r="I54" i="2"/>
  <c r="I58" i="2"/>
  <c r="J179" i="2"/>
  <c r="I179" i="2"/>
  <c r="H155" i="3"/>
  <c r="I155" i="3" s="1"/>
  <c r="G66" i="3"/>
  <c r="E91" i="3"/>
  <c r="I180" i="3"/>
  <c r="C205" i="3"/>
  <c r="I205" i="3"/>
  <c r="D205" i="3"/>
  <c r="K280" i="3" a="1"/>
  <c r="K280" i="3" s="1"/>
  <c r="E280" i="3" a="1"/>
  <c r="E280" i="3" s="1"/>
  <c r="G158" i="3"/>
  <c r="C181" i="3"/>
  <c r="D134" i="1"/>
  <c r="E133" i="1"/>
  <c r="B253" i="1"/>
  <c r="D252" i="1"/>
  <c r="E252" i="1" a="1"/>
  <c r="E252" i="1" s="1"/>
  <c r="C252" i="1"/>
  <c r="F205" i="1" a="1"/>
  <c r="F205" i="1" s="1"/>
  <c r="B206" i="1"/>
  <c r="C205" i="1"/>
  <c r="E205" i="1"/>
  <c r="I205" i="1"/>
  <c r="D205" i="1"/>
  <c r="I61" i="1"/>
  <c r="J53" i="1"/>
  <c r="I54" i="1"/>
  <c r="I57" i="1"/>
  <c r="I58" i="1"/>
  <c r="I62" i="1"/>
  <c r="I56" i="1"/>
  <c r="I60" i="1"/>
  <c r="I55" i="1"/>
  <c r="I59" i="1"/>
  <c r="K181" i="1" a="1"/>
  <c r="K181" i="1" s="1"/>
  <c r="J181" i="1"/>
  <c r="I181" i="1"/>
  <c r="H182" i="1"/>
  <c r="D112" i="1"/>
  <c r="E111" i="1"/>
  <c r="E179" i="1" a="1"/>
  <c r="E179" i="1" s="1"/>
  <c r="B180" i="1"/>
  <c r="D179" i="1"/>
  <c r="C179" i="1"/>
  <c r="K232" i="1" a="1"/>
  <c r="K232" i="1" s="1"/>
  <c r="H233" i="1"/>
  <c r="H207" i="1"/>
  <c r="K206" i="1" a="1"/>
  <c r="K206" i="1" s="1"/>
  <c r="J206" i="1"/>
  <c r="B279" i="1"/>
  <c r="E278" i="1" a="1"/>
  <c r="E278" i="1" s="1"/>
  <c r="K278" i="1" a="1"/>
  <c r="K278" i="1" s="1"/>
  <c r="E230" i="1" a="1"/>
  <c r="E230" i="1" s="1"/>
  <c r="B231" i="1"/>
  <c r="H156" i="1"/>
  <c r="I156" i="1" s="1"/>
  <c r="H66" i="1"/>
  <c r="D100" i="1"/>
  <c r="E99" i="1"/>
  <c r="D158" i="1"/>
  <c r="E157" i="1"/>
  <c r="G157" i="1"/>
  <c r="B24" i="5" l="1"/>
  <c r="C50" i="3"/>
  <c r="D50" i="3" s="1"/>
  <c r="E50" i="3" s="1"/>
  <c r="D49" i="3"/>
  <c r="E49" i="3" s="1"/>
  <c r="C50" i="2"/>
  <c r="D50" i="2" s="1"/>
  <c r="E50" i="2" s="1"/>
  <c r="D49" i="2"/>
  <c r="E49" i="2" s="1"/>
  <c r="C38" i="1"/>
  <c r="D37" i="1"/>
  <c r="E37" i="1" s="1"/>
  <c r="E158" i="2"/>
  <c r="G158" i="2"/>
  <c r="J57" i="2"/>
  <c r="J55" i="2"/>
  <c r="J54" i="2"/>
  <c r="J58" i="2"/>
  <c r="J59" i="2"/>
  <c r="J56" i="2"/>
  <c r="C180" i="2"/>
  <c r="D180" i="2"/>
  <c r="E115" i="2"/>
  <c r="E206" i="2"/>
  <c r="I206" i="2"/>
  <c r="D206" i="2"/>
  <c r="C206" i="2"/>
  <c r="E139" i="2"/>
  <c r="I66" i="2"/>
  <c r="I157" i="2"/>
  <c r="E92" i="2"/>
  <c r="J207" i="2"/>
  <c r="C253" i="2"/>
  <c r="D253" i="2"/>
  <c r="E279" i="2" a="1"/>
  <c r="E279" i="2" s="1"/>
  <c r="B280" i="2"/>
  <c r="K279" i="2" a="1"/>
  <c r="K279" i="2" s="1"/>
  <c r="I180" i="2"/>
  <c r="J180" i="2"/>
  <c r="I181" i="3"/>
  <c r="C182" i="3"/>
  <c r="C206" i="3"/>
  <c r="I206" i="3"/>
  <c r="D206" i="3"/>
  <c r="G159" i="3"/>
  <c r="H156" i="3"/>
  <c r="I156" i="3" s="1"/>
  <c r="H66" i="3"/>
  <c r="E92" i="3"/>
  <c r="K281" i="3" a="1"/>
  <c r="K281" i="3" s="1"/>
  <c r="E281" i="3" a="1"/>
  <c r="E281" i="3" s="1"/>
  <c r="D101" i="1"/>
  <c r="E101" i="1" s="1"/>
  <c r="E100" i="1"/>
  <c r="E206" i="1"/>
  <c r="B207" i="1"/>
  <c r="C206" i="1"/>
  <c r="I206" i="1"/>
  <c r="F206" i="1" a="1"/>
  <c r="F206" i="1" s="1"/>
  <c r="D206" i="1"/>
  <c r="D113" i="1"/>
  <c r="E112" i="1"/>
  <c r="H157" i="1"/>
  <c r="I66" i="1"/>
  <c r="B254" i="1"/>
  <c r="D253" i="1"/>
  <c r="E253" i="1" a="1"/>
  <c r="E253" i="1" s="1"/>
  <c r="C253" i="1"/>
  <c r="K279" i="1" a="1"/>
  <c r="K279" i="1" s="1"/>
  <c r="E279" i="1" a="1"/>
  <c r="E279" i="1" s="1"/>
  <c r="B280" i="1"/>
  <c r="H183" i="1"/>
  <c r="K182" i="1" a="1"/>
  <c r="K182" i="1" s="1"/>
  <c r="J182" i="1"/>
  <c r="I182" i="1"/>
  <c r="J62" i="1"/>
  <c r="K53" i="1"/>
  <c r="L53" i="1" s="1"/>
  <c r="J57" i="1"/>
  <c r="J54" i="1"/>
  <c r="J58" i="1"/>
  <c r="J61" i="1"/>
  <c r="J60" i="1"/>
  <c r="J56" i="1"/>
  <c r="J55" i="1"/>
  <c r="J59" i="1"/>
  <c r="E231" i="1" a="1"/>
  <c r="E231" i="1" s="1"/>
  <c r="B232" i="1"/>
  <c r="B181" i="1"/>
  <c r="E180" i="1" a="1"/>
  <c r="E180" i="1" s="1"/>
  <c r="D180" i="1"/>
  <c r="C180" i="1"/>
  <c r="E158" i="1"/>
  <c r="D159" i="1"/>
  <c r="G158" i="1"/>
  <c r="K207" i="1" a="1"/>
  <c r="K207" i="1" s="1"/>
  <c r="J207" i="1"/>
  <c r="H208" i="1"/>
  <c r="H234" i="1"/>
  <c r="K233" i="1" a="1"/>
  <c r="K233" i="1" s="1"/>
  <c r="I157" i="1"/>
  <c r="E134" i="1"/>
  <c r="D135" i="1"/>
  <c r="B25" i="5" l="1"/>
  <c r="C39" i="1"/>
  <c r="D38" i="1"/>
  <c r="E38" i="1" s="1"/>
  <c r="D254" i="2"/>
  <c r="C254" i="2"/>
  <c r="J66" i="2"/>
  <c r="I158" i="2"/>
  <c r="J208" i="2"/>
  <c r="L59" i="2"/>
  <c r="L57" i="2"/>
  <c r="L55" i="2"/>
  <c r="L56" i="2"/>
  <c r="L58" i="2"/>
  <c r="L54" i="2"/>
  <c r="K280" i="2" a="1"/>
  <c r="K280" i="2" s="1"/>
  <c r="B281" i="2"/>
  <c r="E280" i="2" a="1"/>
  <c r="E280" i="2" s="1"/>
  <c r="E207" i="2"/>
  <c r="C207" i="2"/>
  <c r="D207" i="2"/>
  <c r="I207" i="2"/>
  <c r="J181" i="2"/>
  <c r="I181" i="2"/>
  <c r="E93" i="2"/>
  <c r="E116" i="2"/>
  <c r="D181" i="2"/>
  <c r="C181" i="2"/>
  <c r="E140" i="2"/>
  <c r="E159" i="2"/>
  <c r="G159" i="2"/>
  <c r="I159" i="3"/>
  <c r="C207" i="3"/>
  <c r="I207" i="3"/>
  <c r="D207" i="3"/>
  <c r="I66" i="3"/>
  <c r="H157" i="3"/>
  <c r="I157" i="3" s="1"/>
  <c r="G160" i="3"/>
  <c r="K282" i="3" a="1"/>
  <c r="K282" i="3" s="1"/>
  <c r="E282" i="3" a="1"/>
  <c r="E282" i="3" s="1"/>
  <c r="E93" i="3"/>
  <c r="C183" i="3"/>
  <c r="I182" i="3"/>
  <c r="H209" i="1"/>
  <c r="J208" i="1"/>
  <c r="K208" i="1" a="1"/>
  <c r="K208" i="1" s="1"/>
  <c r="E113" i="1"/>
  <c r="D114" i="1"/>
  <c r="K183" i="1" a="1"/>
  <c r="K183" i="1" s="1"/>
  <c r="J183" i="1"/>
  <c r="I183" i="1"/>
  <c r="H184" i="1"/>
  <c r="K280" i="1" a="1"/>
  <c r="K280" i="1" s="1"/>
  <c r="B281" i="1"/>
  <c r="E280" i="1" a="1"/>
  <c r="E280" i="1" s="1"/>
  <c r="F207" i="1" a="1"/>
  <c r="F207" i="1" s="1"/>
  <c r="B208" i="1"/>
  <c r="C207" i="1"/>
  <c r="E207" i="1"/>
  <c r="I207" i="1"/>
  <c r="D207" i="1"/>
  <c r="H158" i="1"/>
  <c r="I158" i="1" s="1"/>
  <c r="J66" i="1"/>
  <c r="E232" i="1" a="1"/>
  <c r="E232" i="1" s="1"/>
  <c r="B233" i="1"/>
  <c r="K234" i="1" a="1"/>
  <c r="K234" i="1" s="1"/>
  <c r="H235" i="1"/>
  <c r="D136" i="1"/>
  <c r="E135" i="1"/>
  <c r="B182" i="1"/>
  <c r="C181" i="1"/>
  <c r="E181" i="1" a="1"/>
  <c r="E181" i="1" s="1"/>
  <c r="D181" i="1"/>
  <c r="D160" i="1"/>
  <c r="E159" i="1"/>
  <c r="G159" i="1"/>
  <c r="L62" i="1"/>
  <c r="M53" i="1"/>
  <c r="L57" i="1"/>
  <c r="L58" i="1"/>
  <c r="L54" i="1"/>
  <c r="L61" i="1"/>
  <c r="L56" i="1"/>
  <c r="L55" i="1"/>
  <c r="L59" i="1"/>
  <c r="L60" i="1"/>
  <c r="D254" i="1"/>
  <c r="B255" i="1"/>
  <c r="E254" i="1" a="1"/>
  <c r="E254" i="1" s="1"/>
  <c r="C254" i="1"/>
  <c r="I159" i="2" l="1"/>
  <c r="C40" i="1"/>
  <c r="D39" i="1"/>
  <c r="E39" i="1" s="1"/>
  <c r="M57" i="2"/>
  <c r="M59" i="2"/>
  <c r="M55" i="2"/>
  <c r="M54" i="2"/>
  <c r="M58" i="2"/>
  <c r="M56" i="2"/>
  <c r="E94" i="2"/>
  <c r="B282" i="2"/>
  <c r="K281" i="2" a="1"/>
  <c r="K281" i="2" s="1"/>
  <c r="E281" i="2" a="1"/>
  <c r="E281" i="2" s="1"/>
  <c r="L66" i="2"/>
  <c r="D182" i="2"/>
  <c r="C182" i="2"/>
  <c r="D208" i="2"/>
  <c r="C208" i="2"/>
  <c r="E208" i="2"/>
  <c r="I208" i="2"/>
  <c r="J209" i="2"/>
  <c r="E141" i="2"/>
  <c r="I182" i="2"/>
  <c r="J182" i="2"/>
  <c r="G160" i="2"/>
  <c r="E160" i="2"/>
  <c r="E117" i="2"/>
  <c r="D255" i="2"/>
  <c r="C255" i="2"/>
  <c r="E283" i="3" a="1"/>
  <c r="E283" i="3" s="1"/>
  <c r="K283" i="3" a="1"/>
  <c r="K283" i="3" s="1"/>
  <c r="C184" i="3"/>
  <c r="C208" i="3"/>
  <c r="D208" i="3"/>
  <c r="I208" i="3"/>
  <c r="G161" i="3"/>
  <c r="I183" i="3"/>
  <c r="E94" i="3"/>
  <c r="J66" i="3"/>
  <c r="H158" i="3"/>
  <c r="I158" i="3" s="1"/>
  <c r="M62" i="1"/>
  <c r="N53" i="1"/>
  <c r="M54" i="1"/>
  <c r="M58" i="1"/>
  <c r="M61" i="1"/>
  <c r="M55" i="1"/>
  <c r="M59" i="1"/>
  <c r="M57" i="1"/>
  <c r="M56" i="1"/>
  <c r="M60" i="1"/>
  <c r="D115" i="1"/>
  <c r="E114" i="1"/>
  <c r="D182" i="1"/>
  <c r="B183" i="1"/>
  <c r="E182" i="1" a="1"/>
  <c r="E182" i="1" s="1"/>
  <c r="C182" i="1"/>
  <c r="B282" i="1"/>
  <c r="K281" i="1" a="1"/>
  <c r="K281" i="1" s="1"/>
  <c r="E281" i="1" a="1"/>
  <c r="E281" i="1" s="1"/>
  <c r="I159" i="1"/>
  <c r="D161" i="1"/>
  <c r="E160" i="1"/>
  <c r="G160" i="1"/>
  <c r="B234" i="1"/>
  <c r="E233" i="1" a="1"/>
  <c r="E233" i="1" s="1"/>
  <c r="D255" i="1"/>
  <c r="C255" i="1"/>
  <c r="E255" i="1" a="1"/>
  <c r="E255" i="1" s="1"/>
  <c r="B256" i="1"/>
  <c r="I184" i="1"/>
  <c r="H185" i="1"/>
  <c r="K184" i="1" a="1"/>
  <c r="K184" i="1" s="1"/>
  <c r="J184" i="1"/>
  <c r="H160" i="1"/>
  <c r="L66" i="1"/>
  <c r="C208" i="1"/>
  <c r="B209" i="1"/>
  <c r="E208" i="1"/>
  <c r="D208" i="1"/>
  <c r="F208" i="1" a="1"/>
  <c r="F208" i="1" s="1"/>
  <c r="I208" i="1"/>
  <c r="D137" i="1"/>
  <c r="E136" i="1"/>
  <c r="H236" i="1"/>
  <c r="K235" i="1" a="1"/>
  <c r="K235" i="1" s="1"/>
  <c r="J209" i="1"/>
  <c r="H210" i="1"/>
  <c r="K209" i="1" a="1"/>
  <c r="K209" i="1" s="1"/>
  <c r="C41" i="1" l="1"/>
  <c r="D40" i="1"/>
  <c r="E40" i="1" s="1"/>
  <c r="I160" i="2"/>
  <c r="E95" i="2"/>
  <c r="E142" i="2"/>
  <c r="M66" i="2"/>
  <c r="J210" i="2"/>
  <c r="E161" i="2"/>
  <c r="G161" i="2"/>
  <c r="N57" i="2"/>
  <c r="N55" i="2"/>
  <c r="N54" i="2"/>
  <c r="N59" i="2"/>
  <c r="N56" i="2"/>
  <c r="N58" i="2"/>
  <c r="C209" i="2"/>
  <c r="D209" i="2"/>
  <c r="E209" i="2"/>
  <c r="I209" i="2"/>
  <c r="D183" i="2"/>
  <c r="C183" i="2"/>
  <c r="E118" i="2"/>
  <c r="D256" i="2"/>
  <c r="C256" i="2"/>
  <c r="J183" i="2"/>
  <c r="I183" i="2"/>
  <c r="B283" i="2"/>
  <c r="E282" i="2" a="1"/>
  <c r="E282" i="2" s="1"/>
  <c r="K282" i="2" a="1"/>
  <c r="K282" i="2" s="1"/>
  <c r="C209" i="3"/>
  <c r="I209" i="3"/>
  <c r="D209" i="3"/>
  <c r="E95" i="3"/>
  <c r="I184" i="3"/>
  <c r="H160" i="3"/>
  <c r="I160" i="3" s="1"/>
  <c r="L66" i="3"/>
  <c r="C185" i="3"/>
  <c r="K284" i="3" a="1"/>
  <c r="K284" i="3" s="1"/>
  <c r="E284" i="3" a="1"/>
  <c r="E284" i="3" s="1"/>
  <c r="G162" i="3"/>
  <c r="D162" i="1"/>
  <c r="G161" i="1"/>
  <c r="E161" i="1"/>
  <c r="H237" i="1"/>
  <c r="K236" i="1" a="1"/>
  <c r="K236" i="1" s="1"/>
  <c r="I160" i="1"/>
  <c r="K185" i="1" a="1"/>
  <c r="K185" i="1" s="1"/>
  <c r="H186" i="1"/>
  <c r="J185" i="1"/>
  <c r="I185" i="1"/>
  <c r="D138" i="1"/>
  <c r="E137" i="1"/>
  <c r="B235" i="1"/>
  <c r="E234" i="1" a="1"/>
  <c r="E234" i="1" s="1"/>
  <c r="K210" i="1" a="1"/>
  <c r="K210" i="1" s="1"/>
  <c r="J210" i="1"/>
  <c r="H211" i="1"/>
  <c r="E115" i="1"/>
  <c r="D116" i="1"/>
  <c r="M66" i="1"/>
  <c r="H161" i="1"/>
  <c r="C183" i="1"/>
  <c r="E183" i="1" a="1"/>
  <c r="E183" i="1" s="1"/>
  <c r="D183" i="1"/>
  <c r="B184" i="1"/>
  <c r="N62" i="1"/>
  <c r="O53" i="1"/>
  <c r="N54" i="1"/>
  <c r="N58" i="1"/>
  <c r="N61" i="1"/>
  <c r="N59" i="1"/>
  <c r="N55" i="1"/>
  <c r="N60" i="1"/>
  <c r="N56" i="1"/>
  <c r="N57" i="1"/>
  <c r="D256" i="1"/>
  <c r="C256" i="1"/>
  <c r="B257" i="1"/>
  <c r="E256" i="1" a="1"/>
  <c r="E256" i="1" s="1"/>
  <c r="B283" i="1"/>
  <c r="K282" i="1" a="1"/>
  <c r="K282" i="1" s="1"/>
  <c r="E282" i="1" a="1"/>
  <c r="E282" i="1" s="1"/>
  <c r="C209" i="1"/>
  <c r="F209" i="1" a="1"/>
  <c r="F209" i="1" s="1"/>
  <c r="E209" i="1"/>
  <c r="B210" i="1"/>
  <c r="I209" i="1"/>
  <c r="D209" i="1"/>
  <c r="C42" i="1" l="1"/>
  <c r="D41" i="1"/>
  <c r="E41" i="1" s="1"/>
  <c r="I161" i="2"/>
  <c r="D184" i="2"/>
  <c r="C184" i="2"/>
  <c r="E283" i="2" a="1"/>
  <c r="E283" i="2" s="1"/>
  <c r="K283" i="2" a="1"/>
  <c r="K283" i="2" s="1"/>
  <c r="B284" i="2"/>
  <c r="J211" i="2"/>
  <c r="J184" i="2"/>
  <c r="I184" i="2"/>
  <c r="N66" i="2"/>
  <c r="D257" i="2"/>
  <c r="C257" i="2"/>
  <c r="D210" i="2"/>
  <c r="E210" i="2"/>
  <c r="C210" i="2"/>
  <c r="I210" i="2"/>
  <c r="O55" i="2"/>
  <c r="O59" i="2"/>
  <c r="O57" i="2"/>
  <c r="O54" i="2"/>
  <c r="O56" i="2"/>
  <c r="O58" i="2"/>
  <c r="E143" i="2"/>
  <c r="E96" i="2"/>
  <c r="E119" i="2"/>
  <c r="E162" i="2"/>
  <c r="G162" i="2"/>
  <c r="G163" i="3"/>
  <c r="I185" i="3"/>
  <c r="C186" i="3"/>
  <c r="E285" i="3" a="1"/>
  <c r="E285" i="3" s="1"/>
  <c r="K285" i="3" a="1"/>
  <c r="K285" i="3" s="1"/>
  <c r="E96" i="3"/>
  <c r="C210" i="3"/>
  <c r="I210" i="3"/>
  <c r="D210" i="3"/>
  <c r="H161" i="3"/>
  <c r="I161" i="3" s="1"/>
  <c r="M66" i="3"/>
  <c r="I186" i="1"/>
  <c r="K186" i="1" a="1"/>
  <c r="K186" i="1" s="1"/>
  <c r="J186" i="1"/>
  <c r="H187" i="1"/>
  <c r="E210" i="1"/>
  <c r="B211" i="1"/>
  <c r="F210" i="1" a="1"/>
  <c r="F210" i="1" s="1"/>
  <c r="C210" i="1"/>
  <c r="I210" i="1"/>
  <c r="D210" i="1"/>
  <c r="E283" i="1" a="1"/>
  <c r="E283" i="1" s="1"/>
  <c r="B284" i="1"/>
  <c r="K283" i="1" a="1"/>
  <c r="K283" i="1" s="1"/>
  <c r="N66" i="1"/>
  <c r="H162" i="1"/>
  <c r="H238" i="1"/>
  <c r="K237" i="1" a="1"/>
  <c r="K237" i="1" s="1"/>
  <c r="J211" i="1"/>
  <c r="H212" i="1"/>
  <c r="K211" i="1" a="1"/>
  <c r="K211" i="1" s="1"/>
  <c r="I161" i="1"/>
  <c r="D139" i="1"/>
  <c r="E138" i="1"/>
  <c r="D117" i="1"/>
  <c r="E116" i="1"/>
  <c r="O62" i="1"/>
  <c r="P53" i="1"/>
  <c r="O58" i="1"/>
  <c r="O54" i="1"/>
  <c r="O61" i="1"/>
  <c r="O55" i="1"/>
  <c r="O57" i="1"/>
  <c r="O60" i="1"/>
  <c r="O56" i="1"/>
  <c r="O59" i="1"/>
  <c r="E257" i="1" a="1"/>
  <c r="E257" i="1" s="1"/>
  <c r="C257" i="1"/>
  <c r="D257" i="1"/>
  <c r="B258" i="1"/>
  <c r="D184" i="1"/>
  <c r="C184" i="1"/>
  <c r="B185" i="1"/>
  <c r="E184" i="1" a="1"/>
  <c r="E184" i="1" s="1"/>
  <c r="E235" i="1" a="1"/>
  <c r="E235" i="1" s="1"/>
  <c r="B236" i="1"/>
  <c r="E162" i="1"/>
  <c r="D163" i="1"/>
  <c r="G162" i="1"/>
  <c r="C43" i="1" l="1"/>
  <c r="D42" i="1"/>
  <c r="E42" i="1" s="1"/>
  <c r="E163" i="2"/>
  <c r="G163" i="2"/>
  <c r="O66" i="2"/>
  <c r="D258" i="2"/>
  <c r="C258" i="2"/>
  <c r="J212" i="2"/>
  <c r="E120" i="2"/>
  <c r="E97" i="2"/>
  <c r="P55" i="2"/>
  <c r="P59" i="2"/>
  <c r="P56" i="2"/>
  <c r="P54" i="2"/>
  <c r="P58" i="2"/>
  <c r="P57" i="2"/>
  <c r="I162" i="2"/>
  <c r="E284" i="2" a="1"/>
  <c r="E284" i="2" s="1"/>
  <c r="B285" i="2"/>
  <c r="K284" i="2" a="1"/>
  <c r="K284" i="2" s="1"/>
  <c r="E144" i="2"/>
  <c r="I185" i="2"/>
  <c r="J185" i="2"/>
  <c r="C185" i="2"/>
  <c r="D185" i="2"/>
  <c r="E211" i="2"/>
  <c r="C211" i="2"/>
  <c r="D211" i="2"/>
  <c r="I211" i="2"/>
  <c r="E97" i="3"/>
  <c r="I211" i="3"/>
  <c r="C211" i="3"/>
  <c r="D211" i="3"/>
  <c r="I186" i="3"/>
  <c r="G164" i="3"/>
  <c r="N66" i="3"/>
  <c r="H162" i="3"/>
  <c r="I162" i="3" s="1"/>
  <c r="C187" i="3"/>
  <c r="K286" i="3" a="1"/>
  <c r="K286" i="3" s="1"/>
  <c r="E286" i="3" a="1"/>
  <c r="E286" i="3" s="1"/>
  <c r="B285" i="1"/>
  <c r="K284" i="1" a="1"/>
  <c r="K284" i="1" s="1"/>
  <c r="E284" i="1" a="1"/>
  <c r="E284" i="1" s="1"/>
  <c r="E163" i="1"/>
  <c r="D164" i="1"/>
  <c r="G163" i="1"/>
  <c r="I162" i="1"/>
  <c r="D140" i="1"/>
  <c r="E139" i="1"/>
  <c r="E236" i="1" a="1"/>
  <c r="E236" i="1" s="1"/>
  <c r="B237" i="1"/>
  <c r="K212" i="1" a="1"/>
  <c r="K212" i="1" s="1"/>
  <c r="H213" i="1"/>
  <c r="J212" i="1"/>
  <c r="E185" i="1" a="1"/>
  <c r="E185" i="1" s="1"/>
  <c r="D185" i="1"/>
  <c r="C185" i="1"/>
  <c r="B186" i="1"/>
  <c r="F211" i="1" a="1"/>
  <c r="F211" i="1" s="1"/>
  <c r="E211" i="1"/>
  <c r="C211" i="1"/>
  <c r="B212" i="1"/>
  <c r="I211" i="1"/>
  <c r="D211" i="1"/>
  <c r="K238" i="1" a="1"/>
  <c r="K238" i="1" s="1"/>
  <c r="H239" i="1"/>
  <c r="K187" i="1" a="1"/>
  <c r="K187" i="1" s="1"/>
  <c r="J187" i="1"/>
  <c r="H188" i="1"/>
  <c r="I187" i="1"/>
  <c r="E258" i="1" a="1"/>
  <c r="E258" i="1" s="1"/>
  <c r="C258" i="1"/>
  <c r="B259" i="1"/>
  <c r="D258" i="1"/>
  <c r="Q53" i="1"/>
  <c r="P61" i="1"/>
  <c r="P60" i="1"/>
  <c r="P55" i="1"/>
  <c r="P59" i="1"/>
  <c r="P62" i="1"/>
  <c r="P57" i="1"/>
  <c r="P56" i="1"/>
  <c r="P54" i="1"/>
  <c r="P58" i="1"/>
  <c r="D118" i="1"/>
  <c r="E117" i="1"/>
  <c r="O66" i="1"/>
  <c r="H163" i="1"/>
  <c r="C44" i="1" l="1"/>
  <c r="D43" i="1"/>
  <c r="E43" i="1" s="1"/>
  <c r="E285" i="2" a="1"/>
  <c r="E285" i="2" s="1"/>
  <c r="K285" i="2" a="1"/>
  <c r="K285" i="2" s="1"/>
  <c r="B286" i="2"/>
  <c r="C259" i="2"/>
  <c r="D259" i="2"/>
  <c r="C186" i="2"/>
  <c r="D186" i="2"/>
  <c r="E146" i="2"/>
  <c r="E145" i="2"/>
  <c r="J213" i="2"/>
  <c r="E212" i="2"/>
  <c r="I212" i="2"/>
  <c r="C212" i="2"/>
  <c r="D212" i="2"/>
  <c r="P66" i="2"/>
  <c r="Q59" i="2"/>
  <c r="Q55" i="2"/>
  <c r="Q56" i="2"/>
  <c r="Q58" i="2"/>
  <c r="Q54" i="2"/>
  <c r="Q57" i="2"/>
  <c r="J186" i="2"/>
  <c r="I186" i="2"/>
  <c r="E98" i="2"/>
  <c r="G164" i="2"/>
  <c r="E164" i="2"/>
  <c r="E121" i="2"/>
  <c r="I163" i="2"/>
  <c r="H163" i="3"/>
  <c r="I163" i="3" s="1"/>
  <c r="O66" i="3"/>
  <c r="K287" i="3" a="1"/>
  <c r="K287" i="3" s="1"/>
  <c r="E287" i="3" a="1"/>
  <c r="E287" i="3" s="1"/>
  <c r="G165" i="3"/>
  <c r="C188" i="3"/>
  <c r="I187" i="3"/>
  <c r="C212" i="3"/>
  <c r="I212" i="3"/>
  <c r="D212" i="3"/>
  <c r="E98" i="3"/>
  <c r="D119" i="1"/>
  <c r="E118" i="1"/>
  <c r="B260" i="1"/>
  <c r="E259" i="1" a="1"/>
  <c r="E259" i="1" s="1"/>
  <c r="C259" i="1"/>
  <c r="D259" i="1"/>
  <c r="D141" i="1"/>
  <c r="E140" i="1"/>
  <c r="I188" i="1"/>
  <c r="H189" i="1"/>
  <c r="K188" i="1" a="1"/>
  <c r="K188" i="1" s="1"/>
  <c r="J188" i="1"/>
  <c r="D165" i="1"/>
  <c r="E164" i="1"/>
  <c r="G164" i="1"/>
  <c r="I163" i="1"/>
  <c r="Q55" i="1"/>
  <c r="R53" i="1"/>
  <c r="Q60" i="1"/>
  <c r="Q62" i="1"/>
  <c r="Q57" i="1"/>
  <c r="Q58" i="1"/>
  <c r="Q61" i="1"/>
  <c r="Q56" i="1"/>
  <c r="Q59" i="1"/>
  <c r="Q54" i="1"/>
  <c r="B213" i="1"/>
  <c r="F212" i="1" a="1"/>
  <c r="F212" i="1" s="1"/>
  <c r="E212" i="1"/>
  <c r="C212" i="1"/>
  <c r="D212" i="1"/>
  <c r="I212" i="1"/>
  <c r="B187" i="1"/>
  <c r="D186" i="1"/>
  <c r="E186" i="1" a="1"/>
  <c r="E186" i="1" s="1"/>
  <c r="C186" i="1"/>
  <c r="H240" i="1"/>
  <c r="K239" i="1" a="1"/>
  <c r="K239" i="1" s="1"/>
  <c r="E237" i="1" a="1"/>
  <c r="E237" i="1" s="1"/>
  <c r="B238" i="1"/>
  <c r="H164" i="1"/>
  <c r="P66" i="1"/>
  <c r="H214" i="1"/>
  <c r="K213" i="1" a="1"/>
  <c r="K213" i="1" s="1"/>
  <c r="J213" i="1"/>
  <c r="B286" i="1"/>
  <c r="E285" i="1" a="1"/>
  <c r="E285" i="1" s="1"/>
  <c r="K285" i="1" a="1"/>
  <c r="K285" i="1" s="1"/>
  <c r="C45" i="1" l="1"/>
  <c r="D44" i="1"/>
  <c r="E44" i="1" s="1"/>
  <c r="I164" i="2"/>
  <c r="Q66" i="2"/>
  <c r="C213" i="2"/>
  <c r="E213" i="2"/>
  <c r="D213" i="2"/>
  <c r="I213" i="2"/>
  <c r="J214" i="2"/>
  <c r="J187" i="2"/>
  <c r="I187" i="2"/>
  <c r="R57" i="2"/>
  <c r="R56" i="2"/>
  <c r="R58" i="2"/>
  <c r="R54" i="2"/>
  <c r="R55" i="2"/>
  <c r="R59" i="2"/>
  <c r="C260" i="2"/>
  <c r="D260" i="2"/>
  <c r="E165" i="2"/>
  <c r="G165" i="2"/>
  <c r="D187" i="2"/>
  <c r="C187" i="2"/>
  <c r="E99" i="2"/>
  <c r="K286" i="2" a="1"/>
  <c r="K286" i="2" s="1"/>
  <c r="B287" i="2"/>
  <c r="E286" i="2" a="1"/>
  <c r="E286" i="2" s="1"/>
  <c r="E122" i="2"/>
  <c r="K288" i="3" a="1"/>
  <c r="K288" i="3" s="1"/>
  <c r="E288" i="3" a="1"/>
  <c r="E288" i="3" s="1"/>
  <c r="E99" i="3"/>
  <c r="G166" i="3"/>
  <c r="P66" i="3"/>
  <c r="H164" i="3"/>
  <c r="I164" i="3" s="1"/>
  <c r="C189" i="3"/>
  <c r="C213" i="3"/>
  <c r="D213" i="3"/>
  <c r="I213" i="3"/>
  <c r="I188" i="3"/>
  <c r="K286" i="1" a="1"/>
  <c r="K286" i="1" s="1"/>
  <c r="E286" i="1" a="1"/>
  <c r="E286" i="1" s="1"/>
  <c r="B287" i="1"/>
  <c r="R61" i="1"/>
  <c r="R62" i="1"/>
  <c r="R57" i="1"/>
  <c r="R60" i="1"/>
  <c r="S53" i="1"/>
  <c r="R55" i="1"/>
  <c r="R59" i="1"/>
  <c r="R56" i="1"/>
  <c r="R54" i="1"/>
  <c r="R58" i="1"/>
  <c r="B214" i="1"/>
  <c r="I213" i="1"/>
  <c r="C213" i="1"/>
  <c r="D213" i="1"/>
  <c r="F213" i="1" a="1"/>
  <c r="F213" i="1" s="1"/>
  <c r="E213" i="1"/>
  <c r="C260" i="1"/>
  <c r="B261" i="1"/>
  <c r="E260" i="1" a="1"/>
  <c r="E260" i="1" s="1"/>
  <c r="D260" i="1"/>
  <c r="H215" i="1"/>
  <c r="J214" i="1"/>
  <c r="K214" i="1" a="1"/>
  <c r="K214" i="1" s="1"/>
  <c r="D142" i="1"/>
  <c r="E141" i="1"/>
  <c r="E238" i="1" a="1"/>
  <c r="E238" i="1" s="1"/>
  <c r="B239" i="1"/>
  <c r="H165" i="1"/>
  <c r="Q66" i="1"/>
  <c r="I164" i="1"/>
  <c r="H190" i="1"/>
  <c r="K189" i="1" a="1"/>
  <c r="K189" i="1" s="1"/>
  <c r="J189" i="1"/>
  <c r="I189" i="1"/>
  <c r="C187" i="1"/>
  <c r="B188" i="1"/>
  <c r="E187" i="1" a="1"/>
  <c r="E187" i="1" s="1"/>
  <c r="D187" i="1"/>
  <c r="K240" i="1" a="1"/>
  <c r="K240" i="1" s="1"/>
  <c r="H241" i="1"/>
  <c r="E165" i="1"/>
  <c r="D166" i="1"/>
  <c r="G165" i="1"/>
  <c r="D120" i="1"/>
  <c r="E119" i="1"/>
  <c r="C46" i="1" l="1"/>
  <c r="D45" i="1"/>
  <c r="E45" i="1" s="1"/>
  <c r="D188" i="2"/>
  <c r="C188" i="2"/>
  <c r="J215" i="2"/>
  <c r="S57" i="2"/>
  <c r="S55" i="2"/>
  <c r="S56" i="2"/>
  <c r="S58" i="2"/>
  <c r="S54" i="2"/>
  <c r="S59" i="2"/>
  <c r="J188" i="2"/>
  <c r="I188" i="2"/>
  <c r="I165" i="2"/>
  <c r="E124" i="2"/>
  <c r="E123" i="2"/>
  <c r="E166" i="2"/>
  <c r="G166" i="2"/>
  <c r="B288" i="2"/>
  <c r="K287" i="2" a="1"/>
  <c r="K287" i="2" s="1"/>
  <c r="E287" i="2" a="1"/>
  <c r="E287" i="2" s="1"/>
  <c r="R66" i="2"/>
  <c r="C261" i="2"/>
  <c r="D261" i="2"/>
  <c r="C214" i="2"/>
  <c r="E214" i="2"/>
  <c r="I214" i="2"/>
  <c r="D214" i="2"/>
  <c r="E101" i="2"/>
  <c r="E100" i="2"/>
  <c r="I189" i="3"/>
  <c r="G167" i="3"/>
  <c r="E101" i="3"/>
  <c r="E100" i="3"/>
  <c r="C214" i="3"/>
  <c r="D214" i="3"/>
  <c r="I214" i="3"/>
  <c r="Q66" i="3"/>
  <c r="H165" i="3"/>
  <c r="I165" i="3" s="1"/>
  <c r="E289" i="3" a="1"/>
  <c r="E289" i="3" s="1"/>
  <c r="K289" i="3" a="1"/>
  <c r="K289" i="3" s="1"/>
  <c r="C190" i="3"/>
  <c r="D167" i="1"/>
  <c r="G166" i="1"/>
  <c r="E166" i="1"/>
  <c r="B262" i="1"/>
  <c r="E261" i="1" a="1"/>
  <c r="E261" i="1" s="1"/>
  <c r="C261" i="1"/>
  <c r="D261" i="1"/>
  <c r="I165" i="1"/>
  <c r="S60" i="1"/>
  <c r="T53" i="1"/>
  <c r="S57" i="1"/>
  <c r="S62" i="1"/>
  <c r="S61" i="1"/>
  <c r="S58" i="1"/>
  <c r="S56" i="1"/>
  <c r="S54" i="1"/>
  <c r="S55" i="1"/>
  <c r="S59" i="1"/>
  <c r="H191" i="1"/>
  <c r="K190" i="1" a="1"/>
  <c r="K190" i="1" s="1"/>
  <c r="J190" i="1"/>
  <c r="I190" i="1"/>
  <c r="E239" i="1" a="1"/>
  <c r="E239" i="1" s="1"/>
  <c r="B240" i="1"/>
  <c r="K241" i="1" a="1"/>
  <c r="K241" i="1" s="1"/>
  <c r="H242" i="1"/>
  <c r="D188" i="1"/>
  <c r="B189" i="1"/>
  <c r="E188" i="1" a="1"/>
  <c r="E188" i="1" s="1"/>
  <c r="C188" i="1"/>
  <c r="D143" i="1"/>
  <c r="E142" i="1"/>
  <c r="B288" i="1"/>
  <c r="K287" i="1" a="1"/>
  <c r="K287" i="1" s="1"/>
  <c r="E287" i="1" a="1"/>
  <c r="E287" i="1" s="1"/>
  <c r="C214" i="1"/>
  <c r="B215" i="1"/>
  <c r="F214" i="1" a="1"/>
  <c r="F214" i="1" s="1"/>
  <c r="E214" i="1"/>
  <c r="I214" i="1"/>
  <c r="D214" i="1"/>
  <c r="J215" i="1"/>
  <c r="K215" i="1" a="1"/>
  <c r="K215" i="1" s="1"/>
  <c r="H216" i="1"/>
  <c r="R66" i="1"/>
  <c r="H166" i="1"/>
  <c r="D121" i="1"/>
  <c r="E120" i="1"/>
  <c r="C47" i="1" l="1"/>
  <c r="D46" i="1"/>
  <c r="E46" i="1" s="1"/>
  <c r="J216" i="2"/>
  <c r="E215" i="2"/>
  <c r="C215" i="2"/>
  <c r="D215" i="2"/>
  <c r="I215" i="2"/>
  <c r="B289" i="2"/>
  <c r="E288" i="2" a="1"/>
  <c r="E288" i="2" s="1"/>
  <c r="K288" i="2" a="1"/>
  <c r="K288" i="2" s="1"/>
  <c r="J189" i="2"/>
  <c r="I189" i="2"/>
  <c r="T56" i="2"/>
  <c r="T55" i="2"/>
  <c r="T57" i="2"/>
  <c r="T59" i="2"/>
  <c r="T58" i="2"/>
  <c r="T54" i="2"/>
  <c r="E167" i="2"/>
  <c r="G167" i="2"/>
  <c r="S66" i="2"/>
  <c r="I166" i="2"/>
  <c r="D189" i="2"/>
  <c r="C189" i="2"/>
  <c r="D262" i="2"/>
  <c r="C262" i="2"/>
  <c r="C191" i="3"/>
  <c r="R66" i="3"/>
  <c r="H166" i="3"/>
  <c r="I166" i="3" s="1"/>
  <c r="C215" i="3"/>
  <c r="I215" i="3"/>
  <c r="D215" i="3"/>
  <c r="K290" i="3" a="1"/>
  <c r="K290" i="3" s="1"/>
  <c r="E290" i="3" a="1"/>
  <c r="E290" i="3" s="1"/>
  <c r="G168" i="3"/>
  <c r="I190" i="3"/>
  <c r="T61" i="1"/>
  <c r="T60" i="1"/>
  <c r="T57" i="1"/>
  <c r="T56" i="1"/>
  <c r="T62" i="1"/>
  <c r="U53" i="1"/>
  <c r="T55" i="1"/>
  <c r="T59" i="1"/>
  <c r="T54" i="1"/>
  <c r="T58" i="1"/>
  <c r="B289" i="1"/>
  <c r="K288" i="1" a="1"/>
  <c r="K288" i="1" s="1"/>
  <c r="E288" i="1" a="1"/>
  <c r="E288" i="1" s="1"/>
  <c r="J216" i="1"/>
  <c r="H217" i="1"/>
  <c r="K216" i="1" a="1"/>
  <c r="K216" i="1" s="1"/>
  <c r="J191" i="1"/>
  <c r="H192" i="1"/>
  <c r="K191" i="1" a="1"/>
  <c r="K191" i="1" s="1"/>
  <c r="I191" i="1"/>
  <c r="B190" i="1"/>
  <c r="D189" i="1"/>
  <c r="E189" i="1" a="1"/>
  <c r="E189" i="1" s="1"/>
  <c r="C189" i="1"/>
  <c r="S66" i="1"/>
  <c r="H167" i="1"/>
  <c r="E262" i="1" a="1"/>
  <c r="E262" i="1" s="1"/>
  <c r="D262" i="1"/>
  <c r="B263" i="1"/>
  <c r="C262" i="1"/>
  <c r="B241" i="1"/>
  <c r="E240" i="1" a="1"/>
  <c r="E240" i="1" s="1"/>
  <c r="E121" i="1"/>
  <c r="D122" i="1"/>
  <c r="I166" i="1"/>
  <c r="D144" i="1"/>
  <c r="E143" i="1"/>
  <c r="H243" i="1"/>
  <c r="K242" i="1" a="1"/>
  <c r="K242" i="1" s="1"/>
  <c r="B216" i="1"/>
  <c r="F215" i="1" a="1"/>
  <c r="F215" i="1" s="1"/>
  <c r="E215" i="1"/>
  <c r="C215" i="1"/>
  <c r="D215" i="1"/>
  <c r="I215" i="1"/>
  <c r="D168" i="1"/>
  <c r="G167" i="1"/>
  <c r="E167" i="1"/>
  <c r="I167" i="1" l="1"/>
  <c r="C48" i="1"/>
  <c r="D47" i="1"/>
  <c r="E47" i="1" s="1"/>
  <c r="E216" i="2"/>
  <c r="C216" i="2"/>
  <c r="I216" i="2"/>
  <c r="D216" i="2"/>
  <c r="D263" i="2"/>
  <c r="C263" i="2"/>
  <c r="E168" i="2"/>
  <c r="G168" i="2"/>
  <c r="D190" i="2"/>
  <c r="C190" i="2"/>
  <c r="J217" i="2"/>
  <c r="E289" i="2" a="1"/>
  <c r="E289" i="2" s="1"/>
  <c r="K289" i="2" a="1"/>
  <c r="K289" i="2" s="1"/>
  <c r="B290" i="2"/>
  <c r="I167" i="2"/>
  <c r="U55" i="2"/>
  <c r="U54" i="2"/>
  <c r="U58" i="2"/>
  <c r="U57" i="2"/>
  <c r="U59" i="2"/>
  <c r="U56" i="2"/>
  <c r="J190" i="2"/>
  <c r="I190" i="2"/>
  <c r="T66" i="2"/>
  <c r="E291" i="3" a="1"/>
  <c r="E291" i="3" s="1"/>
  <c r="K291" i="3" a="1"/>
  <c r="K291" i="3" s="1"/>
  <c r="C216" i="3"/>
  <c r="I216" i="3"/>
  <c r="D216" i="3"/>
  <c r="I191" i="3"/>
  <c r="S66" i="3"/>
  <c r="H167" i="3"/>
  <c r="I167" i="3" s="1"/>
  <c r="G169" i="3"/>
  <c r="C192" i="3"/>
  <c r="C190" i="1"/>
  <c r="D190" i="1"/>
  <c r="B191" i="1"/>
  <c r="E190" i="1" a="1"/>
  <c r="E190" i="1" s="1"/>
  <c r="D145" i="1"/>
  <c r="E144" i="1"/>
  <c r="D123" i="1"/>
  <c r="E122" i="1"/>
  <c r="H168" i="1"/>
  <c r="T66" i="1"/>
  <c r="B242" i="1"/>
  <c r="E241" i="1" a="1"/>
  <c r="E241" i="1" s="1"/>
  <c r="B264" i="1"/>
  <c r="E263" i="1" a="1"/>
  <c r="E263" i="1" s="1"/>
  <c r="D263" i="1"/>
  <c r="C263" i="1"/>
  <c r="K217" i="1" a="1"/>
  <c r="K217" i="1" s="1"/>
  <c r="J217" i="1"/>
  <c r="H218" i="1"/>
  <c r="E289" i="1" a="1"/>
  <c r="E289" i="1" s="1"/>
  <c r="B290" i="1"/>
  <c r="K289" i="1" a="1"/>
  <c r="K289" i="1" s="1"/>
  <c r="K243" i="1" a="1"/>
  <c r="K243" i="1" s="1"/>
  <c r="H244" i="1"/>
  <c r="K244" i="1" s="1" a="1"/>
  <c r="K244" i="1" s="1"/>
  <c r="E168" i="1"/>
  <c r="D169" i="1"/>
  <c r="G168" i="1"/>
  <c r="K192" i="1" a="1"/>
  <c r="K192" i="1" s="1"/>
  <c r="I192" i="1"/>
  <c r="J192" i="1"/>
  <c r="H193" i="1"/>
  <c r="U61" i="1"/>
  <c r="U57" i="1"/>
  <c r="U58" i="1"/>
  <c r="U54" i="1"/>
  <c r="V53" i="1"/>
  <c r="U56" i="1"/>
  <c r="U62" i="1"/>
  <c r="U59" i="1"/>
  <c r="U60" i="1"/>
  <c r="U55" i="1"/>
  <c r="B217" i="1"/>
  <c r="E216" i="1"/>
  <c r="C216" i="1"/>
  <c r="F216" i="1" a="1"/>
  <c r="F216" i="1" s="1"/>
  <c r="D216" i="1"/>
  <c r="I216" i="1"/>
  <c r="I168" i="2" l="1"/>
  <c r="C49" i="1"/>
  <c r="D48" i="1"/>
  <c r="E48" i="1" s="1"/>
  <c r="D264" i="2"/>
  <c r="C264" i="2"/>
  <c r="J191" i="2"/>
  <c r="I191" i="2"/>
  <c r="V57" i="2"/>
  <c r="V56" i="2"/>
  <c r="V54" i="2"/>
  <c r="V55" i="2"/>
  <c r="V59" i="2"/>
  <c r="V58" i="2"/>
  <c r="U66" i="2"/>
  <c r="D191" i="2"/>
  <c r="C191" i="2"/>
  <c r="E217" i="2"/>
  <c r="C217" i="2"/>
  <c r="I217" i="2"/>
  <c r="D217" i="2"/>
  <c r="E169" i="2"/>
  <c r="G169" i="2"/>
  <c r="J218" i="2"/>
  <c r="E290" i="2" a="1"/>
  <c r="E290" i="2" s="1"/>
  <c r="K290" i="2" a="1"/>
  <c r="K290" i="2" s="1"/>
  <c r="B291" i="2"/>
  <c r="H168" i="3"/>
  <c r="I168" i="3" s="1"/>
  <c r="T66" i="3"/>
  <c r="K292" i="3" a="1"/>
  <c r="K292" i="3" s="1"/>
  <c r="E292" i="3" a="1"/>
  <c r="E292" i="3" s="1"/>
  <c r="I192" i="3"/>
  <c r="C193" i="3"/>
  <c r="C217" i="3"/>
  <c r="I217" i="3"/>
  <c r="D217" i="3"/>
  <c r="G170" i="3"/>
  <c r="V61" i="1"/>
  <c r="V58" i="1"/>
  <c r="V57" i="1"/>
  <c r="W53" i="1"/>
  <c r="V60" i="1"/>
  <c r="V62" i="1"/>
  <c r="V54" i="1"/>
  <c r="V56" i="1"/>
  <c r="V55" i="1"/>
  <c r="V59" i="1"/>
  <c r="U66" i="1"/>
  <c r="H169" i="1"/>
  <c r="E242" i="1" a="1"/>
  <c r="E242" i="1" s="1"/>
  <c r="B243" i="1"/>
  <c r="D146" i="1"/>
  <c r="E146" i="1" s="1"/>
  <c r="E145" i="1"/>
  <c r="K218" i="1" a="1"/>
  <c r="K218" i="1" s="1"/>
  <c r="J218" i="1"/>
  <c r="H219" i="1"/>
  <c r="E217" i="1"/>
  <c r="C217" i="1"/>
  <c r="F217" i="1" a="1"/>
  <c r="F217" i="1" s="1"/>
  <c r="B218" i="1"/>
  <c r="I217" i="1"/>
  <c r="D217" i="1"/>
  <c r="E191" i="1" a="1"/>
  <c r="E191" i="1" s="1"/>
  <c r="D191" i="1"/>
  <c r="C191" i="1"/>
  <c r="B192" i="1"/>
  <c r="E290" i="1" a="1"/>
  <c r="E290" i="1" s="1"/>
  <c r="B291" i="1"/>
  <c r="K290" i="1" a="1"/>
  <c r="K290" i="1" s="1"/>
  <c r="E123" i="1"/>
  <c r="D124" i="1"/>
  <c r="E124" i="1" s="1"/>
  <c r="E169" i="1"/>
  <c r="D170" i="1"/>
  <c r="G169" i="1"/>
  <c r="J193" i="1"/>
  <c r="I193" i="1"/>
  <c r="H194" i="1"/>
  <c r="K193" i="1" a="1"/>
  <c r="K193" i="1" s="1"/>
  <c r="I168" i="1"/>
  <c r="B265" i="1"/>
  <c r="D264" i="1"/>
  <c r="E264" i="1" a="1"/>
  <c r="E264" i="1" s="1"/>
  <c r="C264" i="1"/>
  <c r="C50" i="1" l="1"/>
  <c r="D50" i="1" s="1"/>
  <c r="E50" i="1" s="1"/>
  <c r="D49" i="1"/>
  <c r="E49" i="1" s="1"/>
  <c r="I169" i="2"/>
  <c r="E218" i="2"/>
  <c r="C218" i="2"/>
  <c r="I218" i="2"/>
  <c r="D218" i="2"/>
  <c r="D192" i="2"/>
  <c r="C192" i="2"/>
  <c r="J219" i="2"/>
  <c r="W57" i="2"/>
  <c r="W58" i="2"/>
  <c r="W55" i="2"/>
  <c r="W54" i="2"/>
  <c r="W59" i="2"/>
  <c r="W56" i="2"/>
  <c r="E170" i="2"/>
  <c r="G170" i="2"/>
  <c r="I192" i="2"/>
  <c r="J192" i="2"/>
  <c r="E291" i="2" a="1"/>
  <c r="E291" i="2" s="1"/>
  <c r="B292" i="2"/>
  <c r="K291" i="2" a="1"/>
  <c r="K291" i="2" s="1"/>
  <c r="V66" i="2"/>
  <c r="D265" i="2"/>
  <c r="C265" i="2"/>
  <c r="G171" i="3"/>
  <c r="C218" i="3"/>
  <c r="I218" i="3"/>
  <c r="D218" i="3"/>
  <c r="C194" i="3"/>
  <c r="U66" i="3"/>
  <c r="H169" i="3"/>
  <c r="I169" i="3" s="1"/>
  <c r="I193" i="3"/>
  <c r="B266" i="1"/>
  <c r="D265" i="1"/>
  <c r="C265" i="1"/>
  <c r="E265" i="1" a="1"/>
  <c r="E265" i="1" s="1"/>
  <c r="H220" i="1"/>
  <c r="J219" i="1"/>
  <c r="K219" i="1" a="1"/>
  <c r="K219" i="1" s="1"/>
  <c r="B193" i="1"/>
  <c r="C192" i="1"/>
  <c r="E192" i="1" a="1"/>
  <c r="E192" i="1" s="1"/>
  <c r="D192" i="1"/>
  <c r="V66" i="1"/>
  <c r="H170" i="1"/>
  <c r="K194" i="1" a="1"/>
  <c r="K194" i="1" s="1"/>
  <c r="J194" i="1"/>
  <c r="I194" i="1"/>
  <c r="W58" i="1"/>
  <c r="W61" i="1"/>
  <c r="W62" i="1"/>
  <c r="W54" i="1"/>
  <c r="W57" i="1"/>
  <c r="W55" i="1"/>
  <c r="W59" i="1"/>
  <c r="W60" i="1"/>
  <c r="W56" i="1"/>
  <c r="I169" i="1"/>
  <c r="B292" i="1"/>
  <c r="K291" i="1" a="1"/>
  <c r="K291" i="1" s="1"/>
  <c r="E291" i="1" a="1"/>
  <c r="E291" i="1" s="1"/>
  <c r="B244" i="1"/>
  <c r="E244" i="1" s="1" a="1"/>
  <c r="E244" i="1" s="1"/>
  <c r="E243" i="1" a="1"/>
  <c r="E243" i="1" s="1"/>
  <c r="E170" i="1"/>
  <c r="D171" i="1"/>
  <c r="G170" i="1"/>
  <c r="F218" i="1" a="1"/>
  <c r="F218" i="1" s="1"/>
  <c r="B219" i="1"/>
  <c r="C218" i="1"/>
  <c r="E218" i="1"/>
  <c r="I218" i="1"/>
  <c r="D218" i="1"/>
  <c r="W66" i="2" l="1"/>
  <c r="D193" i="2"/>
  <c r="C193" i="2"/>
  <c r="J193" i="2"/>
  <c r="I193" i="2"/>
  <c r="K292" i="2" a="1"/>
  <c r="K292" i="2" s="1"/>
  <c r="E292" i="2" a="1"/>
  <c r="E292" i="2" s="1"/>
  <c r="I170" i="2"/>
  <c r="J220" i="2"/>
  <c r="E219" i="2"/>
  <c r="D219" i="2"/>
  <c r="C219" i="2"/>
  <c r="I219" i="2"/>
  <c r="C266" i="2"/>
  <c r="D266" i="2"/>
  <c r="G171" i="2"/>
  <c r="E171" i="2"/>
  <c r="I171" i="2" s="1"/>
  <c r="I194" i="3"/>
  <c r="C219" i="3"/>
  <c r="I219" i="3"/>
  <c r="D219" i="3"/>
  <c r="V66" i="3"/>
  <c r="H170" i="3"/>
  <c r="I170" i="3" s="1"/>
  <c r="I170" i="1"/>
  <c r="K220" i="1" a="1"/>
  <c r="K220" i="1" s="1"/>
  <c r="J220" i="1"/>
  <c r="H171" i="1"/>
  <c r="W66" i="1"/>
  <c r="E193" i="1" a="1"/>
  <c r="E193" i="1" s="1"/>
  <c r="D193" i="1"/>
  <c r="C193" i="1"/>
  <c r="B194" i="1"/>
  <c r="E171" i="1"/>
  <c r="G171" i="1"/>
  <c r="K292" i="1" a="1"/>
  <c r="K292" i="1" s="1"/>
  <c r="E292" i="1" a="1"/>
  <c r="E292" i="1" s="1"/>
  <c r="E219" i="1"/>
  <c r="B220" i="1"/>
  <c r="C219" i="1"/>
  <c r="I219" i="1"/>
  <c r="F219" i="1" a="1"/>
  <c r="F219" i="1" s="1"/>
  <c r="D219" i="1"/>
  <c r="D266" i="1"/>
  <c r="C266" i="1"/>
  <c r="B267" i="1"/>
  <c r="E266" i="1" a="1"/>
  <c r="E266" i="1" s="1"/>
  <c r="J194" i="2" l="1"/>
  <c r="I194" i="2"/>
  <c r="E220" i="2"/>
  <c r="C220" i="2"/>
  <c r="D220" i="2"/>
  <c r="I220" i="2"/>
  <c r="D267" i="2"/>
  <c r="C267" i="2"/>
  <c r="D194" i="2"/>
  <c r="C194" i="2"/>
  <c r="W66" i="3"/>
  <c r="H171" i="3"/>
  <c r="I171" i="3" s="1"/>
  <c r="C220" i="3"/>
  <c r="I220" i="3"/>
  <c r="D220" i="3"/>
  <c r="D267" i="1"/>
  <c r="C267" i="1"/>
  <c r="E267" i="1" a="1"/>
  <c r="E267" i="1" s="1"/>
  <c r="F220" i="1" a="1"/>
  <c r="F220" i="1" s="1"/>
  <c r="C220" i="1"/>
  <c r="E220" i="1"/>
  <c r="D220" i="1"/>
  <c r="I220" i="1"/>
  <c r="I171" i="1"/>
  <c r="C194" i="1"/>
  <c r="E194" i="1" a="1"/>
  <c r="E194" i="1" s="1"/>
  <c r="D194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<sst xmlns="http://schemas.openxmlformats.org/spreadsheetml/2006/main" count="637" uniqueCount="129">
  <si>
    <r>
      <t>k</t>
    </r>
    <r>
      <rPr>
        <b/>
        <sz val="8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 xml:space="preserve"> (J/K)</t>
    </r>
  </si>
  <si>
    <t>π</t>
  </si>
  <si>
    <t>h (Js)</t>
  </si>
  <si>
    <t>R (J/K/mol)</t>
  </si>
  <si>
    <t>m (Kg)</t>
  </si>
  <si>
    <r>
      <t>N</t>
    </r>
    <r>
      <rPr>
        <b/>
        <sz val="8"/>
        <color theme="1"/>
        <rFont val="Calibri"/>
        <family val="2"/>
        <scheme val="minor"/>
      </rPr>
      <t>AVO</t>
    </r>
    <r>
      <rPr>
        <b/>
        <sz val="11"/>
        <color theme="1"/>
        <rFont val="Calibri"/>
        <family val="2"/>
        <scheme val="minor"/>
      </rPr>
      <t xml:space="preserve"> (mol-1)</t>
    </r>
  </si>
  <si>
    <t>A</t>
  </si>
  <si>
    <r>
      <t>T</t>
    </r>
    <r>
      <rPr>
        <b/>
        <sz val="8"/>
        <color theme="1"/>
        <rFont val="Calibri"/>
        <family val="2"/>
        <scheme val="minor"/>
      </rPr>
      <t>amb</t>
    </r>
    <r>
      <rPr>
        <b/>
        <sz val="11"/>
        <color theme="1"/>
        <rFont val="Calibri"/>
        <family val="2"/>
        <scheme val="minor"/>
      </rPr>
      <t xml:space="preserve"> (K)</t>
    </r>
  </si>
  <si>
    <t>c (cm/s)</t>
  </si>
  <si>
    <t>P (Pa)</t>
  </si>
  <si>
    <t>Ix</t>
  </si>
  <si>
    <t>Iy</t>
  </si>
  <si>
    <t>Iz</t>
  </si>
  <si>
    <t>ZPE (Hartree)</t>
  </si>
  <si>
    <t>ZPE (kcal/mol)</t>
  </si>
  <si>
    <t>ZPE (J)</t>
  </si>
  <si>
    <t>ν (Hz)</t>
  </si>
  <si>
    <t>σ</t>
  </si>
  <si>
    <r>
      <t xml:space="preserve"> Moments of inertia (uma</t>
    </r>
    <r>
      <rPr>
        <sz val="11"/>
        <color theme="1"/>
        <rFont val="Aptos Narrow"/>
        <family val="2"/>
      </rPr>
      <t>×</t>
    </r>
    <r>
      <rPr>
        <sz val="11"/>
        <color theme="1"/>
        <rFont val="Calibri"/>
        <family val="2"/>
        <scheme val="minor"/>
      </rPr>
      <t>Å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</si>
  <si>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Rotational symmetry number</t>
  </si>
  <si>
    <r>
      <t xml:space="preserve"> Moments of inertia (kg</t>
    </r>
    <r>
      <rPr>
        <sz val="11"/>
        <color theme="1"/>
        <rFont val="Aptos Narrow"/>
        <family val="2"/>
      </rPr>
      <t>×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</si>
  <si>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 xml:space="preserve">  </t>
  </si>
  <si>
    <t xml:space="preserve">Rotational constants (GHZ)       </t>
  </si>
  <si>
    <t xml:space="preserve"> Rotational temperatures (K)    </t>
  </si>
  <si>
    <r>
      <t xml:space="preserve">Vibrational temperatures  (Kelvin)    </t>
    </r>
    <r>
      <rPr>
        <b/>
        <sz val="11"/>
        <color theme="1"/>
        <rFont val="Aptos Narrow"/>
        <family val="2"/>
      </rPr>
      <t>ϑ</t>
    </r>
    <r>
      <rPr>
        <b/>
        <sz val="8"/>
        <color theme="1"/>
        <rFont val="Aptos Narrow"/>
        <family val="2"/>
      </rPr>
      <t>vib,i</t>
    </r>
  </si>
  <si>
    <t>Gaussian Output:</t>
  </si>
  <si>
    <t>E (Thermal)</t>
  </si>
  <si>
    <r>
      <t>C</t>
    </r>
    <r>
      <rPr>
        <b/>
        <sz val="8"/>
        <color theme="1"/>
        <rFont val="Calibri"/>
        <family val="2"/>
        <scheme val="minor"/>
      </rPr>
      <t>V</t>
    </r>
  </si>
  <si>
    <t>S</t>
  </si>
  <si>
    <t>KCal/Mol</t>
  </si>
  <si>
    <t>Cal/Mol-Kelvin</t>
  </si>
  <si>
    <t>Total</t>
  </si>
  <si>
    <t>Electronic</t>
  </si>
  <si>
    <t>0.000</t>
  </si>
  <si>
    <t>Translational</t>
  </si>
  <si>
    <t>Rotational</t>
  </si>
  <si>
    <t>Vibrational</t>
  </si>
  <si>
    <t>Q</t>
  </si>
  <si>
    <t>Total Bot</t>
  </si>
  <si>
    <t>Total V=0</t>
  </si>
  <si>
    <t>Vib (Bot)</t>
  </si>
  <si>
    <t>Vib (V=0)</t>
  </si>
  <si>
    <t>freq :ν , T = 298,15K</t>
  </si>
  <si>
    <r>
      <t>Frequencies (cm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</si>
  <si>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Frequencies (Hz)</t>
  </si>
  <si>
    <t>T (K)</t>
  </si>
  <si>
    <r>
      <t>Q</t>
    </r>
    <r>
      <rPr>
        <b/>
        <vertAlign val="subscript"/>
        <sz val="12"/>
        <color theme="1"/>
        <rFont val="Calibri"/>
        <family val="2"/>
        <scheme val="minor"/>
      </rPr>
      <t xml:space="preserve">vib,i </t>
    </r>
  </si>
  <si>
    <t>Qvib,i (Tamb≈300K)</t>
  </si>
  <si>
    <r>
      <rPr>
        <b/>
        <sz val="11"/>
        <color rgb="FF0070C0"/>
        <rFont val="Calibri"/>
        <family val="2"/>
        <scheme val="minor"/>
      </rPr>
      <t>Frequencies (Hz)</t>
    </r>
    <r>
      <rPr>
        <b/>
        <sz val="11"/>
        <color theme="1"/>
        <rFont val="Calibri"/>
        <family val="2"/>
        <scheme val="minor"/>
      </rPr>
      <t xml:space="preserve"> /</t>
    </r>
    <r>
      <rPr>
        <b/>
        <sz val="11"/>
        <color rgb="FFFF0000"/>
        <rFont val="Calibri"/>
        <family val="2"/>
        <scheme val="minor"/>
      </rPr>
      <t xml:space="preserve"> T (K)</t>
    </r>
  </si>
  <si>
    <t>T(K)</t>
  </si>
  <si>
    <t>Qvib,tot</t>
  </si>
  <si>
    <t>N_vib</t>
  </si>
  <si>
    <r>
      <t>Q</t>
    </r>
    <r>
      <rPr>
        <b/>
        <vertAlign val="subscript"/>
        <sz val="14"/>
        <color theme="1"/>
        <rFont val="Calibri"/>
        <family val="2"/>
        <scheme val="minor"/>
      </rPr>
      <t>vib,tot</t>
    </r>
  </si>
  <si>
    <t>Gaussian:</t>
  </si>
  <si>
    <t>Variazione percentuale</t>
  </si>
  <si>
    <r>
      <t>Q</t>
    </r>
    <r>
      <rPr>
        <b/>
        <vertAlign val="subscript"/>
        <sz val="12"/>
        <color theme="1"/>
        <rFont val="Calibri"/>
        <family val="2"/>
        <scheme val="minor"/>
      </rPr>
      <t>trasl</t>
    </r>
    <r>
      <rPr>
        <b/>
        <sz val="12"/>
        <color theme="1"/>
        <rFont val="Calibri"/>
        <family val="2"/>
        <scheme val="minor"/>
      </rPr>
      <t xml:space="preserve"> </t>
    </r>
  </si>
  <si>
    <t>Confronto:</t>
  </si>
  <si>
    <t>T=298,15K</t>
  </si>
  <si>
    <t>Sperimentale</t>
  </si>
  <si>
    <t>Qtrasl</t>
  </si>
  <si>
    <t>Gaussian</t>
  </si>
  <si>
    <r>
      <t>Q</t>
    </r>
    <r>
      <rPr>
        <b/>
        <vertAlign val="subscript"/>
        <sz val="12"/>
        <color theme="1"/>
        <rFont val="Calibri"/>
        <family val="2"/>
        <scheme val="minor"/>
      </rPr>
      <t>rot</t>
    </r>
  </si>
  <si>
    <t>Qrot</t>
  </si>
  <si>
    <r>
      <t>Q</t>
    </r>
    <r>
      <rPr>
        <vertAlign val="subscript"/>
        <sz val="12"/>
        <color theme="1"/>
        <rFont val="Calibri"/>
        <family val="2"/>
        <scheme val="minor"/>
      </rPr>
      <t>el</t>
    </r>
  </si>
  <si>
    <r>
      <t>Q</t>
    </r>
    <r>
      <rPr>
        <vertAlign val="subscript"/>
        <sz val="12"/>
        <color theme="1"/>
        <rFont val="Calibri"/>
        <family val="2"/>
        <scheme val="minor"/>
      </rPr>
      <t>el</t>
    </r>
    <r>
      <rPr>
        <b/>
        <sz val="11"/>
        <color theme="1"/>
        <rFont val="Calibri"/>
        <family val="2"/>
        <scheme val="minor"/>
      </rPr>
      <t xml:space="preserve"> (Gaussian: g</t>
    </r>
    <r>
      <rPr>
        <b/>
        <vertAlign val="subscript"/>
        <sz val="11"/>
        <color theme="1"/>
        <rFont val="Calibri"/>
        <family val="2"/>
        <scheme val="minor"/>
      </rPr>
      <t>el</t>
    </r>
    <r>
      <rPr>
        <b/>
        <sz val="11"/>
        <color theme="1"/>
        <rFont val="Calibri"/>
        <family val="2"/>
        <scheme val="minor"/>
      </rPr>
      <t>)</t>
    </r>
  </si>
  <si>
    <t>Tamb:</t>
  </si>
  <si>
    <t>E_SCF [Hartree]</t>
  </si>
  <si>
    <t>E_SCF [J]</t>
  </si>
  <si>
    <t>ZPE [J]</t>
  </si>
  <si>
    <r>
      <t>E</t>
    </r>
    <r>
      <rPr>
        <vertAlign val="subscript"/>
        <sz val="12"/>
        <color theme="1"/>
        <rFont val="Calibri"/>
        <family val="2"/>
        <scheme val="minor"/>
      </rPr>
      <t>el</t>
    </r>
    <r>
      <rPr>
        <sz val="12"/>
        <color theme="1"/>
        <rFont val="Calibri"/>
        <family val="2"/>
        <scheme val="minor"/>
      </rPr>
      <t xml:space="preserve"> = E_SCF + ZPE</t>
    </r>
  </si>
  <si>
    <r>
      <t>g</t>
    </r>
    <r>
      <rPr>
        <vertAlign val="subscript"/>
        <sz val="12"/>
        <color theme="1"/>
        <rFont val="Calibri"/>
        <family val="2"/>
        <scheme val="minor"/>
      </rPr>
      <t>el</t>
    </r>
    <r>
      <rPr>
        <sz val="12"/>
        <color theme="1"/>
        <rFont val="Calibri"/>
        <family val="2"/>
        <scheme val="minor"/>
      </rPr>
      <t xml:space="preserve"> (spin multiplicity)</t>
    </r>
  </si>
  <si>
    <r>
      <t>K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*T</t>
    </r>
  </si>
  <si>
    <t>freq:  9,24E12 Hz</t>
  </si>
  <si>
    <r>
      <t>Q</t>
    </r>
    <r>
      <rPr>
        <b/>
        <vertAlign val="subscript"/>
        <sz val="14"/>
        <color theme="1"/>
        <rFont val="Calibri"/>
        <family val="2"/>
        <scheme val="minor"/>
      </rPr>
      <t>rot</t>
    </r>
  </si>
  <si>
    <r>
      <t>Q</t>
    </r>
    <r>
      <rPr>
        <vertAlign val="subscript"/>
        <sz val="14"/>
        <color theme="1"/>
        <rFont val="Calibri"/>
        <family val="2"/>
        <scheme val="minor"/>
      </rPr>
      <t>el</t>
    </r>
  </si>
  <si>
    <r>
      <t>Q</t>
    </r>
    <r>
      <rPr>
        <b/>
        <vertAlign val="subscript"/>
        <sz val="14"/>
        <color theme="1"/>
        <rFont val="Calibri"/>
        <family val="2"/>
        <scheme val="minor"/>
      </rPr>
      <t>trasl</t>
    </r>
    <r>
      <rPr>
        <b/>
        <sz val="14"/>
        <color theme="1"/>
        <rFont val="Calibri"/>
        <family val="2"/>
        <scheme val="minor"/>
      </rPr>
      <t xml:space="preserve"> </t>
    </r>
  </si>
  <si>
    <r>
      <t>Q</t>
    </r>
    <r>
      <rPr>
        <b/>
        <vertAlign val="subscript"/>
        <sz val="14"/>
        <color theme="1"/>
        <rFont val="Calibri"/>
        <family val="2"/>
        <scheme val="minor"/>
      </rPr>
      <t>vib</t>
    </r>
  </si>
  <si>
    <r>
      <t>Q</t>
    </r>
    <r>
      <rPr>
        <b/>
        <vertAlign val="subscript"/>
        <sz val="14"/>
        <color theme="1"/>
        <rFont val="Calibri"/>
        <family val="2"/>
        <scheme val="minor"/>
      </rPr>
      <t>tot</t>
    </r>
  </si>
  <si>
    <t>Confronto con Gaussian:</t>
  </si>
  <si>
    <t>Qtot</t>
  </si>
  <si>
    <t>Fattore che balla:</t>
  </si>
  <si>
    <t>Estimated Internal Energy</t>
  </si>
  <si>
    <t>J/mol</t>
  </si>
  <si>
    <t>Kcal/mol</t>
  </si>
  <si>
    <t>[J/mol]</t>
  </si>
  <si>
    <t>Traslational</t>
  </si>
  <si>
    <t>Electronical</t>
  </si>
  <si>
    <t>Fixed T=300K</t>
  </si>
  <si>
    <t>Confronto con</t>
  </si>
  <si>
    <t>Gaussian Output</t>
  </si>
  <si>
    <t>Total from data</t>
  </si>
  <si>
    <t>ρ_el</t>
  </si>
  <si>
    <r>
      <t>ϑ</t>
    </r>
    <r>
      <rPr>
        <sz val="9.6999999999999993"/>
        <color theme="1"/>
        <rFont val="Aptos Narrow"/>
        <family val="2"/>
      </rPr>
      <t>rot</t>
    </r>
    <r>
      <rPr>
        <sz val="11"/>
        <color theme="1"/>
        <rFont val="Aptos Narrow"/>
        <family val="2"/>
      </rPr>
      <t xml:space="preserve"> [K]</t>
    </r>
  </si>
  <si>
    <r>
      <t>[kg x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</si>
  <si>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Estimated Entropy</t>
  </si>
  <si>
    <t>[J /K ]</t>
  </si>
  <si>
    <t>Cal/K mol</t>
  </si>
  <si>
    <r>
      <t>V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</si>
  <si>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Heat capacity at constant volume</t>
  </si>
  <si>
    <t>[J/K]</t>
  </si>
  <si>
    <t>Cal/mol K]</t>
  </si>
  <si>
    <t>Heltmotz Free Energy estimated</t>
  </si>
  <si>
    <t>Heat capacity at constant pressure</t>
  </si>
  <si>
    <t>/</t>
  </si>
  <si>
    <t>Vibrational 1</t>
  </si>
  <si>
    <t xml:space="preserve"> Total Bot   </t>
  </si>
  <si>
    <t xml:space="preserve"> Total V=0       </t>
  </si>
  <si>
    <t xml:space="preserve"> Vib (Bot)       </t>
  </si>
  <si>
    <t xml:space="preserve"> Vib (Bot)    </t>
  </si>
  <si>
    <t xml:space="preserve"> Vib (V=0)       </t>
  </si>
  <si>
    <t xml:space="preserve"> Vib (V=0)    </t>
  </si>
  <si>
    <t xml:space="preserve"> Electronic      </t>
  </si>
  <si>
    <t xml:space="preserve"> Translational   </t>
  </si>
  <si>
    <t xml:space="preserve"> Rotational  </t>
  </si>
  <si>
    <t>n(mol)</t>
  </si>
  <si>
    <t>N</t>
  </si>
  <si>
    <r>
      <t>V(m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</si>
  <si>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r>
      <t>N</t>
    </r>
    <r>
      <rPr>
        <vertAlign val="subscript"/>
        <sz val="11"/>
        <color theme="1"/>
        <rFont val="Calibri"/>
        <family val="2"/>
        <scheme val="minor"/>
      </rPr>
      <t>i,rif</t>
    </r>
  </si>
  <si>
    <t>CH4</t>
  </si>
  <si>
    <t>CH3</t>
  </si>
  <si>
    <t>H</t>
  </si>
  <si>
    <r>
      <t>CH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</si>
  <si>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CH</t>
    </r>
    <r>
      <rPr>
        <b/>
        <vertAlign val="subscript"/>
        <sz val="11"/>
        <color theme="1"/>
        <rFont val="Calibri"/>
        <family val="2"/>
        <scheme val="minor"/>
      </rPr>
      <t>3</t>
    </r>
  </si>
  <si>
    <t>Coefficienti stechiometrici ν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</si>
  <si>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rif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</si>
  <si>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tot</t>
    </r>
  </si>
  <si>
    <r>
      <t>(Q</t>
    </r>
    <r>
      <rPr>
        <b/>
        <vertAlign val="subscript"/>
        <sz val="11"/>
        <color theme="1"/>
        <rFont val="Calibri"/>
        <family val="2"/>
        <scheme val="minor"/>
      </rPr>
      <t>tot</t>
    </r>
    <r>
      <rPr>
        <b/>
        <sz val="11"/>
        <color theme="1"/>
        <rFont val="Calibri"/>
        <family val="2"/>
        <scheme val="minor"/>
      </rPr>
      <t>/N</t>
    </r>
    <r>
      <rPr>
        <b/>
        <vertAlign val="subscript"/>
        <sz val="11"/>
        <color theme="1"/>
        <rFont val="Calibri"/>
        <family val="2"/>
        <scheme val="minor"/>
      </rPr>
      <t>rif</t>
    </r>
    <r>
      <rPr>
        <b/>
        <sz val="11"/>
        <color theme="1"/>
        <rFont val="Calibri"/>
        <family val="2"/>
        <scheme val="minor"/>
      </rPr>
      <t>)</t>
    </r>
    <r>
      <rPr>
        <b/>
        <vertAlign val="superscript"/>
        <sz val="11"/>
        <color theme="1"/>
        <rFont val="Calibri"/>
        <family val="2"/>
      </rPr>
      <t>ν</t>
    </r>
  </si>
  <si>
    <r>
      <t>k</t>
    </r>
    <r>
      <rPr>
        <b/>
        <vertAlign val="subscript"/>
        <sz val="12"/>
        <color theme="1"/>
        <rFont val="Calibri"/>
        <family val="2"/>
        <scheme val="minor"/>
      </rPr>
      <t>eq</t>
    </r>
  </si>
  <si>
    <t>Negativi: reagenti, positivi: prodotti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</si>
</sst>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E+00"/>
    <numFmt numFmtId="165" formatCode="0.000E+00"/>
    <numFmt numFmtId="166" formatCode="#,##0.000"/>
    <numFmt numFmtId="167" formatCode="#,##0.000000"/>
    <numFmt numFmtId="168" formatCode="#,##0.00000"/>
    <numFmt numFmtId="169" formatCode="0.000"/>
    <numFmt numFmtId="170" formatCode="0.00000"/>
    <numFmt numFmtId="171" formatCode="0.0000"/>
    <numFmt numFmtId="172" formatCode="0.00000E+00"/>
    <numFmt numFmtId="173" formatCode="0.000000E+00"/>
    <numFmt numFmtId="174" formatCode="0.0000%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  <font>
      <vertAlign val="superscript"/>
      <sz val="11"/>
      <color theme="1"/>
      <name val="Calibri"/>
      <family val="2"/>
      <scheme val="minor"/>
    </font>
    <font>
      <b/>
      <sz val="8"/>
      <color theme="1"/>
      <name val="Aptos Narrow"/>
      <family val="2"/>
    </font>
    <font>
      <b/>
      <sz val="12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4D5156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9.6999999999999993"/>
      <color theme="1"/>
      <name val="Aptos Narrow"/>
      <family val="2"/>
    </font>
    <font>
      <sz val="11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color rgb="FFECECEC"/>
      <name val="Segoe UI"/>
      <family val="2"/>
    </font>
    <font>
      <b/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1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166" fontId="2" fillId="2" borderId="14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6" fontId="2" fillId="2" borderId="5" xfId="0" applyNumberFormat="1" applyFont="1" applyFill="1" applyBorder="1" applyAlignment="1">
      <alignment horizontal="center" vertical="center"/>
    </xf>
    <xf numFmtId="166" fontId="2" fillId="2" borderId="6" xfId="0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1" fontId="2" fillId="2" borderId="14" xfId="0" applyNumberFormat="1" applyFont="1" applyFill="1" applyBorder="1" applyAlignment="1">
      <alignment horizontal="center" vertical="center"/>
    </xf>
    <xf numFmtId="11" fontId="9" fillId="2" borderId="14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1" fontId="9" fillId="2" borderId="6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1" fontId="0" fillId="0" borderId="14" xfId="0" applyNumberFormat="1" applyBorder="1" applyAlignment="1">
      <alignment horizontal="center" vertical="center"/>
    </xf>
    <xf numFmtId="11" fontId="12" fillId="0" borderId="13" xfId="0" applyNumberFormat="1" applyFon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12" fillId="0" borderId="4" xfId="0" applyNumberFormat="1" applyFont="1" applyBorder="1" applyAlignment="1">
      <alignment horizontal="center" vertical="center"/>
    </xf>
    <xf numFmtId="11" fontId="12" fillId="0" borderId="0" xfId="0" applyNumberFormat="1" applyFont="1" applyAlignment="1">
      <alignment horizontal="center" vertical="center"/>
    </xf>
    <xf numFmtId="11" fontId="12" fillId="0" borderId="1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1" fontId="13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0" fontId="2" fillId="0" borderId="9" xfId="1" applyNumberFormat="1" applyFont="1" applyBorder="1" applyAlignment="1">
      <alignment horizontal="center" vertical="center"/>
    </xf>
    <xf numFmtId="11" fontId="1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1" fontId="9" fillId="0" borderId="3" xfId="0" applyNumberFormat="1" applyFont="1" applyBorder="1" applyAlignment="1">
      <alignment horizontal="center" vertical="center"/>
    </xf>
    <xf numFmtId="11" fontId="13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1" fontId="13" fillId="0" borderId="0" xfId="0" applyNumberFormat="1" applyFont="1" applyAlignment="1">
      <alignment horizontal="center" vertical="center"/>
    </xf>
    <xf numFmtId="11" fontId="19" fillId="0" borderId="14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0" fillId="0" borderId="0" xfId="0" applyFont="1"/>
    <xf numFmtId="0" fontId="19" fillId="0" borderId="0" xfId="0" applyFont="1" applyAlignment="1">
      <alignment horizontal="center" vertical="center"/>
    </xf>
    <xf numFmtId="168" fontId="19" fillId="0" borderId="0" xfId="0" applyNumberFormat="1" applyFont="1" applyAlignment="1">
      <alignment horizontal="center" vertical="center"/>
    </xf>
    <xf numFmtId="11" fontId="19" fillId="0" borderId="0" xfId="0" applyNumberFormat="1" applyFont="1" applyAlignment="1">
      <alignment horizontal="center" vertical="center"/>
    </xf>
    <xf numFmtId="11" fontId="19" fillId="0" borderId="6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1" fontId="23" fillId="0" borderId="1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19" fillId="0" borderId="5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1" fontId="0" fillId="0" borderId="15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9" fontId="2" fillId="2" borderId="15" xfId="0" applyNumberFormat="1" applyFont="1" applyFill="1" applyBorder="1" applyAlignment="1">
      <alignment horizontal="center" vertical="center"/>
    </xf>
    <xf numFmtId="169" fontId="23" fillId="2" borderId="9" xfId="0" applyNumberFormat="1" applyFont="1" applyFill="1" applyBorder="1" applyAlignment="1">
      <alignment horizontal="center" vertical="center"/>
    </xf>
    <xf numFmtId="169" fontId="25" fillId="2" borderId="12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11" fontId="27" fillId="0" borderId="15" xfId="0" applyNumberFormat="1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69" fontId="2" fillId="2" borderId="9" xfId="0" applyNumberFormat="1" applyFont="1" applyFill="1" applyBorder="1" applyAlignment="1">
      <alignment horizontal="center" vertical="center"/>
    </xf>
    <xf numFmtId="169" fontId="9" fillId="2" borderId="0" xfId="0" applyNumberFormat="1" applyFont="1" applyFill="1" applyAlignment="1">
      <alignment horizontal="center" vertical="center"/>
    </xf>
    <xf numFmtId="11" fontId="27" fillId="0" borderId="9" xfId="0" applyNumberFormat="1" applyFont="1" applyBorder="1" applyAlignment="1">
      <alignment horizontal="center" vertical="center"/>
    </xf>
    <xf numFmtId="169" fontId="25" fillId="2" borderId="0" xfId="0" applyNumberFormat="1" applyFont="1" applyFill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1" fontId="2" fillId="2" borderId="9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5" fontId="2" fillId="2" borderId="14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170" fontId="16" fillId="0" borderId="6" xfId="0" applyNumberFormat="1" applyFont="1" applyBorder="1" applyAlignment="1">
      <alignment horizontal="center" vertical="center"/>
    </xf>
    <xf numFmtId="171" fontId="0" fillId="0" borderId="15" xfId="0" applyNumberFormat="1" applyBorder="1" applyAlignment="1">
      <alignment horizontal="center" vertical="center"/>
    </xf>
    <xf numFmtId="171" fontId="0" fillId="0" borderId="9" xfId="0" applyNumberFormat="1" applyBorder="1" applyAlignment="1">
      <alignment horizontal="center" vertical="center"/>
    </xf>
    <xf numFmtId="165" fontId="9" fillId="0" borderId="3" xfId="0" applyNumberFormat="1" applyFont="1" applyBorder="1" applyAlignment="1">
      <alignment horizontal="center" vertical="center"/>
    </xf>
    <xf numFmtId="165" fontId="13" fillId="0" borderId="6" xfId="0" applyNumberFormat="1" applyFont="1" applyBorder="1" applyAlignment="1">
      <alignment horizontal="center" vertical="center"/>
    </xf>
    <xf numFmtId="165" fontId="23" fillId="0" borderId="14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166" fontId="2" fillId="4" borderId="14" xfId="0" applyNumberFormat="1" applyFont="1" applyFill="1" applyBorder="1" applyAlignment="1">
      <alignment horizontal="center" vertical="center"/>
    </xf>
    <xf numFmtId="166" fontId="2" fillId="4" borderId="6" xfId="0" applyNumberFormat="1" applyFont="1" applyFill="1" applyBorder="1" applyAlignment="1">
      <alignment horizontal="center" vertical="center"/>
    </xf>
    <xf numFmtId="11" fontId="29" fillId="0" borderId="0" xfId="0" applyNumberFormat="1" applyFont="1"/>
    <xf numFmtId="0" fontId="0" fillId="4" borderId="4" xfId="0" applyFill="1" applyBorder="1" applyAlignment="1">
      <alignment horizontal="center" vertical="center"/>
    </xf>
    <xf numFmtId="0" fontId="27" fillId="3" borderId="9" xfId="0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172" fontId="0" fillId="0" borderId="15" xfId="0" applyNumberFormat="1" applyBorder="1" applyAlignment="1">
      <alignment horizontal="center" vertical="center"/>
    </xf>
    <xf numFmtId="172" fontId="0" fillId="0" borderId="9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166" fontId="2" fillId="5" borderId="14" xfId="0" applyNumberFormat="1" applyFont="1" applyFill="1" applyBorder="1" applyAlignment="1">
      <alignment horizontal="center" vertical="center"/>
    </xf>
    <xf numFmtId="166" fontId="2" fillId="5" borderId="5" xfId="0" applyNumberFormat="1" applyFont="1" applyFill="1" applyBorder="1" applyAlignment="1">
      <alignment horizontal="center" vertical="center"/>
    </xf>
    <xf numFmtId="166" fontId="2" fillId="5" borderId="6" xfId="0" applyNumberFormat="1" applyFont="1" applyFill="1" applyBorder="1" applyAlignment="1">
      <alignment horizontal="center" vertical="center"/>
    </xf>
    <xf numFmtId="164" fontId="2" fillId="5" borderId="14" xfId="0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169" fontId="0" fillId="2" borderId="15" xfId="0" applyNumberFormat="1" applyFill="1" applyBorder="1" applyAlignment="1">
      <alignment horizontal="center" vertical="center"/>
    </xf>
    <xf numFmtId="169" fontId="9" fillId="4" borderId="12" xfId="0" applyNumberFormat="1" applyFont="1" applyFill="1" applyBorder="1" applyAlignment="1">
      <alignment horizontal="center" vertical="center"/>
    </xf>
    <xf numFmtId="169" fontId="25" fillId="4" borderId="1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3" fontId="0" fillId="0" borderId="15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2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72" fontId="0" fillId="0" borderId="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74" fontId="2" fillId="0" borderId="0" xfId="1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K</a:t>
            </a:r>
            <a:r>
              <a:rPr lang="it-IT" b="1" baseline="-25000"/>
              <a:t>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keq!$M$6</c:f>
              <c:strCache>
                <c:ptCount val="1"/>
                <c:pt idx="0">
                  <c:v>keq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keq!$B$7:$B$25</c:f>
              <c:numCache>
                <c:formatCode>General</c:formatCode>
                <c:ptCount val="19"/>
                <c:pt idx="0">
                  <c:v>298.14999999999998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</c:numCache>
            </c:numRef>
          </c:xVal>
          <c:yVal>
            <c:numRef>
              <c:f>keq!$M$7:$M$25</c:f>
              <c:numCache>
                <c:formatCode>General</c:formatCode>
                <c:ptCount val="19"/>
                <c:pt idx="0">
                  <c:v>7.0606836413015317E-13</c:v>
                </c:pt>
                <c:pt idx="1">
                  <c:v>1.807162048192771E-11</c:v>
                </c:pt>
                <c:pt idx="2">
                  <c:v>1.0395152890466533E-10</c:v>
                </c:pt>
                <c:pt idx="3">
                  <c:v>3.0873231917508459E-10</c:v>
                </c:pt>
                <c:pt idx="4">
                  <c:v>6.3824145433989418E-10</c:v>
                </c:pt>
                <c:pt idx="5">
                  <c:v>1.0671963713980791E-9</c:v>
                </c:pt>
                <c:pt idx="6">
                  <c:v>1.556422607489598E-9</c:v>
                </c:pt>
                <c:pt idx="7">
                  <c:v>2.0759410292303308E-9</c:v>
                </c:pt>
                <c:pt idx="8">
                  <c:v>2.5922871889140269E-9</c:v>
                </c:pt>
                <c:pt idx="9">
                  <c:v>3.1188728613871524E-9</c:v>
                </c:pt>
                <c:pt idx="10">
                  <c:v>3.6119364211737623E-9</c:v>
                </c:pt>
                <c:pt idx="11">
                  <c:v>4.0951157129742966E-9</c:v>
                </c:pt>
                <c:pt idx="12">
                  <c:v>4.5606085663295656E-9</c:v>
                </c:pt>
                <c:pt idx="13">
                  <c:v>4.9873293354605994E-9</c:v>
                </c:pt>
                <c:pt idx="14">
                  <c:v>5.4022852512155602E-9</c:v>
                </c:pt>
                <c:pt idx="15">
                  <c:v>5.7949065441846332E-9</c:v>
                </c:pt>
                <c:pt idx="16">
                  <c:v>6.1937302383199615E-9</c:v>
                </c:pt>
                <c:pt idx="17">
                  <c:v>6.5194499620881402E-9</c:v>
                </c:pt>
                <c:pt idx="18">
                  <c:v>6.8336257360959657E-9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8-4C7F-90A7-912FD1CE9D10}"/>
            </c:ext>
          </c:extLst>
        </c:ser>
        <c:ser>
          <c:idx val="1"/>
          <c:order val="1"/>
          <c:tx>
            <c:strRef>
              <c:f>keq!$N$6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keq!$B$7:$B$25</c:f>
              <c:numCache>
                <c:formatCode>General</c:formatCode>
                <c:ptCount val="19"/>
                <c:pt idx="0">
                  <c:v>298.14999999999998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</c:numCache>
            </c:numRef>
          </c:xVal>
          <c:yVal>
            <c:numRef>
              <c:f>keq!$N$7:$N$25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8-4C7F-90A7-912FD1CE9D10}"/>
            </c:ext>
          </c:extLst>
        </c:ser>
        <c:ser>
          <c:idx val="2"/>
          <c:order val="2"/>
          <c:tx>
            <c:strRef>
              <c:f>keq!$O$6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keq!$B$7:$B$25</c:f>
              <c:numCache>
                <c:formatCode>General</c:formatCode>
                <c:ptCount val="19"/>
                <c:pt idx="0">
                  <c:v>298.14999999999998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</c:numCache>
            </c:numRef>
          </c:xVal>
          <c:yVal>
            <c:numRef>
              <c:f>keq!$O$7:$O$25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98-4C7F-90A7-912FD1CE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718896"/>
        <c:axId val="1330732336"/>
      </c:scatterChart>
      <c:valAx>
        <c:axId val="133071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0732336"/>
        <c:crosses val="autoZero"/>
        <c:crossBetween val="midCat"/>
      </c:valAx>
      <c:valAx>
        <c:axId val="13307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Keq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071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352424</xdr:colOff>
      <xdr:row>84</xdr:row>
      <xdr:rowOff>19049</xdr:rowOff>
    </xdr:from>
    <xdr:ext cx="3379644" cy="688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7542795C-E375-46CA-B72B-6196FF93725B}"/>
                </a:ext>
              </a:extLst>
            </xdr:cNvPr>
            <xdr:cNvSpPr txBox="1"/>
          </xdr:nvSpPr>
          <xdr:spPr>
            <a:xfrm>
              <a:off x="352424" y="16097249"/>
              <a:ext cx="3379644" cy="688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𝑡𝑟𝑎𝑠𝑙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𝜋</m:t>
                                </m:r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h</m:t>
                                    </m:r>
                                  </m:e>
                                  <m:sup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3/2</m:t>
                        </m:r>
                      </m:sup>
                    </m:sSup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7542795C-E375-46CA-B72B-6196FF93725B}"/>
                </a:ext>
              </a:extLst>
            </xdr:cNvPr>
            <xdr:cNvSpPr txBox="1"/>
          </xdr:nvSpPr>
          <xdr:spPr>
            <a:xfrm>
              <a:off x="352424" y="16097249"/>
              <a:ext cx="3379644" cy="688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𝑄_𝑡𝑟𝑎𝑠𝑙=((2𝜋𝑚𝑘_𝐵 𝑇)/ℎ^2 )^(3/2)⋅(𝑘_𝐵 𝑇)/𝑃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127289</xdr:colOff>
      <xdr:row>103</xdr:row>
      <xdr:rowOff>157596</xdr:rowOff>
    </xdr:from>
    <xdr:ext cx="4141643" cy="5943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566D11-1320-42B6-8C7B-EB1CF79012CE}"/>
                </a:ext>
              </a:extLst>
            </xdr:cNvPr>
            <xdr:cNvSpPr txBox="1"/>
          </xdr:nvSpPr>
          <xdr:spPr>
            <a:xfrm>
              <a:off x="127289" y="19733376"/>
              <a:ext cx="4141643" cy="594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𝑟𝑜𝑡</m:t>
                        </m:r>
                      </m:sub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𝐷</m:t>
                        </m:r>
                      </m:sup>
                    </m:sSubSup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8</m:t>
                        </m:r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(2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3/2</m:t>
                            </m:r>
                          </m:sup>
                        </m:sSup>
                        <m:rad>
                          <m:radPr>
                            <m:degHide m:val="on"/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sub>
                            </m:sSub>
                          </m:e>
                        </m:rad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𝜎</m:t>
                        </m:r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566D11-1320-42B6-8C7B-EB1CF79012CE}"/>
                </a:ext>
              </a:extLst>
            </xdr:cNvPr>
            <xdr:cNvSpPr txBox="1"/>
          </xdr:nvSpPr>
          <xdr:spPr>
            <a:xfrm>
              <a:off x="127289" y="19733376"/>
              <a:ext cx="4141643" cy="594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𝑄_𝑟𝑜𝑡^3𝐷=(8𝜋^2 〖(2𝜋𝑘〗_𝐵 〖𝑇)〗^(3/2) √(𝐼_𝑥 𝐼_𝑦 𝐼_𝑧 ))/(𝜎ℎ^3 )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126</xdr:row>
      <xdr:rowOff>0</xdr:rowOff>
    </xdr:from>
    <xdr:ext cx="4141643" cy="452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1C472E71-3B43-450D-8265-E2DF1446E02D}"/>
                </a:ext>
              </a:extLst>
            </xdr:cNvPr>
            <xdr:cNvSpPr txBox="1"/>
          </xdr:nvSpPr>
          <xdr:spPr>
            <a:xfrm>
              <a:off x="0" y="23934420"/>
              <a:ext cx="414164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𝑒𝑙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sub>
                            </m:s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1C472E71-3B43-450D-8265-E2DF1446E02D}"/>
                </a:ext>
              </a:extLst>
            </xdr:cNvPr>
            <xdr:cNvSpPr txBox="1"/>
          </xdr:nvSpPr>
          <xdr:spPr>
            <a:xfrm>
              <a:off x="0" y="23934420"/>
              <a:ext cx="414164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Q_el=𝑔_𝑒𝑙⋅𝑒^(−𝐸_𝑒𝑙/(𝑘_𝐵 𝑇))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216478</xdr:colOff>
      <xdr:row>153</xdr:row>
      <xdr:rowOff>114298</xdr:rowOff>
    </xdr:from>
    <xdr:ext cx="3717348" cy="575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64F248E-91E3-4099-8E54-BD114A7DC7EE}"/>
                </a:ext>
              </a:extLst>
            </xdr:cNvPr>
            <xdr:cNvSpPr txBox="1"/>
          </xdr:nvSpPr>
          <xdr:spPr>
            <a:xfrm>
              <a:off x="216478" y="29535118"/>
              <a:ext cx="3717348" cy="575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8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𝑡𝑟𝑎𝑠𝑙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Sup>
                      <m:sSub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𝑟𝑜𝑡</m:t>
                        </m:r>
                      </m:sub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𝐷</m:t>
                        </m:r>
                      </m:sup>
                    </m:sSubSup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𝑣𝑖𝑏</m:t>
                        </m:r>
                      </m:sub>
                    </m:sSub>
                  </m:oMath>
                </m:oMathPara>
              </a14:m>
              <a:endParaRPr lang="it-IT" sz="1800" b="0"/>
            </a:p>
            <a:p>
              <a:endParaRPr lang="it-IT" sz="18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64F248E-91E3-4099-8E54-BD114A7DC7EE}"/>
                </a:ext>
              </a:extLst>
            </xdr:cNvPr>
            <xdr:cNvSpPr txBox="1"/>
          </xdr:nvSpPr>
          <xdr:spPr>
            <a:xfrm>
              <a:off x="216478" y="29535118"/>
              <a:ext cx="3717348" cy="575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𝑄=𝑄_𝑡𝑟𝑎𝑠𝑙×𝑄_𝑒𝑙×𝑄_𝑟𝑜𝑡^3𝐷×𝑄_𝑣𝑖𝑏</a:t>
              </a:r>
              <a:endParaRPr lang="it-IT" sz="1800" b="0"/>
            </a:p>
            <a:p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0</xdr:colOff>
      <xdr:row>140</xdr:row>
      <xdr:rowOff>0</xdr:rowOff>
    </xdr:from>
    <xdr:ext cx="4141643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BABEE2F3-5BD8-4638-9442-0D285B2E7EAA}"/>
                </a:ext>
              </a:extLst>
            </xdr:cNvPr>
            <xdr:cNvSpPr txBox="1"/>
          </xdr:nvSpPr>
          <xdr:spPr>
            <a:xfrm>
              <a:off x="0" y="26845260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BABEE2F3-5BD8-4638-9442-0D285B2E7EAA}"/>
                </a:ext>
              </a:extLst>
            </xdr:cNvPr>
            <xdr:cNvSpPr txBox="1"/>
          </xdr:nvSpPr>
          <xdr:spPr>
            <a:xfrm>
              <a:off x="0" y="26845260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Q_el=𝑔_𝑒𝑙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141</xdr:row>
      <xdr:rowOff>138545</xdr:rowOff>
    </xdr:from>
    <xdr:ext cx="4141643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7E09FC6E-7112-40C0-9B5A-CA6593E270CA}"/>
                </a:ext>
              </a:extLst>
            </xdr:cNvPr>
            <xdr:cNvSpPr txBox="1"/>
          </xdr:nvSpPr>
          <xdr:spPr>
            <a:xfrm>
              <a:off x="0" y="27181925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7E09FC6E-7112-40C0-9B5A-CA6593E270CA}"/>
                </a:ext>
              </a:extLst>
            </xdr:cNvPr>
            <xdr:cNvSpPr txBox="1"/>
          </xdr:nvSpPr>
          <xdr:spPr>
            <a:xfrm>
              <a:off x="0" y="27181925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Q_el=1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993198</xdr:colOff>
      <xdr:row>175</xdr:row>
      <xdr:rowOff>140278</xdr:rowOff>
    </xdr:from>
    <xdr:ext cx="1448666" cy="297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DCFD8252-5926-4351-9862-2A07C7BA4D4F}"/>
                </a:ext>
              </a:extLst>
            </xdr:cNvPr>
            <xdr:cNvSpPr txBox="1"/>
          </xdr:nvSpPr>
          <xdr:spPr>
            <a:xfrm>
              <a:off x="993198" y="33942598"/>
              <a:ext cx="1448666" cy="297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DCFD8252-5926-4351-9862-2A07C7BA4D4F}"/>
                </a:ext>
              </a:extLst>
            </xdr:cNvPr>
            <xdr:cNvSpPr txBox="1"/>
          </xdr:nvSpPr>
          <xdr:spPr>
            <a:xfrm>
              <a:off x="993198" y="33942598"/>
              <a:ext cx="1448666" cy="297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𝑈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857250</xdr:colOff>
      <xdr:row>201</xdr:row>
      <xdr:rowOff>173182</xdr:rowOff>
    </xdr:from>
    <xdr:ext cx="1448666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B7485175-396E-458E-AC37-185E46DB4BDC}"/>
                </a:ext>
              </a:extLst>
            </xdr:cNvPr>
            <xdr:cNvSpPr txBox="1"/>
          </xdr:nvSpPr>
          <xdr:spPr>
            <a:xfrm>
              <a:off x="857250" y="38928502"/>
              <a:ext cx="1448666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B7485175-396E-458E-AC37-185E46DB4BDC}"/>
                </a:ext>
              </a:extLst>
            </xdr:cNvPr>
            <xdr:cNvSpPr txBox="1"/>
          </xdr:nvSpPr>
          <xdr:spPr>
            <a:xfrm>
              <a:off x="857250" y="38928502"/>
              <a:ext cx="1448666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𝑆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4</xdr:col>
      <xdr:colOff>92652</xdr:colOff>
      <xdr:row>218</xdr:row>
      <xdr:rowOff>114300</xdr:rowOff>
    </xdr:from>
    <xdr:ext cx="65" cy="172227"/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FC31ED7A-7114-45E6-85BA-C0EA47CFC5FD}"/>
            </a:ext>
          </a:extLst>
        </xdr:cNvPr>
        <xdr:cNvSpPr txBox="1"/>
      </xdr:nvSpPr>
      <xdr:spPr>
        <a:xfrm>
          <a:off x="6333432" y="420928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1047750</xdr:colOff>
      <xdr:row>225</xdr:row>
      <xdr:rowOff>147205</xdr:rowOff>
    </xdr:from>
    <xdr:ext cx="1448666" cy="578172"/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7F00D072-B5CC-4063-9FF4-6F1762D5A34A}"/>
            </a:ext>
          </a:extLst>
        </xdr:cNvPr>
        <xdr:cNvSpPr txBox="1"/>
      </xdr:nvSpPr>
      <xdr:spPr>
        <a:xfrm>
          <a:off x="1047750" y="4346690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0</xdr:col>
      <xdr:colOff>839932</xdr:colOff>
      <xdr:row>226</xdr:row>
      <xdr:rowOff>25977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0FC3D42C-9DE9-4B98-BC16-FEF5A3CFBC4F}"/>
                </a:ext>
              </a:extLst>
            </xdr:cNvPr>
            <xdr:cNvSpPr txBox="1"/>
          </xdr:nvSpPr>
          <xdr:spPr>
            <a:xfrm>
              <a:off x="839932" y="4353617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0FC3D42C-9DE9-4B98-BC16-FEF5A3CFBC4F}"/>
                </a:ext>
              </a:extLst>
            </xdr:cNvPr>
            <xdr:cNvSpPr txBox="1"/>
          </xdr:nvSpPr>
          <xdr:spPr>
            <a:xfrm>
              <a:off x="839932" y="4353617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𝐶_𝑉 )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3</xdr:col>
      <xdr:colOff>92652</xdr:colOff>
      <xdr:row>242</xdr:row>
      <xdr:rowOff>114300</xdr:rowOff>
    </xdr:from>
    <xdr:ext cx="65" cy="172227"/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DFD5E4FF-C09A-407E-9FD4-ECC17BB71C6A}"/>
            </a:ext>
          </a:extLst>
        </xdr:cNvPr>
        <xdr:cNvSpPr txBox="1"/>
      </xdr:nvSpPr>
      <xdr:spPr>
        <a:xfrm>
          <a:off x="4283652" y="466115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5</xdr:col>
      <xdr:colOff>1235651</xdr:colOff>
      <xdr:row>196</xdr:row>
      <xdr:rowOff>71005</xdr:rowOff>
    </xdr:from>
    <xdr:ext cx="2184689" cy="4383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73BDD588-1CEA-499E-A183-30D7C0C552B2}"/>
                </a:ext>
              </a:extLst>
            </xdr:cNvPr>
            <xdr:cNvSpPr txBox="1"/>
          </xdr:nvSpPr>
          <xdr:spPr>
            <a:xfrm>
              <a:off x="8482271" y="37812865"/>
              <a:ext cx="2184689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it-IT" sz="1400" b="0" i="1">
                      <a:latin typeface="Cambria Math" panose="02040503050406030204" pitchFamily="18" charset="0"/>
                    </a:rPr>
                    <m:t>𝐼</m:t>
                  </m:r>
                  <m:r>
                    <a:rPr lang="it-IT" sz="14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it-IT" sz="14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r>
                        <a:rPr lang="it-IT" sz="14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r>
                        <a:rPr lang="it-IT" sz="14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𝑧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</m:e>
                  </m:rad>
                </m:oMath>
              </a14:m>
              <a:r>
                <a:rPr lang="it-IT" sz="1400"/>
                <a:t> =</a:t>
              </a:r>
            </a:p>
          </xdr:txBody>
        </xdr:sp>
      </mc:Choice>
      <mc:Fallback xmlns="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73BDD588-1CEA-499E-A183-30D7C0C552B2}"/>
                </a:ext>
              </a:extLst>
            </xdr:cNvPr>
            <xdr:cNvSpPr txBox="1"/>
          </xdr:nvSpPr>
          <xdr:spPr>
            <a:xfrm>
              <a:off x="8482271" y="37812865"/>
              <a:ext cx="2184689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0" i="0">
                  <a:latin typeface="Cambria Math" panose="02040503050406030204" pitchFamily="18" charset="0"/>
                </a:rPr>
                <a:t>𝐼=√(𝐼_𝑥^2+𝐼_𝑦^2+𝐼_𝑧^2 )</a:t>
              </a:r>
              <a:r>
                <a:rPr lang="it-IT" sz="14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1079788</xdr:colOff>
      <xdr:row>248</xdr:row>
      <xdr:rowOff>62346</xdr:rowOff>
    </xdr:from>
    <xdr:ext cx="660689" cy="2956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42080FC7-4BC5-4CD5-9680-A42223BF7821}"/>
                </a:ext>
              </a:extLst>
            </xdr:cNvPr>
            <xdr:cNvSpPr txBox="1"/>
          </xdr:nvSpPr>
          <xdr:spPr>
            <a:xfrm>
              <a:off x="1079788" y="47717826"/>
              <a:ext cx="660689" cy="295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42080FC7-4BC5-4CD5-9680-A42223BF7821}"/>
                </a:ext>
              </a:extLst>
            </xdr:cNvPr>
            <xdr:cNvSpPr txBox="1"/>
          </xdr:nvSpPr>
          <xdr:spPr>
            <a:xfrm>
              <a:off x="1079788" y="47717826"/>
              <a:ext cx="660689" cy="295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𝐹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1047750</xdr:colOff>
      <xdr:row>248</xdr:row>
      <xdr:rowOff>147205</xdr:rowOff>
    </xdr:from>
    <xdr:ext cx="1448666" cy="578172"/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77FBB5A7-E5CC-4D88-A948-F0F779F93D04}"/>
            </a:ext>
          </a:extLst>
        </xdr:cNvPr>
        <xdr:cNvSpPr txBox="1"/>
      </xdr:nvSpPr>
      <xdr:spPr>
        <a:xfrm>
          <a:off x="1047750" y="4780268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3</xdr:col>
      <xdr:colOff>92652</xdr:colOff>
      <xdr:row>265</xdr:row>
      <xdr:rowOff>114300</xdr:rowOff>
    </xdr:from>
    <xdr:ext cx="65" cy="172227"/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3819C87A-6444-4E5D-9C69-09170E24F548}"/>
            </a:ext>
          </a:extLst>
        </xdr:cNvPr>
        <xdr:cNvSpPr txBox="1"/>
      </xdr:nvSpPr>
      <xdr:spPr>
        <a:xfrm>
          <a:off x="4283652" y="50886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9</xdr:col>
      <xdr:colOff>92652</xdr:colOff>
      <xdr:row>218</xdr:row>
      <xdr:rowOff>114300</xdr:rowOff>
    </xdr:from>
    <xdr:ext cx="65" cy="172227"/>
    <xdr:sp macro="" textlink="">
      <xdr:nvSpPr>
        <xdr:cNvPr id="18" name="CasellaDiTesto 17">
          <a:extLst>
            <a:ext uri="{FF2B5EF4-FFF2-40B4-BE49-F238E27FC236}">
              <a16:creationId xmlns:a16="http://schemas.microsoft.com/office/drawing/2014/main" id="{319B3EB1-5A85-4AE2-A8BB-B74F1AB87227}"/>
            </a:ext>
          </a:extLst>
        </xdr:cNvPr>
        <xdr:cNvSpPr txBox="1"/>
      </xdr:nvSpPr>
      <xdr:spPr>
        <a:xfrm>
          <a:off x="12238932" y="420928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144605</xdr:colOff>
      <xdr:row>138</xdr:row>
      <xdr:rowOff>140276</xdr:rowOff>
    </xdr:from>
    <xdr:ext cx="1791131" cy="252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sellaDiTesto 18">
              <a:extLst>
                <a:ext uri="{FF2B5EF4-FFF2-40B4-BE49-F238E27FC236}">
                  <a16:creationId xmlns:a16="http://schemas.microsoft.com/office/drawing/2014/main" id="{8DA95E74-36BE-465A-A992-6622D05070D2}"/>
                </a:ext>
              </a:extLst>
            </xdr:cNvPr>
            <xdr:cNvSpPr txBox="1"/>
          </xdr:nvSpPr>
          <xdr:spPr>
            <a:xfrm>
              <a:off x="144605" y="26589296"/>
              <a:ext cx="179113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600" b="0" i="1">
                        <a:latin typeface="Cambria Math" panose="02040503050406030204" pitchFamily="18" charset="0"/>
                      </a:rPr>
                      <m:t>𝑠𝑖𝑐𝑐𝑜𝑚𝑒</m:t>
                    </m:r>
                    <m:r>
                      <a:rPr lang="it-IT" sz="16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≫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it-IT" sz="16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9" name="CasellaDiTesto 18">
              <a:extLst>
                <a:ext uri="{FF2B5EF4-FFF2-40B4-BE49-F238E27FC236}">
                  <a16:creationId xmlns:a16="http://schemas.microsoft.com/office/drawing/2014/main" id="{8DA95E74-36BE-465A-A992-6622D05070D2}"/>
                </a:ext>
              </a:extLst>
            </xdr:cNvPr>
            <xdr:cNvSpPr txBox="1"/>
          </xdr:nvSpPr>
          <xdr:spPr>
            <a:xfrm>
              <a:off x="144605" y="26589296"/>
              <a:ext cx="179113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600" b="0" i="0">
                  <a:latin typeface="Cambria Math" panose="02040503050406030204" pitchFamily="18" charset="0"/>
                </a:rPr>
                <a:t>𝑠𝑖𝑐𝑐𝑜𝑚𝑒 𝐸_𝑒𝑙≫𝐾_𝑏 𝑇: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5</xdr:col>
      <xdr:colOff>251112</xdr:colOff>
      <xdr:row>178</xdr:row>
      <xdr:rowOff>60614</xdr:rowOff>
    </xdr:from>
    <xdr:to>
      <xdr:col>6</xdr:col>
      <xdr:colOff>588817</xdr:colOff>
      <xdr:row>188</xdr:row>
      <xdr:rowOff>8659</xdr:rowOff>
    </xdr:to>
    <xdr:sp macro="" textlink="">
      <xdr:nvSpPr>
        <xdr:cNvPr id="20" name="CasellaDiTesto 19">
          <a:extLst>
            <a:ext uri="{FF2B5EF4-FFF2-40B4-BE49-F238E27FC236}">
              <a16:creationId xmlns:a16="http://schemas.microsoft.com/office/drawing/2014/main" id="{7FB661B6-4016-4EB4-BBFD-5D1E5E502421}"/>
            </a:ext>
          </a:extLst>
        </xdr:cNvPr>
        <xdr:cNvSpPr txBox="1"/>
      </xdr:nvSpPr>
      <xdr:spPr>
        <a:xfrm>
          <a:off x="7497732" y="34472534"/>
          <a:ext cx="1671205" cy="17920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112569</xdr:colOff>
      <xdr:row>230</xdr:row>
      <xdr:rowOff>77931</xdr:rowOff>
    </xdr:from>
    <xdr:to>
      <xdr:col>6</xdr:col>
      <xdr:colOff>207819</xdr:colOff>
      <xdr:row>242</xdr:row>
      <xdr:rowOff>0</xdr:rowOff>
    </xdr:to>
    <xdr:sp macro="" textlink="">
      <xdr:nvSpPr>
        <xdr:cNvPr id="21" name="CasellaDiTesto 20">
          <a:extLst>
            <a:ext uri="{FF2B5EF4-FFF2-40B4-BE49-F238E27FC236}">
              <a16:creationId xmlns:a16="http://schemas.microsoft.com/office/drawing/2014/main" id="{4949046F-CEEF-4ED8-8E0C-8D6F8488C3D6}"/>
            </a:ext>
          </a:extLst>
        </xdr:cNvPr>
        <xdr:cNvSpPr txBox="1"/>
      </xdr:nvSpPr>
      <xdr:spPr>
        <a:xfrm>
          <a:off x="7359189" y="44372991"/>
          <a:ext cx="1428750" cy="212424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710046</xdr:colOff>
      <xdr:row>226</xdr:row>
      <xdr:rowOff>69272</xdr:rowOff>
    </xdr:from>
    <xdr:to>
      <xdr:col>5</xdr:col>
      <xdr:colOff>762000</xdr:colOff>
      <xdr:row>230</xdr:row>
      <xdr:rowOff>25976</xdr:rowOff>
    </xdr:to>
    <xdr:cxnSp macro="">
      <xdr:nvCxnSpPr>
        <xdr:cNvPr id="22" name="Connettore 2 21">
          <a:extLst>
            <a:ext uri="{FF2B5EF4-FFF2-40B4-BE49-F238E27FC236}">
              <a16:creationId xmlns:a16="http://schemas.microsoft.com/office/drawing/2014/main" id="{61DF1FB4-6392-46A6-86F2-C6CFB06D8620}"/>
            </a:ext>
          </a:extLst>
        </xdr:cNvPr>
        <xdr:cNvCxnSpPr/>
      </xdr:nvCxnSpPr>
      <xdr:spPr>
        <a:xfrm>
          <a:off x="7956666" y="43579472"/>
          <a:ext cx="51954" cy="74156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787977</xdr:colOff>
      <xdr:row>176</xdr:row>
      <xdr:rowOff>95250</xdr:rowOff>
    </xdr:from>
    <xdr:to>
      <xdr:col>5</xdr:col>
      <xdr:colOff>796636</xdr:colOff>
      <xdr:row>177</xdr:row>
      <xdr:rowOff>216477</xdr:rowOff>
    </xdr:to>
    <xdr:cxnSp macro="">
      <xdr:nvCxnSpPr>
        <xdr:cNvPr id="23" name="Connettore 2 22">
          <a:extLst>
            <a:ext uri="{FF2B5EF4-FFF2-40B4-BE49-F238E27FC236}">
              <a16:creationId xmlns:a16="http://schemas.microsoft.com/office/drawing/2014/main" id="{9E1547B9-692C-4225-B3F5-ED2FC1416B88}"/>
            </a:ext>
          </a:extLst>
        </xdr:cNvPr>
        <xdr:cNvCxnSpPr/>
      </xdr:nvCxnSpPr>
      <xdr:spPr>
        <a:xfrm>
          <a:off x="8034597" y="34088070"/>
          <a:ext cx="8659" cy="3041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943840</xdr:colOff>
      <xdr:row>198</xdr:row>
      <xdr:rowOff>34636</xdr:rowOff>
    </xdr:from>
    <xdr:ext cx="1220932" cy="3057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BF1E3F9C-4E2A-4DBF-899F-D2039D92BB84}"/>
                </a:ext>
              </a:extLst>
            </xdr:cNvPr>
            <xdr:cNvSpPr txBox="1"/>
          </xdr:nvSpPr>
          <xdr:spPr>
            <a:xfrm>
              <a:off x="2993620" y="38180356"/>
              <a:ext cx="1220932" cy="305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05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acc>
                    <m:r>
                      <a:rPr lang="it-IT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05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05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05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it-IT" sz="1050"/>
            </a:p>
          </xdr:txBody>
        </xdr:sp>
      </mc:Choice>
      <mc:Fallback xmlns=""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BF1E3F9C-4E2A-4DBF-899F-D2039D92BB84}"/>
                </a:ext>
              </a:extLst>
            </xdr:cNvPr>
            <xdr:cNvSpPr txBox="1"/>
          </xdr:nvSpPr>
          <xdr:spPr>
            <a:xfrm>
              <a:off x="2993620" y="38180356"/>
              <a:ext cx="1220932" cy="305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050" b="0" i="0">
                  <a:latin typeface="Cambria Math" panose="02040503050406030204" pitchFamily="18" charset="0"/>
                </a:rPr>
                <a:t>𝑉 ̃=(𝑘_𝐵 𝑇)/𝑃</a:t>
              </a:r>
              <a:endParaRPr lang="it-IT" sz="1050"/>
            </a:p>
          </xdr:txBody>
        </xdr:sp>
      </mc:Fallback>
    </mc:AlternateContent>
    <xdr:clientData/>
  </xdr:oneCellAnchor>
  <xdr:oneCellAnchor>
    <xdr:from>
      <xdr:col>9</xdr:col>
      <xdr:colOff>92652</xdr:colOff>
      <xdr:row>242</xdr:row>
      <xdr:rowOff>114300</xdr:rowOff>
    </xdr:from>
    <xdr:ext cx="65" cy="172227"/>
    <xdr:sp macro="" textlink="">
      <xdr:nvSpPr>
        <xdr:cNvPr id="25" name="CasellaDiTesto 24">
          <a:extLst>
            <a:ext uri="{FF2B5EF4-FFF2-40B4-BE49-F238E27FC236}">
              <a16:creationId xmlns:a16="http://schemas.microsoft.com/office/drawing/2014/main" id="{219D3FA3-EA43-49B6-9A72-60E71B29979B}"/>
            </a:ext>
          </a:extLst>
        </xdr:cNvPr>
        <xdr:cNvSpPr txBox="1"/>
      </xdr:nvSpPr>
      <xdr:spPr>
        <a:xfrm>
          <a:off x="12238932" y="466115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1047750</xdr:colOff>
      <xdr:row>273</xdr:row>
      <xdr:rowOff>147205</xdr:rowOff>
    </xdr:from>
    <xdr:ext cx="1448666" cy="578172"/>
    <xdr:sp macro="" textlink="">
      <xdr:nvSpPr>
        <xdr:cNvPr id="26" name="CasellaDiTesto 25">
          <a:extLst>
            <a:ext uri="{FF2B5EF4-FFF2-40B4-BE49-F238E27FC236}">
              <a16:creationId xmlns:a16="http://schemas.microsoft.com/office/drawing/2014/main" id="{B8027EAC-B588-481F-AE04-A0E1A1E46A79}"/>
            </a:ext>
          </a:extLst>
        </xdr:cNvPr>
        <xdr:cNvSpPr txBox="1"/>
      </xdr:nvSpPr>
      <xdr:spPr>
        <a:xfrm>
          <a:off x="1047750" y="5244326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0</xdr:col>
      <xdr:colOff>839932</xdr:colOff>
      <xdr:row>274</xdr:row>
      <xdr:rowOff>25977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asellaDiTesto 26">
              <a:extLst>
                <a:ext uri="{FF2B5EF4-FFF2-40B4-BE49-F238E27FC236}">
                  <a16:creationId xmlns:a16="http://schemas.microsoft.com/office/drawing/2014/main" id="{2E6BE16A-FC66-4BDF-B862-E6C25AB699CC}"/>
                </a:ext>
              </a:extLst>
            </xdr:cNvPr>
            <xdr:cNvSpPr txBox="1"/>
          </xdr:nvSpPr>
          <xdr:spPr>
            <a:xfrm>
              <a:off x="839932" y="5251253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7" name="CasellaDiTesto 26">
              <a:extLst>
                <a:ext uri="{FF2B5EF4-FFF2-40B4-BE49-F238E27FC236}">
                  <a16:creationId xmlns:a16="http://schemas.microsoft.com/office/drawing/2014/main" id="{2E6BE16A-FC66-4BDF-B862-E6C25AB699CC}"/>
                </a:ext>
              </a:extLst>
            </xdr:cNvPr>
            <xdr:cNvSpPr txBox="1"/>
          </xdr:nvSpPr>
          <xdr:spPr>
            <a:xfrm>
              <a:off x="839932" y="5251253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𝐶_𝑃 )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3</xdr:col>
      <xdr:colOff>92652</xdr:colOff>
      <xdr:row>290</xdr:row>
      <xdr:rowOff>114300</xdr:rowOff>
    </xdr:from>
    <xdr:ext cx="65" cy="172227"/>
    <xdr:sp macro="" textlink="">
      <xdr:nvSpPr>
        <xdr:cNvPr id="28" name="CasellaDiTesto 27">
          <a:extLst>
            <a:ext uri="{FF2B5EF4-FFF2-40B4-BE49-F238E27FC236}">
              <a16:creationId xmlns:a16="http://schemas.microsoft.com/office/drawing/2014/main" id="{9121EDD1-01C0-4A6E-9307-554104E49776}"/>
            </a:ext>
          </a:extLst>
        </xdr:cNvPr>
        <xdr:cNvSpPr txBox="1"/>
      </xdr:nvSpPr>
      <xdr:spPr>
        <a:xfrm>
          <a:off x="4283652" y="555269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5</xdr:col>
      <xdr:colOff>112569</xdr:colOff>
      <xdr:row>278</xdr:row>
      <xdr:rowOff>77931</xdr:rowOff>
    </xdr:from>
    <xdr:to>
      <xdr:col>6</xdr:col>
      <xdr:colOff>207819</xdr:colOff>
      <xdr:row>290</xdr:row>
      <xdr:rowOff>0</xdr:rowOff>
    </xdr:to>
    <xdr:sp macro="" textlink="">
      <xdr:nvSpPr>
        <xdr:cNvPr id="29" name="CasellaDiTesto 28">
          <a:extLst>
            <a:ext uri="{FF2B5EF4-FFF2-40B4-BE49-F238E27FC236}">
              <a16:creationId xmlns:a16="http://schemas.microsoft.com/office/drawing/2014/main" id="{C83BFB28-A161-4BF4-B6B5-7CC9AEE634DE}"/>
            </a:ext>
          </a:extLst>
        </xdr:cNvPr>
        <xdr:cNvSpPr txBox="1"/>
      </xdr:nvSpPr>
      <xdr:spPr>
        <a:xfrm>
          <a:off x="7359189" y="53296011"/>
          <a:ext cx="1428750" cy="211662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710046</xdr:colOff>
      <xdr:row>274</xdr:row>
      <xdr:rowOff>69272</xdr:rowOff>
    </xdr:from>
    <xdr:to>
      <xdr:col>5</xdr:col>
      <xdr:colOff>762000</xdr:colOff>
      <xdr:row>278</xdr:row>
      <xdr:rowOff>25976</xdr:rowOff>
    </xdr:to>
    <xdr:cxnSp macro="">
      <xdr:nvCxnSpPr>
        <xdr:cNvPr id="30" name="Connettore 2 29">
          <a:extLst>
            <a:ext uri="{FF2B5EF4-FFF2-40B4-BE49-F238E27FC236}">
              <a16:creationId xmlns:a16="http://schemas.microsoft.com/office/drawing/2014/main" id="{379DF9F2-08C7-4E47-A2B5-5E4D98378DA4}"/>
            </a:ext>
          </a:extLst>
        </xdr:cNvPr>
        <xdr:cNvCxnSpPr/>
      </xdr:nvCxnSpPr>
      <xdr:spPr>
        <a:xfrm>
          <a:off x="7956666" y="52555832"/>
          <a:ext cx="51954" cy="6882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92652</xdr:colOff>
      <xdr:row>290</xdr:row>
      <xdr:rowOff>114300</xdr:rowOff>
    </xdr:from>
    <xdr:ext cx="65" cy="172227"/>
    <xdr:sp macro="" textlink="">
      <xdr:nvSpPr>
        <xdr:cNvPr id="31" name="CasellaDiTesto 30">
          <a:extLst>
            <a:ext uri="{FF2B5EF4-FFF2-40B4-BE49-F238E27FC236}">
              <a16:creationId xmlns:a16="http://schemas.microsoft.com/office/drawing/2014/main" id="{CB0DEDF7-6A79-4AC9-81F3-932C561AB9E5}"/>
            </a:ext>
          </a:extLst>
        </xdr:cNvPr>
        <xdr:cNvSpPr txBox="1"/>
      </xdr:nvSpPr>
      <xdr:spPr>
        <a:xfrm>
          <a:off x="12238932" y="555269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242455</xdr:colOff>
      <xdr:row>280</xdr:row>
      <xdr:rowOff>0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asellaDiTesto 31">
              <a:extLst>
                <a:ext uri="{FF2B5EF4-FFF2-40B4-BE49-F238E27FC236}">
                  <a16:creationId xmlns:a16="http://schemas.microsoft.com/office/drawing/2014/main" id="{B21A20B0-0465-489B-A10E-4E030444ED4B}"/>
                </a:ext>
              </a:extLst>
            </xdr:cNvPr>
            <xdr:cNvSpPr txBox="1"/>
          </xdr:nvSpPr>
          <xdr:spPr>
            <a:xfrm>
              <a:off x="242455" y="53583840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acc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+</m:t>
                    </m:r>
                    <m:acc>
                      <m:accPr>
                        <m:chr m:val="̃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sub>
                        </m:sSub>
                      </m:e>
                    </m:acc>
                    <m:r>
                      <a:rPr lang="it-IT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32" name="CasellaDiTesto 31">
              <a:extLst>
                <a:ext uri="{FF2B5EF4-FFF2-40B4-BE49-F238E27FC236}">
                  <a16:creationId xmlns:a16="http://schemas.microsoft.com/office/drawing/2014/main" id="{B21A20B0-0465-489B-A10E-4E030444ED4B}"/>
                </a:ext>
              </a:extLst>
            </xdr:cNvPr>
            <xdr:cNvSpPr txBox="1"/>
          </xdr:nvSpPr>
          <xdr:spPr>
            <a:xfrm>
              <a:off x="242455" y="53583840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𝐶_𝑃 ) ̃=𝑅+(𝐶_𝑉 ) ̃  </a:t>
              </a:r>
              <a:endParaRPr lang="it-IT" sz="1800"/>
            </a:p>
          </xdr:txBody>
        </xdr:sp>
      </mc:Fallback>
    </mc:AlternateContent>
    <xdr:clientData/>
  </xdr:oneCellAnchor>
  <xdr:twoCellAnchor>
    <xdr:from>
      <xdr:col>0</xdr:col>
      <xdr:colOff>0</xdr:colOff>
      <xdr:row>277</xdr:row>
      <xdr:rowOff>173182</xdr:rowOff>
    </xdr:from>
    <xdr:to>
      <xdr:col>0</xdr:col>
      <xdr:colOff>1982932</xdr:colOff>
      <xdr:row>279</xdr:row>
      <xdr:rowOff>147204</xdr:rowOff>
    </xdr:to>
    <xdr:sp macro="" textlink="">
      <xdr:nvSpPr>
        <xdr:cNvPr id="33" name="CasellaDiTesto 32">
          <a:extLst>
            <a:ext uri="{FF2B5EF4-FFF2-40B4-BE49-F238E27FC236}">
              <a16:creationId xmlns:a16="http://schemas.microsoft.com/office/drawing/2014/main" id="{7252F64C-2A41-432B-B6B8-D16DD901A2C8}"/>
            </a:ext>
          </a:extLst>
        </xdr:cNvPr>
        <xdr:cNvSpPr txBox="1"/>
      </xdr:nvSpPr>
      <xdr:spPr>
        <a:xfrm>
          <a:off x="0" y="53208382"/>
          <a:ext cx="1982932" cy="339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from Mayer's</a:t>
          </a:r>
          <a:r>
            <a:rPr lang="it-IT" sz="1400" baseline="0"/>
            <a:t> relation:</a:t>
          </a:r>
          <a:endParaRPr lang="it-IT" sz="1400"/>
        </a:p>
      </xdr:txBody>
    </xdr:sp>
    <xdr:clientData/>
  </xdr:twoCellAnchor>
  <xdr:twoCellAnchor>
    <xdr:from>
      <xdr:col>0</xdr:col>
      <xdr:colOff>710046</xdr:colOff>
      <xdr:row>108</xdr:row>
      <xdr:rowOff>147204</xdr:rowOff>
    </xdr:from>
    <xdr:to>
      <xdr:col>2</xdr:col>
      <xdr:colOff>207819</xdr:colOff>
      <xdr:row>110</xdr:row>
      <xdr:rowOff>129886</xdr:rowOff>
    </xdr:to>
    <xdr:sp macro="" textlink="">
      <xdr:nvSpPr>
        <xdr:cNvPr id="34" name="CasellaDiTesto 33">
          <a:extLst>
            <a:ext uri="{FF2B5EF4-FFF2-40B4-BE49-F238E27FC236}">
              <a16:creationId xmlns:a16="http://schemas.microsoft.com/office/drawing/2014/main" id="{A7AF9BD9-319F-477D-B4CE-3A571A93D860}"/>
            </a:ext>
          </a:extLst>
        </xdr:cNvPr>
        <xdr:cNvSpPr txBox="1"/>
      </xdr:nvSpPr>
      <xdr:spPr>
        <a:xfrm>
          <a:off x="710046" y="20705964"/>
          <a:ext cx="2682933" cy="409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ho utilizzato però questa</a:t>
          </a:r>
          <a:r>
            <a:rPr lang="it-IT" sz="1100" baseline="0"/>
            <a:t> riscrittura:</a:t>
          </a:r>
          <a:endParaRPr lang="it-IT" sz="1100"/>
        </a:p>
      </xdr:txBody>
    </xdr:sp>
    <xdr:clientData/>
  </xdr:twoCellAnchor>
  <xdr:oneCellAnchor>
    <xdr:from>
      <xdr:col>0</xdr:col>
      <xdr:colOff>733423</xdr:colOff>
      <xdr:row>110</xdr:row>
      <xdr:rowOff>79664</xdr:rowOff>
    </xdr:from>
    <xdr:ext cx="2816804" cy="626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asellaDiTesto 34">
              <a:extLst>
                <a:ext uri="{FF2B5EF4-FFF2-40B4-BE49-F238E27FC236}">
                  <a16:creationId xmlns:a16="http://schemas.microsoft.com/office/drawing/2014/main" id="{80C99E61-B6C8-41A1-86E2-1D72FB18166D}"/>
                </a:ext>
              </a:extLst>
            </xdr:cNvPr>
            <xdr:cNvSpPr txBox="1"/>
          </xdr:nvSpPr>
          <xdr:spPr>
            <a:xfrm>
              <a:off x="733423" y="21065144"/>
              <a:ext cx="2816804" cy="626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Q</m:t>
                      </m:r>
                    </m:e>
                    <m:sub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rot</m:t>
                      </m:r>
                    </m:sub>
                    <m:sup>
                      <m: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3</m:t>
                      </m:r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D</m:t>
                      </m:r>
                    </m:sup>
                  </m:sSubSup>
                  <m:r>
                    <a:rPr lang="it-IT" sz="20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 </m:t>
                  </m:r>
                  <m:f>
                    <m:fPr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it-IT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sty m:val="p"/>
                            </m:rP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π</m:t>
                          </m:r>
                        </m:e>
                      </m:rad>
                    </m:num>
                    <m:den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σ</m:t>
                      </m:r>
                    </m:den>
                  </m:f>
                  <m:r>
                    <a:rPr lang="it-IT" sz="20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⋅</m:t>
                  </m:r>
                  <m:rad>
                    <m:radPr>
                      <m:degHide m:val="on"/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it-IT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T</m:t>
                              </m:r>
                            </m:e>
                            <m:sup>
                              <m: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3</m:t>
                              </m:r>
                            </m:sup>
                          </m:sSup>
                        </m:num>
                        <m:den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x</m:t>
                              </m:r>
                            </m:sub>
                          </m:sSub>
                          <m: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⋅</m:t>
                          </m:r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y</m:t>
                              </m:r>
                            </m:sub>
                          </m:sSub>
                          <m: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⋅</m:t>
                          </m:r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z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r>
                <a:rPr lang="it-IT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35" name="CasellaDiTesto 34">
              <a:extLst>
                <a:ext uri="{FF2B5EF4-FFF2-40B4-BE49-F238E27FC236}">
                  <a16:creationId xmlns:a16="http://schemas.microsoft.com/office/drawing/2014/main" id="{80C99E61-B6C8-41A1-86E2-1D72FB18166D}"/>
                </a:ext>
              </a:extLst>
            </xdr:cNvPr>
            <xdr:cNvSpPr txBox="1"/>
          </xdr:nvSpPr>
          <xdr:spPr>
            <a:xfrm>
              <a:off x="733423" y="21065144"/>
              <a:ext cx="2816804" cy="626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Q_rot^3D=  √π/σ⋅√(T^3/(θ_x⋅θ_y⋅θ_z ))</a:t>
              </a:r>
              <a:r>
                <a:rPr lang="it-IT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</a:p>
          </xdr:txBody>
        </xdr:sp>
      </mc:Fallback>
    </mc:AlternateContent>
    <xdr:clientData/>
  </xdr:oneCellAnchor>
  <xdr:twoCellAnchor>
    <xdr:from>
      <xdr:col>0</xdr:col>
      <xdr:colOff>666750</xdr:colOff>
      <xdr:row>115</xdr:row>
      <xdr:rowOff>34636</xdr:rowOff>
    </xdr:from>
    <xdr:to>
      <xdr:col>2</xdr:col>
      <xdr:colOff>112569</xdr:colOff>
      <xdr:row>119</xdr:row>
      <xdr:rowOff>95249</xdr:rowOff>
    </xdr:to>
    <xdr:sp macro="" textlink="">
      <xdr:nvSpPr>
        <xdr:cNvPr id="36" name="CasellaDiTesto 35">
          <a:extLst>
            <a:ext uri="{FF2B5EF4-FFF2-40B4-BE49-F238E27FC236}">
              <a16:creationId xmlns:a16="http://schemas.microsoft.com/office/drawing/2014/main" id="{2BB32FD7-6C13-4AEC-A038-185F2CD28CA1}"/>
            </a:ext>
          </a:extLst>
        </xdr:cNvPr>
        <xdr:cNvSpPr txBox="1"/>
      </xdr:nvSpPr>
      <xdr:spPr>
        <a:xfrm>
          <a:off x="666750" y="21942136"/>
          <a:ext cx="2630979" cy="792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dove le </a:t>
          </a:r>
          <a:r>
            <a:rPr lang="el-GR" sz="1100"/>
            <a:t>ϑ</a:t>
          </a:r>
          <a:r>
            <a:rPr lang="it-IT" sz="1100"/>
            <a:t> rappresentano le temperature rotazionali rispetto agli assi x, y e z</a:t>
          </a:r>
        </a:p>
      </xdr:txBody>
    </xdr:sp>
    <xdr:clientData/>
  </xdr:twoCellAnchor>
  <xdr:twoCellAnchor editAs="oneCell">
    <xdr:from>
      <xdr:col>8</xdr:col>
      <xdr:colOff>406980</xdr:colOff>
      <xdr:row>10</xdr:row>
      <xdr:rowOff>112568</xdr:rowOff>
    </xdr:from>
    <xdr:to>
      <xdr:col>10</xdr:col>
      <xdr:colOff>1264227</xdr:colOff>
      <xdr:row>25</xdr:row>
      <xdr:rowOff>174305</xdr:rowOff>
    </xdr:to>
    <xdr:pic>
      <xdr:nvPicPr>
        <xdr:cNvPr id="37" name="Immagine 36">
          <a:extLst>
            <a:ext uri="{FF2B5EF4-FFF2-40B4-BE49-F238E27FC236}">
              <a16:creationId xmlns:a16="http://schemas.microsoft.com/office/drawing/2014/main" id="{1B4CCDEE-EBA8-46B0-99CE-273194907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02640" y="2055668"/>
          <a:ext cx="3402328" cy="2804937"/>
        </a:xfrm>
        <a:prstGeom prst="rect">
          <a:avLst/>
        </a:prstGeom>
      </xdr:spPr>
    </xdr:pic>
    <xdr:clientData/>
  </xdr:twoCellAnchor>
  <xdr:twoCellAnchor>
    <xdr:from>
      <xdr:col>2</xdr:col>
      <xdr:colOff>207818</xdr:colOff>
      <xdr:row>220</xdr:row>
      <xdr:rowOff>147205</xdr:rowOff>
    </xdr:from>
    <xdr:to>
      <xdr:col>3</xdr:col>
      <xdr:colOff>493568</xdr:colOff>
      <xdr:row>222</xdr:row>
      <xdr:rowOff>60614</xdr:rowOff>
    </xdr:to>
    <xdr:sp macro="" textlink="">
      <xdr:nvSpPr>
        <xdr:cNvPr id="38" name="CasellaDiTesto 37">
          <a:extLst>
            <a:ext uri="{FF2B5EF4-FFF2-40B4-BE49-F238E27FC236}">
              <a16:creationId xmlns:a16="http://schemas.microsoft.com/office/drawing/2014/main" id="{2E0C8C5E-F438-4262-A6DC-2788256E6D02}"/>
            </a:ext>
          </a:extLst>
        </xdr:cNvPr>
        <xdr:cNvSpPr txBox="1"/>
      </xdr:nvSpPr>
      <xdr:spPr>
        <a:xfrm>
          <a:off x="3392978" y="42499165"/>
          <a:ext cx="1291590" cy="2791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for S_trasl</a:t>
          </a:r>
          <a:r>
            <a:rPr lang="it-IT" sz="1100" baseline="0"/>
            <a:t> : </a:t>
          </a:r>
          <a:endParaRPr lang="it-IT" sz="1100"/>
        </a:p>
      </xdr:txBody>
    </xdr:sp>
    <xdr:clientData/>
  </xdr:twoCellAnchor>
  <xdr:twoCellAnchor editAs="oneCell">
    <xdr:from>
      <xdr:col>3</xdr:col>
      <xdr:colOff>43297</xdr:colOff>
      <xdr:row>220</xdr:row>
      <xdr:rowOff>17320</xdr:rowOff>
    </xdr:from>
    <xdr:to>
      <xdr:col>3</xdr:col>
      <xdr:colOff>1853047</xdr:colOff>
      <xdr:row>222</xdr:row>
      <xdr:rowOff>83556</xdr:rowOff>
    </xdr:to>
    <xdr:pic>
      <xdr:nvPicPr>
        <xdr:cNvPr id="39" name="Immagine 38">
          <a:extLst>
            <a:ext uri="{FF2B5EF4-FFF2-40B4-BE49-F238E27FC236}">
              <a16:creationId xmlns:a16="http://schemas.microsoft.com/office/drawing/2014/main" id="{4379DC96-0528-47E0-861B-AC85CA77D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4297" y="42369280"/>
          <a:ext cx="1809750" cy="431996"/>
        </a:xfrm>
        <a:prstGeom prst="rect">
          <a:avLst/>
        </a:prstGeom>
      </xdr:spPr>
    </xdr:pic>
    <xdr:clientData/>
  </xdr:twoCellAnchor>
  <xdr:oneCellAnchor>
    <xdr:from>
      <xdr:col>0</xdr:col>
      <xdr:colOff>450271</xdr:colOff>
      <xdr:row>63</xdr:row>
      <xdr:rowOff>17317</xdr:rowOff>
    </xdr:from>
    <xdr:ext cx="2764849" cy="10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asellaDiTesto 39">
              <a:extLst>
                <a:ext uri="{FF2B5EF4-FFF2-40B4-BE49-F238E27FC236}">
                  <a16:creationId xmlns:a16="http://schemas.microsoft.com/office/drawing/2014/main" id="{B2D60E8B-0069-44D7-A5F0-2D57F5C6AEEB}"/>
                </a:ext>
              </a:extLst>
            </xdr:cNvPr>
            <xdr:cNvSpPr txBox="1"/>
          </xdr:nvSpPr>
          <xdr:spPr>
            <a:xfrm>
              <a:off x="450271" y="12003577"/>
              <a:ext cx="2764849" cy="10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vib</m:t>
                        </m:r>
                      </m:sub>
                    </m:sSub>
                    <m:r>
                      <a:rPr lang="it-IT" sz="1800" b="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∏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𝑣𝑖𝑏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it-IT" sz="1800" b="0" i="0">
                                <a:latin typeface="Cambria Math" panose="02040503050406030204" pitchFamily="18" charset="0"/>
                              </a:rPr>
                              <m:t>exp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⁡(−</m:t>
                            </m:r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it-IT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den>
                            </m:f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 )</m:t>
                            </m:r>
                          </m:num>
                          <m:den>
                            <m:r>
                              <a:rPr lang="it-IT" sz="1800" b="0" i="0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m:rPr>
                                <m:sty m:val="p"/>
                              </m:rPr>
                              <a:rPr lang="it-IT" sz="1800" b="0" i="0">
                                <a:latin typeface="Cambria Math" panose="02040503050406030204" pitchFamily="18" charset="0"/>
                              </a:rPr>
                              <m:t>exp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⁡(−</m:t>
                            </m:r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den>
                            </m:f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40" name="CasellaDiTesto 39">
              <a:extLst>
                <a:ext uri="{FF2B5EF4-FFF2-40B4-BE49-F238E27FC236}">
                  <a16:creationId xmlns:a16="http://schemas.microsoft.com/office/drawing/2014/main" id="{B2D60E8B-0069-44D7-A5F0-2D57F5C6AEEB}"/>
                </a:ext>
              </a:extLst>
            </xdr:cNvPr>
            <xdr:cNvSpPr txBox="1"/>
          </xdr:nvSpPr>
          <xdr:spPr>
            <a:xfrm>
              <a:off x="450271" y="12003577"/>
              <a:ext cx="2764849" cy="10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Q_vib=∏_(𝑖=1)^(𝑁_𝑣𝑖𝑏)▒(exp⁡(−(ℎ𝜈_𝑖)/(</a:t>
              </a:r>
              <a:r>
                <a:rPr lang="it-IT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〖2𝑘〗_𝐵 𝑇) </a:t>
              </a:r>
              <a:r>
                <a:rPr lang="it-IT" sz="1800" b="0" i="0">
                  <a:latin typeface="Cambria Math" panose="02040503050406030204" pitchFamily="18" charset="0"/>
                </a:rPr>
                <a:t> ))/(1−exp⁡(−(ℎ𝜈_𝑖)/(𝑘_𝐵 𝑇)))</a:t>
              </a:r>
              <a:endParaRPr lang="it-IT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352424</xdr:colOff>
      <xdr:row>84</xdr:row>
      <xdr:rowOff>19049</xdr:rowOff>
    </xdr:from>
    <xdr:ext cx="3379644" cy="688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72C77711-A3ED-4529-ABEF-4EF551C16B2E}"/>
                </a:ext>
              </a:extLst>
            </xdr:cNvPr>
            <xdr:cNvSpPr txBox="1"/>
          </xdr:nvSpPr>
          <xdr:spPr>
            <a:xfrm>
              <a:off x="352424" y="16066769"/>
              <a:ext cx="3379644" cy="688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𝑡𝑟𝑎𝑠𝑙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𝜋</m:t>
                                </m:r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h</m:t>
                                    </m:r>
                                  </m:e>
                                  <m:sup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3/2</m:t>
                        </m:r>
                      </m:sup>
                    </m:sSup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72C77711-A3ED-4529-ABEF-4EF551C16B2E}"/>
                </a:ext>
              </a:extLst>
            </xdr:cNvPr>
            <xdr:cNvSpPr txBox="1"/>
          </xdr:nvSpPr>
          <xdr:spPr>
            <a:xfrm>
              <a:off x="352424" y="16066769"/>
              <a:ext cx="3379644" cy="688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𝑄_𝑡𝑟𝑎𝑠𝑙=((2𝜋𝑚𝑘_𝐵 𝑇)/ℎ^2 )^(3/2)⋅(𝑘_𝐵 𝑇)/𝑃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127289</xdr:colOff>
      <xdr:row>103</xdr:row>
      <xdr:rowOff>157596</xdr:rowOff>
    </xdr:from>
    <xdr:ext cx="4141643" cy="5943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55D4962-B6F8-483C-BCF3-7F17066453E0}"/>
                </a:ext>
              </a:extLst>
            </xdr:cNvPr>
            <xdr:cNvSpPr txBox="1"/>
          </xdr:nvSpPr>
          <xdr:spPr>
            <a:xfrm>
              <a:off x="127289" y="19702896"/>
              <a:ext cx="4141643" cy="594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𝑟𝑜𝑡</m:t>
                        </m:r>
                      </m:sub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𝐷</m:t>
                        </m:r>
                      </m:sup>
                    </m:sSubSup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8</m:t>
                        </m:r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(2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3/2</m:t>
                            </m:r>
                          </m:sup>
                        </m:sSup>
                        <m:rad>
                          <m:radPr>
                            <m:degHide m:val="on"/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sub>
                            </m:sSub>
                          </m:e>
                        </m:rad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𝜎</m:t>
                        </m:r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55D4962-B6F8-483C-BCF3-7F17066453E0}"/>
                </a:ext>
              </a:extLst>
            </xdr:cNvPr>
            <xdr:cNvSpPr txBox="1"/>
          </xdr:nvSpPr>
          <xdr:spPr>
            <a:xfrm>
              <a:off x="127289" y="19702896"/>
              <a:ext cx="4141643" cy="594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𝑄_𝑟𝑜𝑡^3𝐷=(8𝜋^2 〖(2𝜋𝑘〗_𝐵 〖𝑇)〗^(3/2) √(𝐼_𝑥 𝐼_𝑦 𝐼_𝑧 ))/(𝜎ℎ^3 )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126</xdr:row>
      <xdr:rowOff>0</xdr:rowOff>
    </xdr:from>
    <xdr:ext cx="4141643" cy="452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9693D420-2896-4C06-BE25-8358BFBAEDB3}"/>
                </a:ext>
              </a:extLst>
            </xdr:cNvPr>
            <xdr:cNvSpPr txBox="1"/>
          </xdr:nvSpPr>
          <xdr:spPr>
            <a:xfrm>
              <a:off x="0" y="23888700"/>
              <a:ext cx="414164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𝑒𝑙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sub>
                            </m:s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9693D420-2896-4C06-BE25-8358BFBAEDB3}"/>
                </a:ext>
              </a:extLst>
            </xdr:cNvPr>
            <xdr:cNvSpPr txBox="1"/>
          </xdr:nvSpPr>
          <xdr:spPr>
            <a:xfrm>
              <a:off x="0" y="23888700"/>
              <a:ext cx="414164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Q_el=𝑔_𝑒𝑙⋅𝑒^(−𝐸_𝑒𝑙/(𝑘_𝐵 𝑇))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216478</xdr:colOff>
      <xdr:row>153</xdr:row>
      <xdr:rowOff>114298</xdr:rowOff>
    </xdr:from>
    <xdr:ext cx="3717348" cy="575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B2771F4D-CC9D-422A-BC75-DE4E273597F4}"/>
                </a:ext>
              </a:extLst>
            </xdr:cNvPr>
            <xdr:cNvSpPr txBox="1"/>
          </xdr:nvSpPr>
          <xdr:spPr>
            <a:xfrm>
              <a:off x="216478" y="29443678"/>
              <a:ext cx="3717348" cy="575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8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𝑡𝑟𝑎𝑠𝑙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Sup>
                      <m:sSub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𝑟𝑜𝑡</m:t>
                        </m:r>
                      </m:sub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𝐷</m:t>
                        </m:r>
                      </m:sup>
                    </m:sSubSup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𝑣𝑖𝑏</m:t>
                        </m:r>
                      </m:sub>
                    </m:sSub>
                  </m:oMath>
                </m:oMathPara>
              </a14:m>
              <a:endParaRPr lang="it-IT" sz="1800" b="0"/>
            </a:p>
            <a:p>
              <a:endParaRPr lang="it-IT" sz="18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B2771F4D-CC9D-422A-BC75-DE4E273597F4}"/>
                </a:ext>
              </a:extLst>
            </xdr:cNvPr>
            <xdr:cNvSpPr txBox="1"/>
          </xdr:nvSpPr>
          <xdr:spPr>
            <a:xfrm>
              <a:off x="216478" y="29443678"/>
              <a:ext cx="3717348" cy="575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𝑄=𝑄_𝑡𝑟𝑎𝑠𝑙×𝑄_𝑒𝑙×𝑄_𝑟𝑜𝑡^3𝐷×𝑄_𝑣𝑖𝑏</a:t>
              </a:r>
              <a:endParaRPr lang="it-IT" sz="1800" b="0"/>
            </a:p>
            <a:p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0</xdr:colOff>
      <xdr:row>140</xdr:row>
      <xdr:rowOff>0</xdr:rowOff>
    </xdr:from>
    <xdr:ext cx="4141643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BB4C60E9-D318-43C4-B9A4-07C162504E11}"/>
                </a:ext>
              </a:extLst>
            </xdr:cNvPr>
            <xdr:cNvSpPr txBox="1"/>
          </xdr:nvSpPr>
          <xdr:spPr>
            <a:xfrm>
              <a:off x="0" y="26753820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BB4C60E9-D318-43C4-B9A4-07C162504E11}"/>
                </a:ext>
              </a:extLst>
            </xdr:cNvPr>
            <xdr:cNvSpPr txBox="1"/>
          </xdr:nvSpPr>
          <xdr:spPr>
            <a:xfrm>
              <a:off x="0" y="26753820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Q_el=𝑔_𝑒𝑙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141</xdr:row>
      <xdr:rowOff>138545</xdr:rowOff>
    </xdr:from>
    <xdr:ext cx="4141643" cy="4540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C124E892-688E-472A-B362-CF301CA9A0F1}"/>
                </a:ext>
              </a:extLst>
            </xdr:cNvPr>
            <xdr:cNvSpPr txBox="1"/>
          </xdr:nvSpPr>
          <xdr:spPr>
            <a:xfrm>
              <a:off x="0" y="27105725"/>
              <a:ext cx="4141643" cy="454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it-IT" sz="18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C124E892-688E-472A-B362-CF301CA9A0F1}"/>
                </a:ext>
              </a:extLst>
            </xdr:cNvPr>
            <xdr:cNvSpPr txBox="1"/>
          </xdr:nvSpPr>
          <xdr:spPr>
            <a:xfrm>
              <a:off x="0" y="27105725"/>
              <a:ext cx="4141643" cy="4540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Q_el=2</a:t>
              </a:r>
              <a:endParaRPr lang="it-IT" sz="1800" b="0"/>
            </a:p>
            <a:p>
              <a:pPr/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993198</xdr:colOff>
      <xdr:row>175</xdr:row>
      <xdr:rowOff>140278</xdr:rowOff>
    </xdr:from>
    <xdr:ext cx="1448666" cy="297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F96E17F3-E090-46F4-8F89-6008A20CD767}"/>
                </a:ext>
              </a:extLst>
            </xdr:cNvPr>
            <xdr:cNvSpPr txBox="1"/>
          </xdr:nvSpPr>
          <xdr:spPr>
            <a:xfrm>
              <a:off x="993198" y="33851158"/>
              <a:ext cx="1448666" cy="297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F96E17F3-E090-46F4-8F89-6008A20CD767}"/>
                </a:ext>
              </a:extLst>
            </xdr:cNvPr>
            <xdr:cNvSpPr txBox="1"/>
          </xdr:nvSpPr>
          <xdr:spPr>
            <a:xfrm>
              <a:off x="993198" y="33851158"/>
              <a:ext cx="1448666" cy="297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𝑈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857250</xdr:colOff>
      <xdr:row>201</xdr:row>
      <xdr:rowOff>173182</xdr:rowOff>
    </xdr:from>
    <xdr:ext cx="1448666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686CE22A-DABC-4D7F-B6E0-9A97063BAA45}"/>
                </a:ext>
              </a:extLst>
            </xdr:cNvPr>
            <xdr:cNvSpPr txBox="1"/>
          </xdr:nvSpPr>
          <xdr:spPr>
            <a:xfrm>
              <a:off x="857250" y="38837062"/>
              <a:ext cx="1448666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686CE22A-DABC-4D7F-B6E0-9A97063BAA45}"/>
                </a:ext>
              </a:extLst>
            </xdr:cNvPr>
            <xdr:cNvSpPr txBox="1"/>
          </xdr:nvSpPr>
          <xdr:spPr>
            <a:xfrm>
              <a:off x="857250" y="38837062"/>
              <a:ext cx="1448666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𝑆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4</xdr:col>
      <xdr:colOff>92652</xdr:colOff>
      <xdr:row>218</xdr:row>
      <xdr:rowOff>114300</xdr:rowOff>
    </xdr:from>
    <xdr:ext cx="65" cy="172227"/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8365A529-1569-44B2-B842-B8D2CFC9CBE5}"/>
            </a:ext>
          </a:extLst>
        </xdr:cNvPr>
        <xdr:cNvSpPr txBox="1"/>
      </xdr:nvSpPr>
      <xdr:spPr>
        <a:xfrm>
          <a:off x="6333432" y="42001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1047750</xdr:colOff>
      <xdr:row>225</xdr:row>
      <xdr:rowOff>147205</xdr:rowOff>
    </xdr:from>
    <xdr:ext cx="1448666" cy="578172"/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5F01C21F-52FD-4C62-A5F1-6A1D5F741BC7}"/>
            </a:ext>
          </a:extLst>
        </xdr:cNvPr>
        <xdr:cNvSpPr txBox="1"/>
      </xdr:nvSpPr>
      <xdr:spPr>
        <a:xfrm>
          <a:off x="1047750" y="4337546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0</xdr:col>
      <xdr:colOff>839932</xdr:colOff>
      <xdr:row>226</xdr:row>
      <xdr:rowOff>25977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020C7B25-FBE0-4E11-B34A-A69ECD6EA8C9}"/>
                </a:ext>
              </a:extLst>
            </xdr:cNvPr>
            <xdr:cNvSpPr txBox="1"/>
          </xdr:nvSpPr>
          <xdr:spPr>
            <a:xfrm>
              <a:off x="839932" y="4344473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020C7B25-FBE0-4E11-B34A-A69ECD6EA8C9}"/>
                </a:ext>
              </a:extLst>
            </xdr:cNvPr>
            <xdr:cNvSpPr txBox="1"/>
          </xdr:nvSpPr>
          <xdr:spPr>
            <a:xfrm>
              <a:off x="839932" y="4344473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𝐶_𝑉 )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3</xdr:col>
      <xdr:colOff>92652</xdr:colOff>
      <xdr:row>242</xdr:row>
      <xdr:rowOff>114300</xdr:rowOff>
    </xdr:from>
    <xdr:ext cx="65" cy="172227"/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4E7CB999-5C0C-4396-8A1C-359C650B53F5}"/>
            </a:ext>
          </a:extLst>
        </xdr:cNvPr>
        <xdr:cNvSpPr txBox="1"/>
      </xdr:nvSpPr>
      <xdr:spPr>
        <a:xfrm>
          <a:off x="4283652" y="4652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5</xdr:col>
      <xdr:colOff>1235651</xdr:colOff>
      <xdr:row>196</xdr:row>
      <xdr:rowOff>71005</xdr:rowOff>
    </xdr:from>
    <xdr:ext cx="2184689" cy="4383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C2A7C0DF-E4D5-4E68-8FF4-25BC99FB214C}"/>
                </a:ext>
              </a:extLst>
            </xdr:cNvPr>
            <xdr:cNvSpPr txBox="1"/>
          </xdr:nvSpPr>
          <xdr:spPr>
            <a:xfrm>
              <a:off x="8482271" y="37721425"/>
              <a:ext cx="2184689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it-IT" sz="1400" b="0" i="1">
                      <a:latin typeface="Cambria Math" panose="02040503050406030204" pitchFamily="18" charset="0"/>
                    </a:rPr>
                    <m:t>𝐼</m:t>
                  </m:r>
                  <m:r>
                    <a:rPr lang="it-IT" sz="14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it-IT" sz="14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r>
                        <a:rPr lang="it-IT" sz="14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r>
                        <a:rPr lang="it-IT" sz="14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𝑧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</m:e>
                  </m:rad>
                </m:oMath>
              </a14:m>
              <a:r>
                <a:rPr lang="it-IT" sz="1400"/>
                <a:t> =</a:t>
              </a:r>
            </a:p>
          </xdr:txBody>
        </xdr:sp>
      </mc:Choice>
      <mc:Fallback xmlns="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C2A7C0DF-E4D5-4E68-8FF4-25BC99FB214C}"/>
                </a:ext>
              </a:extLst>
            </xdr:cNvPr>
            <xdr:cNvSpPr txBox="1"/>
          </xdr:nvSpPr>
          <xdr:spPr>
            <a:xfrm>
              <a:off x="8482271" y="37721425"/>
              <a:ext cx="2184689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0" i="0">
                  <a:latin typeface="Cambria Math" panose="02040503050406030204" pitchFamily="18" charset="0"/>
                </a:rPr>
                <a:t>𝐼=√(𝐼_𝑥^2+𝐼_𝑦^2+𝐼_𝑧^2 )</a:t>
              </a:r>
              <a:r>
                <a:rPr lang="it-IT" sz="1400"/>
                <a:t> =</a:t>
              </a:r>
            </a:p>
          </xdr:txBody>
        </xdr:sp>
      </mc:Fallback>
    </mc:AlternateContent>
    <xdr:clientData/>
  </xdr:oneCellAnchor>
  <xdr:oneCellAnchor>
    <xdr:from>
      <xdr:col>0</xdr:col>
      <xdr:colOff>1079788</xdr:colOff>
      <xdr:row>248</xdr:row>
      <xdr:rowOff>62346</xdr:rowOff>
    </xdr:from>
    <xdr:ext cx="660689" cy="2956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A6B53188-5B25-415D-BD11-9F9450C4A1C5}"/>
                </a:ext>
              </a:extLst>
            </xdr:cNvPr>
            <xdr:cNvSpPr txBox="1"/>
          </xdr:nvSpPr>
          <xdr:spPr>
            <a:xfrm>
              <a:off x="1079788" y="47626386"/>
              <a:ext cx="660689" cy="295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A6B53188-5B25-415D-BD11-9F9450C4A1C5}"/>
                </a:ext>
              </a:extLst>
            </xdr:cNvPr>
            <xdr:cNvSpPr txBox="1"/>
          </xdr:nvSpPr>
          <xdr:spPr>
            <a:xfrm>
              <a:off x="1079788" y="47626386"/>
              <a:ext cx="660689" cy="295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𝐹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1047750</xdr:colOff>
      <xdr:row>248</xdr:row>
      <xdr:rowOff>147205</xdr:rowOff>
    </xdr:from>
    <xdr:ext cx="1448666" cy="578172"/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4ADAF1A7-61D0-4C0D-84D8-5F7B3F3182C3}"/>
            </a:ext>
          </a:extLst>
        </xdr:cNvPr>
        <xdr:cNvSpPr txBox="1"/>
      </xdr:nvSpPr>
      <xdr:spPr>
        <a:xfrm>
          <a:off x="1047750" y="4771124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3</xdr:col>
      <xdr:colOff>92652</xdr:colOff>
      <xdr:row>265</xdr:row>
      <xdr:rowOff>114300</xdr:rowOff>
    </xdr:from>
    <xdr:ext cx="65" cy="172227"/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A82441AC-FA30-4977-B044-2000BF723A87}"/>
            </a:ext>
          </a:extLst>
        </xdr:cNvPr>
        <xdr:cNvSpPr txBox="1"/>
      </xdr:nvSpPr>
      <xdr:spPr>
        <a:xfrm>
          <a:off x="4283652" y="50794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9</xdr:col>
      <xdr:colOff>92652</xdr:colOff>
      <xdr:row>218</xdr:row>
      <xdr:rowOff>114300</xdr:rowOff>
    </xdr:from>
    <xdr:ext cx="65" cy="172227"/>
    <xdr:sp macro="" textlink="">
      <xdr:nvSpPr>
        <xdr:cNvPr id="18" name="CasellaDiTesto 17">
          <a:extLst>
            <a:ext uri="{FF2B5EF4-FFF2-40B4-BE49-F238E27FC236}">
              <a16:creationId xmlns:a16="http://schemas.microsoft.com/office/drawing/2014/main" id="{C2495433-1BF5-4C2C-840B-17E3F84E442F}"/>
            </a:ext>
          </a:extLst>
        </xdr:cNvPr>
        <xdr:cNvSpPr txBox="1"/>
      </xdr:nvSpPr>
      <xdr:spPr>
        <a:xfrm>
          <a:off x="12238932" y="42001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144605</xdr:colOff>
      <xdr:row>138</xdr:row>
      <xdr:rowOff>140276</xdr:rowOff>
    </xdr:from>
    <xdr:ext cx="1791131" cy="252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sellaDiTesto 18">
              <a:extLst>
                <a:ext uri="{FF2B5EF4-FFF2-40B4-BE49-F238E27FC236}">
                  <a16:creationId xmlns:a16="http://schemas.microsoft.com/office/drawing/2014/main" id="{F4752F36-D34B-48AA-9659-024ECBD26AED}"/>
                </a:ext>
              </a:extLst>
            </xdr:cNvPr>
            <xdr:cNvSpPr txBox="1"/>
          </xdr:nvSpPr>
          <xdr:spPr>
            <a:xfrm>
              <a:off x="144605" y="26497856"/>
              <a:ext cx="179113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600" b="0" i="1">
                        <a:latin typeface="Cambria Math" panose="02040503050406030204" pitchFamily="18" charset="0"/>
                      </a:rPr>
                      <m:t>𝑠𝑖𝑐𝑐𝑜𝑚𝑒</m:t>
                    </m:r>
                    <m:r>
                      <a:rPr lang="it-IT" sz="16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≫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it-IT" sz="16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9" name="CasellaDiTesto 18">
              <a:extLst>
                <a:ext uri="{FF2B5EF4-FFF2-40B4-BE49-F238E27FC236}">
                  <a16:creationId xmlns:a16="http://schemas.microsoft.com/office/drawing/2014/main" id="{F4752F36-D34B-48AA-9659-024ECBD26AED}"/>
                </a:ext>
              </a:extLst>
            </xdr:cNvPr>
            <xdr:cNvSpPr txBox="1"/>
          </xdr:nvSpPr>
          <xdr:spPr>
            <a:xfrm>
              <a:off x="144605" y="26497856"/>
              <a:ext cx="179113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600" b="0" i="0">
                  <a:latin typeface="Cambria Math" panose="02040503050406030204" pitchFamily="18" charset="0"/>
                </a:rPr>
                <a:t>𝑠𝑖𝑐𝑐𝑜𝑚𝑒 𝐸_𝑒𝑙≫𝐾_𝑏 𝑇: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5</xdr:col>
      <xdr:colOff>251112</xdr:colOff>
      <xdr:row>178</xdr:row>
      <xdr:rowOff>60614</xdr:rowOff>
    </xdr:from>
    <xdr:to>
      <xdr:col>6</xdr:col>
      <xdr:colOff>588817</xdr:colOff>
      <xdr:row>188</xdr:row>
      <xdr:rowOff>8659</xdr:rowOff>
    </xdr:to>
    <xdr:sp macro="" textlink="">
      <xdr:nvSpPr>
        <xdr:cNvPr id="20" name="CasellaDiTesto 19">
          <a:extLst>
            <a:ext uri="{FF2B5EF4-FFF2-40B4-BE49-F238E27FC236}">
              <a16:creationId xmlns:a16="http://schemas.microsoft.com/office/drawing/2014/main" id="{887FF52E-B52E-43DC-B8F3-B2274095A3BA}"/>
            </a:ext>
          </a:extLst>
        </xdr:cNvPr>
        <xdr:cNvSpPr txBox="1"/>
      </xdr:nvSpPr>
      <xdr:spPr>
        <a:xfrm>
          <a:off x="7497732" y="34381094"/>
          <a:ext cx="1671205" cy="17920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112569</xdr:colOff>
      <xdr:row>230</xdr:row>
      <xdr:rowOff>77931</xdr:rowOff>
    </xdr:from>
    <xdr:to>
      <xdr:col>6</xdr:col>
      <xdr:colOff>207819</xdr:colOff>
      <xdr:row>242</xdr:row>
      <xdr:rowOff>0</xdr:rowOff>
    </xdr:to>
    <xdr:sp macro="" textlink="">
      <xdr:nvSpPr>
        <xdr:cNvPr id="21" name="CasellaDiTesto 20">
          <a:extLst>
            <a:ext uri="{FF2B5EF4-FFF2-40B4-BE49-F238E27FC236}">
              <a16:creationId xmlns:a16="http://schemas.microsoft.com/office/drawing/2014/main" id="{0DB5B420-0146-4905-AAEF-283E5774A685}"/>
            </a:ext>
          </a:extLst>
        </xdr:cNvPr>
        <xdr:cNvSpPr txBox="1"/>
      </xdr:nvSpPr>
      <xdr:spPr>
        <a:xfrm>
          <a:off x="7359189" y="44281551"/>
          <a:ext cx="1428750" cy="212424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710046</xdr:colOff>
      <xdr:row>226</xdr:row>
      <xdr:rowOff>69272</xdr:rowOff>
    </xdr:from>
    <xdr:to>
      <xdr:col>5</xdr:col>
      <xdr:colOff>762000</xdr:colOff>
      <xdr:row>230</xdr:row>
      <xdr:rowOff>25976</xdr:rowOff>
    </xdr:to>
    <xdr:cxnSp macro="">
      <xdr:nvCxnSpPr>
        <xdr:cNvPr id="22" name="Connettore 2 21">
          <a:extLst>
            <a:ext uri="{FF2B5EF4-FFF2-40B4-BE49-F238E27FC236}">
              <a16:creationId xmlns:a16="http://schemas.microsoft.com/office/drawing/2014/main" id="{091DC7EB-D6BE-4739-9258-AAEB43A6B976}"/>
            </a:ext>
          </a:extLst>
        </xdr:cNvPr>
        <xdr:cNvCxnSpPr/>
      </xdr:nvCxnSpPr>
      <xdr:spPr>
        <a:xfrm>
          <a:off x="7956666" y="43488032"/>
          <a:ext cx="51954" cy="74156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787977</xdr:colOff>
      <xdr:row>176</xdr:row>
      <xdr:rowOff>95250</xdr:rowOff>
    </xdr:from>
    <xdr:to>
      <xdr:col>5</xdr:col>
      <xdr:colOff>796636</xdr:colOff>
      <xdr:row>177</xdr:row>
      <xdr:rowOff>216477</xdr:rowOff>
    </xdr:to>
    <xdr:cxnSp macro="">
      <xdr:nvCxnSpPr>
        <xdr:cNvPr id="23" name="Connettore 2 22">
          <a:extLst>
            <a:ext uri="{FF2B5EF4-FFF2-40B4-BE49-F238E27FC236}">
              <a16:creationId xmlns:a16="http://schemas.microsoft.com/office/drawing/2014/main" id="{8B8B2F6F-C572-43A4-B35F-4BEDF91E9E3B}"/>
            </a:ext>
          </a:extLst>
        </xdr:cNvPr>
        <xdr:cNvCxnSpPr/>
      </xdr:nvCxnSpPr>
      <xdr:spPr>
        <a:xfrm>
          <a:off x="8034597" y="33996630"/>
          <a:ext cx="8659" cy="3041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943840</xdr:colOff>
      <xdr:row>198</xdr:row>
      <xdr:rowOff>34636</xdr:rowOff>
    </xdr:from>
    <xdr:ext cx="1220932" cy="3057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C257C061-8D94-4571-8860-DD0C160EDE93}"/>
                </a:ext>
              </a:extLst>
            </xdr:cNvPr>
            <xdr:cNvSpPr txBox="1"/>
          </xdr:nvSpPr>
          <xdr:spPr>
            <a:xfrm>
              <a:off x="2993620" y="38088916"/>
              <a:ext cx="1220932" cy="305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05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acc>
                    <m:r>
                      <a:rPr lang="it-IT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05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05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05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it-IT" sz="1050"/>
            </a:p>
          </xdr:txBody>
        </xdr:sp>
      </mc:Choice>
      <mc:Fallback xmlns=""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C257C061-8D94-4571-8860-DD0C160EDE93}"/>
                </a:ext>
              </a:extLst>
            </xdr:cNvPr>
            <xdr:cNvSpPr txBox="1"/>
          </xdr:nvSpPr>
          <xdr:spPr>
            <a:xfrm>
              <a:off x="2993620" y="38088916"/>
              <a:ext cx="1220932" cy="305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050" b="0" i="0">
                  <a:latin typeface="Cambria Math" panose="02040503050406030204" pitchFamily="18" charset="0"/>
                </a:rPr>
                <a:t>𝑉 ̃=(𝑘_𝐵 𝑇)/𝑃</a:t>
              </a:r>
              <a:endParaRPr lang="it-IT" sz="1050"/>
            </a:p>
          </xdr:txBody>
        </xdr:sp>
      </mc:Fallback>
    </mc:AlternateContent>
    <xdr:clientData/>
  </xdr:oneCellAnchor>
  <xdr:oneCellAnchor>
    <xdr:from>
      <xdr:col>9</xdr:col>
      <xdr:colOff>92652</xdr:colOff>
      <xdr:row>242</xdr:row>
      <xdr:rowOff>114300</xdr:rowOff>
    </xdr:from>
    <xdr:ext cx="65" cy="172227"/>
    <xdr:sp macro="" textlink="">
      <xdr:nvSpPr>
        <xdr:cNvPr id="25" name="CasellaDiTesto 24">
          <a:extLst>
            <a:ext uri="{FF2B5EF4-FFF2-40B4-BE49-F238E27FC236}">
              <a16:creationId xmlns:a16="http://schemas.microsoft.com/office/drawing/2014/main" id="{5619F6BF-4B57-41A8-A524-4A373BB0211D}"/>
            </a:ext>
          </a:extLst>
        </xdr:cNvPr>
        <xdr:cNvSpPr txBox="1"/>
      </xdr:nvSpPr>
      <xdr:spPr>
        <a:xfrm>
          <a:off x="12238932" y="4652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1047750</xdr:colOff>
      <xdr:row>273</xdr:row>
      <xdr:rowOff>147205</xdr:rowOff>
    </xdr:from>
    <xdr:ext cx="1448666" cy="578172"/>
    <xdr:sp macro="" textlink="">
      <xdr:nvSpPr>
        <xdr:cNvPr id="26" name="CasellaDiTesto 25">
          <a:extLst>
            <a:ext uri="{FF2B5EF4-FFF2-40B4-BE49-F238E27FC236}">
              <a16:creationId xmlns:a16="http://schemas.microsoft.com/office/drawing/2014/main" id="{094E4BE6-425C-4DA6-BC48-FD64F3684E55}"/>
            </a:ext>
          </a:extLst>
        </xdr:cNvPr>
        <xdr:cNvSpPr txBox="1"/>
      </xdr:nvSpPr>
      <xdr:spPr>
        <a:xfrm>
          <a:off x="1047750" y="5235182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0</xdr:col>
      <xdr:colOff>839932</xdr:colOff>
      <xdr:row>274</xdr:row>
      <xdr:rowOff>25977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asellaDiTesto 26">
              <a:extLst>
                <a:ext uri="{FF2B5EF4-FFF2-40B4-BE49-F238E27FC236}">
                  <a16:creationId xmlns:a16="http://schemas.microsoft.com/office/drawing/2014/main" id="{142794C7-64FD-4627-B602-93007D9860CA}"/>
                </a:ext>
              </a:extLst>
            </xdr:cNvPr>
            <xdr:cNvSpPr txBox="1"/>
          </xdr:nvSpPr>
          <xdr:spPr>
            <a:xfrm>
              <a:off x="839932" y="5242109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7" name="CasellaDiTesto 26">
              <a:extLst>
                <a:ext uri="{FF2B5EF4-FFF2-40B4-BE49-F238E27FC236}">
                  <a16:creationId xmlns:a16="http://schemas.microsoft.com/office/drawing/2014/main" id="{142794C7-64FD-4627-B602-93007D9860CA}"/>
                </a:ext>
              </a:extLst>
            </xdr:cNvPr>
            <xdr:cNvSpPr txBox="1"/>
          </xdr:nvSpPr>
          <xdr:spPr>
            <a:xfrm>
              <a:off x="839932" y="5242109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𝐶_𝑃 )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3</xdr:col>
      <xdr:colOff>92652</xdr:colOff>
      <xdr:row>290</xdr:row>
      <xdr:rowOff>114300</xdr:rowOff>
    </xdr:from>
    <xdr:ext cx="65" cy="172227"/>
    <xdr:sp macro="" textlink="">
      <xdr:nvSpPr>
        <xdr:cNvPr id="28" name="CasellaDiTesto 27">
          <a:extLst>
            <a:ext uri="{FF2B5EF4-FFF2-40B4-BE49-F238E27FC236}">
              <a16:creationId xmlns:a16="http://schemas.microsoft.com/office/drawing/2014/main" id="{470C3D58-353C-4FB4-8F7D-4E5F5F7FB414}"/>
            </a:ext>
          </a:extLst>
        </xdr:cNvPr>
        <xdr:cNvSpPr txBox="1"/>
      </xdr:nvSpPr>
      <xdr:spPr>
        <a:xfrm>
          <a:off x="4283652" y="5543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5</xdr:col>
      <xdr:colOff>112569</xdr:colOff>
      <xdr:row>278</xdr:row>
      <xdr:rowOff>77931</xdr:rowOff>
    </xdr:from>
    <xdr:to>
      <xdr:col>6</xdr:col>
      <xdr:colOff>207819</xdr:colOff>
      <xdr:row>290</xdr:row>
      <xdr:rowOff>0</xdr:rowOff>
    </xdr:to>
    <xdr:sp macro="" textlink="">
      <xdr:nvSpPr>
        <xdr:cNvPr id="29" name="CasellaDiTesto 28">
          <a:extLst>
            <a:ext uri="{FF2B5EF4-FFF2-40B4-BE49-F238E27FC236}">
              <a16:creationId xmlns:a16="http://schemas.microsoft.com/office/drawing/2014/main" id="{F549C17C-B083-4511-BDB8-F74C98A8CDFA}"/>
            </a:ext>
          </a:extLst>
        </xdr:cNvPr>
        <xdr:cNvSpPr txBox="1"/>
      </xdr:nvSpPr>
      <xdr:spPr>
        <a:xfrm>
          <a:off x="7359189" y="53204571"/>
          <a:ext cx="1428750" cy="211662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710046</xdr:colOff>
      <xdr:row>274</xdr:row>
      <xdr:rowOff>69272</xdr:rowOff>
    </xdr:from>
    <xdr:to>
      <xdr:col>5</xdr:col>
      <xdr:colOff>762000</xdr:colOff>
      <xdr:row>278</xdr:row>
      <xdr:rowOff>25976</xdr:rowOff>
    </xdr:to>
    <xdr:cxnSp macro="">
      <xdr:nvCxnSpPr>
        <xdr:cNvPr id="30" name="Connettore 2 29">
          <a:extLst>
            <a:ext uri="{FF2B5EF4-FFF2-40B4-BE49-F238E27FC236}">
              <a16:creationId xmlns:a16="http://schemas.microsoft.com/office/drawing/2014/main" id="{E328C451-5EC6-48C0-A7DF-71A0361E391B}"/>
            </a:ext>
          </a:extLst>
        </xdr:cNvPr>
        <xdr:cNvCxnSpPr/>
      </xdr:nvCxnSpPr>
      <xdr:spPr>
        <a:xfrm>
          <a:off x="7956666" y="52464392"/>
          <a:ext cx="51954" cy="6882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92652</xdr:colOff>
      <xdr:row>290</xdr:row>
      <xdr:rowOff>114300</xdr:rowOff>
    </xdr:from>
    <xdr:ext cx="65" cy="172227"/>
    <xdr:sp macro="" textlink="">
      <xdr:nvSpPr>
        <xdr:cNvPr id="31" name="CasellaDiTesto 30">
          <a:extLst>
            <a:ext uri="{FF2B5EF4-FFF2-40B4-BE49-F238E27FC236}">
              <a16:creationId xmlns:a16="http://schemas.microsoft.com/office/drawing/2014/main" id="{A884EEE3-9BDA-4374-8B29-DD3ED4FEECBF}"/>
            </a:ext>
          </a:extLst>
        </xdr:cNvPr>
        <xdr:cNvSpPr txBox="1"/>
      </xdr:nvSpPr>
      <xdr:spPr>
        <a:xfrm>
          <a:off x="12238932" y="5543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242455</xdr:colOff>
      <xdr:row>280</xdr:row>
      <xdr:rowOff>0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asellaDiTesto 31">
              <a:extLst>
                <a:ext uri="{FF2B5EF4-FFF2-40B4-BE49-F238E27FC236}">
                  <a16:creationId xmlns:a16="http://schemas.microsoft.com/office/drawing/2014/main" id="{65654E2E-78B0-4829-9232-5607BB661807}"/>
                </a:ext>
              </a:extLst>
            </xdr:cNvPr>
            <xdr:cNvSpPr txBox="1"/>
          </xdr:nvSpPr>
          <xdr:spPr>
            <a:xfrm>
              <a:off x="242455" y="53492400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acc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+</m:t>
                    </m:r>
                    <m:acc>
                      <m:accPr>
                        <m:chr m:val="̃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sub>
                        </m:sSub>
                      </m:e>
                    </m:acc>
                    <m:r>
                      <a:rPr lang="it-IT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32" name="CasellaDiTesto 31">
              <a:extLst>
                <a:ext uri="{FF2B5EF4-FFF2-40B4-BE49-F238E27FC236}">
                  <a16:creationId xmlns:a16="http://schemas.microsoft.com/office/drawing/2014/main" id="{65654E2E-78B0-4829-9232-5607BB661807}"/>
                </a:ext>
              </a:extLst>
            </xdr:cNvPr>
            <xdr:cNvSpPr txBox="1"/>
          </xdr:nvSpPr>
          <xdr:spPr>
            <a:xfrm>
              <a:off x="242455" y="53492400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𝐶_𝑃 ) ̃=𝑅+(𝐶_𝑉 ) ̃  </a:t>
              </a:r>
              <a:endParaRPr lang="it-IT" sz="1800"/>
            </a:p>
          </xdr:txBody>
        </xdr:sp>
      </mc:Fallback>
    </mc:AlternateContent>
    <xdr:clientData/>
  </xdr:oneCellAnchor>
  <xdr:twoCellAnchor>
    <xdr:from>
      <xdr:col>0</xdr:col>
      <xdr:colOff>0</xdr:colOff>
      <xdr:row>277</xdr:row>
      <xdr:rowOff>173182</xdr:rowOff>
    </xdr:from>
    <xdr:to>
      <xdr:col>0</xdr:col>
      <xdr:colOff>1982932</xdr:colOff>
      <xdr:row>279</xdr:row>
      <xdr:rowOff>147204</xdr:rowOff>
    </xdr:to>
    <xdr:sp macro="" textlink="">
      <xdr:nvSpPr>
        <xdr:cNvPr id="33" name="CasellaDiTesto 32">
          <a:extLst>
            <a:ext uri="{FF2B5EF4-FFF2-40B4-BE49-F238E27FC236}">
              <a16:creationId xmlns:a16="http://schemas.microsoft.com/office/drawing/2014/main" id="{BD1E450F-26FE-4514-8ABA-0F747B194B10}"/>
            </a:ext>
          </a:extLst>
        </xdr:cNvPr>
        <xdr:cNvSpPr txBox="1"/>
      </xdr:nvSpPr>
      <xdr:spPr>
        <a:xfrm>
          <a:off x="0" y="53116942"/>
          <a:ext cx="1982932" cy="339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from Mayer's</a:t>
          </a:r>
          <a:r>
            <a:rPr lang="it-IT" sz="1400" baseline="0"/>
            <a:t> relation:</a:t>
          </a:r>
          <a:endParaRPr lang="it-IT" sz="1400"/>
        </a:p>
      </xdr:txBody>
    </xdr:sp>
    <xdr:clientData/>
  </xdr:twoCellAnchor>
  <xdr:twoCellAnchor>
    <xdr:from>
      <xdr:col>0</xdr:col>
      <xdr:colOff>710046</xdr:colOff>
      <xdr:row>108</xdr:row>
      <xdr:rowOff>147204</xdr:rowOff>
    </xdr:from>
    <xdr:to>
      <xdr:col>2</xdr:col>
      <xdr:colOff>207819</xdr:colOff>
      <xdr:row>110</xdr:row>
      <xdr:rowOff>129886</xdr:rowOff>
    </xdr:to>
    <xdr:sp macro="" textlink="">
      <xdr:nvSpPr>
        <xdr:cNvPr id="34" name="CasellaDiTesto 33">
          <a:extLst>
            <a:ext uri="{FF2B5EF4-FFF2-40B4-BE49-F238E27FC236}">
              <a16:creationId xmlns:a16="http://schemas.microsoft.com/office/drawing/2014/main" id="{8DD7A189-7A60-41E4-A33A-9AAC1153E9E6}"/>
            </a:ext>
          </a:extLst>
        </xdr:cNvPr>
        <xdr:cNvSpPr txBox="1"/>
      </xdr:nvSpPr>
      <xdr:spPr>
        <a:xfrm>
          <a:off x="710046" y="20660244"/>
          <a:ext cx="2682933" cy="409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ho utilizzato però questa</a:t>
          </a:r>
          <a:r>
            <a:rPr lang="it-IT" sz="1100" baseline="0"/>
            <a:t> riscrittura:</a:t>
          </a:r>
          <a:endParaRPr lang="it-IT" sz="1100"/>
        </a:p>
      </xdr:txBody>
    </xdr:sp>
    <xdr:clientData/>
  </xdr:twoCellAnchor>
  <xdr:oneCellAnchor>
    <xdr:from>
      <xdr:col>0</xdr:col>
      <xdr:colOff>733423</xdr:colOff>
      <xdr:row>110</xdr:row>
      <xdr:rowOff>79664</xdr:rowOff>
    </xdr:from>
    <xdr:ext cx="2816804" cy="626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asellaDiTesto 34">
              <a:extLst>
                <a:ext uri="{FF2B5EF4-FFF2-40B4-BE49-F238E27FC236}">
                  <a16:creationId xmlns:a16="http://schemas.microsoft.com/office/drawing/2014/main" id="{6983F64C-0767-4167-9A48-D56434B5585F}"/>
                </a:ext>
              </a:extLst>
            </xdr:cNvPr>
            <xdr:cNvSpPr txBox="1"/>
          </xdr:nvSpPr>
          <xdr:spPr>
            <a:xfrm>
              <a:off x="733423" y="21019424"/>
              <a:ext cx="2816804" cy="626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Q</m:t>
                      </m:r>
                    </m:e>
                    <m:sub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rot</m:t>
                      </m:r>
                    </m:sub>
                    <m:sup>
                      <m: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3</m:t>
                      </m:r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D</m:t>
                      </m:r>
                    </m:sup>
                  </m:sSubSup>
                  <m:r>
                    <a:rPr lang="it-IT" sz="20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 </m:t>
                  </m:r>
                  <m:f>
                    <m:fPr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it-IT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sty m:val="p"/>
                            </m:rP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π</m:t>
                          </m:r>
                        </m:e>
                      </m:rad>
                    </m:num>
                    <m:den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σ</m:t>
                      </m:r>
                    </m:den>
                  </m:f>
                  <m:r>
                    <a:rPr lang="it-IT" sz="20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⋅</m:t>
                  </m:r>
                  <m:rad>
                    <m:radPr>
                      <m:degHide m:val="on"/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it-IT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T</m:t>
                              </m:r>
                            </m:e>
                            <m:sup>
                              <m: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3</m:t>
                              </m:r>
                            </m:sup>
                          </m:sSup>
                        </m:num>
                        <m:den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x</m:t>
                              </m:r>
                            </m:sub>
                          </m:sSub>
                          <m: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⋅</m:t>
                          </m:r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y</m:t>
                              </m:r>
                            </m:sub>
                          </m:sSub>
                          <m: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⋅</m:t>
                          </m:r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z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r>
                <a:rPr lang="it-IT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35" name="CasellaDiTesto 34">
              <a:extLst>
                <a:ext uri="{FF2B5EF4-FFF2-40B4-BE49-F238E27FC236}">
                  <a16:creationId xmlns:a16="http://schemas.microsoft.com/office/drawing/2014/main" id="{6983F64C-0767-4167-9A48-D56434B5585F}"/>
                </a:ext>
              </a:extLst>
            </xdr:cNvPr>
            <xdr:cNvSpPr txBox="1"/>
          </xdr:nvSpPr>
          <xdr:spPr>
            <a:xfrm>
              <a:off x="733423" y="21019424"/>
              <a:ext cx="2816804" cy="626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Q_rot^3D=  √π/σ⋅√(T^3/(θ_x⋅θ_y⋅θ_z ))</a:t>
              </a:r>
              <a:r>
                <a:rPr lang="it-IT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</a:p>
          </xdr:txBody>
        </xdr:sp>
      </mc:Fallback>
    </mc:AlternateContent>
    <xdr:clientData/>
  </xdr:oneCellAnchor>
  <xdr:twoCellAnchor>
    <xdr:from>
      <xdr:col>0</xdr:col>
      <xdr:colOff>666750</xdr:colOff>
      <xdr:row>115</xdr:row>
      <xdr:rowOff>34636</xdr:rowOff>
    </xdr:from>
    <xdr:to>
      <xdr:col>2</xdr:col>
      <xdr:colOff>112569</xdr:colOff>
      <xdr:row>119</xdr:row>
      <xdr:rowOff>95249</xdr:rowOff>
    </xdr:to>
    <xdr:sp macro="" textlink="">
      <xdr:nvSpPr>
        <xdr:cNvPr id="36" name="CasellaDiTesto 35">
          <a:extLst>
            <a:ext uri="{FF2B5EF4-FFF2-40B4-BE49-F238E27FC236}">
              <a16:creationId xmlns:a16="http://schemas.microsoft.com/office/drawing/2014/main" id="{DF3F1B34-B664-426E-A9D1-B5B005D8AC1A}"/>
            </a:ext>
          </a:extLst>
        </xdr:cNvPr>
        <xdr:cNvSpPr txBox="1"/>
      </xdr:nvSpPr>
      <xdr:spPr>
        <a:xfrm>
          <a:off x="666750" y="21896416"/>
          <a:ext cx="2630979" cy="792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dove le </a:t>
          </a:r>
          <a:r>
            <a:rPr lang="el-GR" sz="1100"/>
            <a:t>ϑ</a:t>
          </a:r>
          <a:r>
            <a:rPr lang="it-IT" sz="1100"/>
            <a:t> rappresentano le temperature rotazionali rispetto agli assi x, y e z</a:t>
          </a:r>
        </a:p>
      </xdr:txBody>
    </xdr:sp>
    <xdr:clientData/>
  </xdr:twoCellAnchor>
  <xdr:twoCellAnchor>
    <xdr:from>
      <xdr:col>2</xdr:col>
      <xdr:colOff>207818</xdr:colOff>
      <xdr:row>220</xdr:row>
      <xdr:rowOff>147205</xdr:rowOff>
    </xdr:from>
    <xdr:to>
      <xdr:col>3</xdr:col>
      <xdr:colOff>493568</xdr:colOff>
      <xdr:row>222</xdr:row>
      <xdr:rowOff>60614</xdr:rowOff>
    </xdr:to>
    <xdr:sp macro="" textlink="">
      <xdr:nvSpPr>
        <xdr:cNvPr id="38" name="CasellaDiTesto 37">
          <a:extLst>
            <a:ext uri="{FF2B5EF4-FFF2-40B4-BE49-F238E27FC236}">
              <a16:creationId xmlns:a16="http://schemas.microsoft.com/office/drawing/2014/main" id="{1ADD5A96-B263-434B-AA50-C53997AE367D}"/>
            </a:ext>
          </a:extLst>
        </xdr:cNvPr>
        <xdr:cNvSpPr txBox="1"/>
      </xdr:nvSpPr>
      <xdr:spPr>
        <a:xfrm>
          <a:off x="3392978" y="42407725"/>
          <a:ext cx="1291590" cy="2791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for S_trasl</a:t>
          </a:r>
          <a:r>
            <a:rPr lang="it-IT" sz="1100" baseline="0"/>
            <a:t> : </a:t>
          </a:r>
          <a:endParaRPr lang="it-IT" sz="1100"/>
        </a:p>
      </xdr:txBody>
    </xdr:sp>
    <xdr:clientData/>
  </xdr:twoCellAnchor>
  <xdr:twoCellAnchor editAs="oneCell">
    <xdr:from>
      <xdr:col>3</xdr:col>
      <xdr:colOff>43297</xdr:colOff>
      <xdr:row>220</xdr:row>
      <xdr:rowOff>17320</xdr:rowOff>
    </xdr:from>
    <xdr:to>
      <xdr:col>3</xdr:col>
      <xdr:colOff>1853047</xdr:colOff>
      <xdr:row>222</xdr:row>
      <xdr:rowOff>83556</xdr:rowOff>
    </xdr:to>
    <xdr:pic>
      <xdr:nvPicPr>
        <xdr:cNvPr id="39" name="Immagine 38">
          <a:extLst>
            <a:ext uri="{FF2B5EF4-FFF2-40B4-BE49-F238E27FC236}">
              <a16:creationId xmlns:a16="http://schemas.microsoft.com/office/drawing/2014/main" id="{5B51496E-30E6-4997-83D8-BFA4DBFD2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4297" y="42277840"/>
          <a:ext cx="1809750" cy="431996"/>
        </a:xfrm>
        <a:prstGeom prst="rect">
          <a:avLst/>
        </a:prstGeom>
      </xdr:spPr>
    </xdr:pic>
    <xdr:clientData/>
  </xdr:twoCellAnchor>
  <xdr:oneCellAnchor>
    <xdr:from>
      <xdr:col>0</xdr:col>
      <xdr:colOff>450271</xdr:colOff>
      <xdr:row>63</xdr:row>
      <xdr:rowOff>17317</xdr:rowOff>
    </xdr:from>
    <xdr:ext cx="2764849" cy="10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asellaDiTesto 39">
              <a:extLst>
                <a:ext uri="{FF2B5EF4-FFF2-40B4-BE49-F238E27FC236}">
                  <a16:creationId xmlns:a16="http://schemas.microsoft.com/office/drawing/2014/main" id="{E4B47DD2-2229-444B-A267-F79E46E4202F}"/>
                </a:ext>
              </a:extLst>
            </xdr:cNvPr>
            <xdr:cNvSpPr txBox="1"/>
          </xdr:nvSpPr>
          <xdr:spPr>
            <a:xfrm>
              <a:off x="450271" y="11988337"/>
              <a:ext cx="2764849" cy="10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vib</m:t>
                        </m:r>
                      </m:sub>
                    </m:sSub>
                    <m:r>
                      <a:rPr lang="it-IT" sz="1800" b="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∏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𝑣𝑖𝑏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it-IT" sz="1800" b="0" i="0">
                                <a:latin typeface="Cambria Math" panose="02040503050406030204" pitchFamily="18" charset="0"/>
                              </a:rPr>
                              <m:t>exp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⁡(−</m:t>
                            </m:r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it-IT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den>
                            </m:f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 )</m:t>
                            </m:r>
                          </m:num>
                          <m:den>
                            <m:r>
                              <a:rPr lang="it-IT" sz="1800" b="0" i="0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m:rPr>
                                <m:sty m:val="p"/>
                              </m:rPr>
                              <a:rPr lang="it-IT" sz="1800" b="0" i="0">
                                <a:latin typeface="Cambria Math" panose="02040503050406030204" pitchFamily="18" charset="0"/>
                              </a:rPr>
                              <m:t>exp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⁡(−</m:t>
                            </m:r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den>
                            </m:f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40" name="CasellaDiTesto 39">
              <a:extLst>
                <a:ext uri="{FF2B5EF4-FFF2-40B4-BE49-F238E27FC236}">
                  <a16:creationId xmlns:a16="http://schemas.microsoft.com/office/drawing/2014/main" id="{E4B47DD2-2229-444B-A267-F79E46E4202F}"/>
                </a:ext>
              </a:extLst>
            </xdr:cNvPr>
            <xdr:cNvSpPr txBox="1"/>
          </xdr:nvSpPr>
          <xdr:spPr>
            <a:xfrm>
              <a:off x="450271" y="11988337"/>
              <a:ext cx="2764849" cy="10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Q_vib=∏_(𝑖=1)^(𝑁_𝑣𝑖𝑏)▒(exp⁡(−(ℎ𝜈_𝑖)/(</a:t>
              </a:r>
              <a:r>
                <a:rPr lang="it-IT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〖2𝑘〗_𝐵 𝑇) </a:t>
              </a:r>
              <a:r>
                <a:rPr lang="it-IT" sz="1800" b="0" i="0">
                  <a:latin typeface="Cambria Math" panose="02040503050406030204" pitchFamily="18" charset="0"/>
                </a:rPr>
                <a:t> ))/(1−exp⁡(−(ℎ𝜈_𝑖)/(𝑘_𝐵 𝑇)))</a:t>
              </a:r>
              <a:endParaRPr lang="it-IT" sz="1800"/>
            </a:p>
          </xdr:txBody>
        </xdr:sp>
      </mc:Fallback>
    </mc:AlternateContent>
    <xdr:clientData/>
  </xdr:oneCellAnchor>
  <xdr:twoCellAnchor editAs="oneCell">
    <xdr:from>
      <xdr:col>8</xdr:col>
      <xdr:colOff>229704</xdr:colOff>
      <xdr:row>7</xdr:row>
      <xdr:rowOff>83820</xdr:rowOff>
    </xdr:from>
    <xdr:to>
      <xdr:col>10</xdr:col>
      <xdr:colOff>967740</xdr:colOff>
      <xdr:row>19</xdr:row>
      <xdr:rowOff>52859</xdr:rowOff>
    </xdr:to>
    <xdr:pic>
      <xdr:nvPicPr>
        <xdr:cNvPr id="41" name="Immagine 40">
          <a:extLst>
            <a:ext uri="{FF2B5EF4-FFF2-40B4-BE49-F238E27FC236}">
              <a16:creationId xmlns:a16="http://schemas.microsoft.com/office/drawing/2014/main" id="{DCD5DD74-76D8-CDC3-7ED6-EC1C8178F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25364" y="1455420"/>
          <a:ext cx="3283116" cy="23845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352424</xdr:colOff>
      <xdr:row>84</xdr:row>
      <xdr:rowOff>19049</xdr:rowOff>
    </xdr:from>
    <xdr:ext cx="3379644" cy="688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1EE41B7-A00E-4ED7-9784-BBF2DF933510}"/>
                </a:ext>
              </a:extLst>
            </xdr:cNvPr>
            <xdr:cNvSpPr txBox="1"/>
          </xdr:nvSpPr>
          <xdr:spPr>
            <a:xfrm>
              <a:off x="352424" y="16066769"/>
              <a:ext cx="3379644" cy="688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𝑡𝑟𝑎𝑠𝑙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𝜋</m:t>
                                </m:r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h</m:t>
                                    </m:r>
                                  </m:e>
                                  <m:sup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3/2</m:t>
                        </m:r>
                      </m:sup>
                    </m:sSup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1EE41B7-A00E-4ED7-9784-BBF2DF933510}"/>
                </a:ext>
              </a:extLst>
            </xdr:cNvPr>
            <xdr:cNvSpPr txBox="1"/>
          </xdr:nvSpPr>
          <xdr:spPr>
            <a:xfrm>
              <a:off x="352424" y="16066769"/>
              <a:ext cx="3379644" cy="688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𝑄_𝑡𝑟𝑎𝑠𝑙=((2𝜋𝑚𝑘_𝐵 𝑇)/ℎ^2 )^(3/2)⋅(𝑘_𝐵 𝑇)/𝑃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127289</xdr:colOff>
      <xdr:row>103</xdr:row>
      <xdr:rowOff>157596</xdr:rowOff>
    </xdr:from>
    <xdr:ext cx="4141643" cy="5943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54187CC-80E9-40B4-B519-AC3DCD4428C8}"/>
                </a:ext>
              </a:extLst>
            </xdr:cNvPr>
            <xdr:cNvSpPr txBox="1"/>
          </xdr:nvSpPr>
          <xdr:spPr>
            <a:xfrm>
              <a:off x="127289" y="19702896"/>
              <a:ext cx="4141643" cy="594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𝑟𝑜𝑡</m:t>
                        </m:r>
                      </m:sub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𝐷</m:t>
                        </m:r>
                      </m:sup>
                    </m:sSubSup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8</m:t>
                        </m:r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(2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3/2</m:t>
                            </m:r>
                          </m:sup>
                        </m:sSup>
                        <m:rad>
                          <m:radPr>
                            <m:degHide m:val="on"/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𝐼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sub>
                            </m:sSub>
                          </m:e>
                        </m:rad>
                      </m:num>
                      <m:den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𝜎</m:t>
                        </m:r>
                        <m:sSup>
                          <m:sSup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  <m:sup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54187CC-80E9-40B4-B519-AC3DCD4428C8}"/>
                </a:ext>
              </a:extLst>
            </xdr:cNvPr>
            <xdr:cNvSpPr txBox="1"/>
          </xdr:nvSpPr>
          <xdr:spPr>
            <a:xfrm>
              <a:off x="127289" y="19702896"/>
              <a:ext cx="4141643" cy="594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𝑄_𝑟𝑜𝑡^3𝐷=(8𝜋^2 〖(2𝜋𝑘〗_𝐵 〖𝑇)〗^(3/2) √(𝐼_𝑥 𝐼_𝑦 𝐼_𝑧 ))/(𝜎ℎ^3 )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126</xdr:row>
      <xdr:rowOff>0</xdr:rowOff>
    </xdr:from>
    <xdr:ext cx="4141643" cy="452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717E03CC-C4D7-429A-84CE-1CBF46DC1FE4}"/>
                </a:ext>
              </a:extLst>
            </xdr:cNvPr>
            <xdr:cNvSpPr txBox="1"/>
          </xdr:nvSpPr>
          <xdr:spPr>
            <a:xfrm>
              <a:off x="0" y="23888700"/>
              <a:ext cx="414164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⋅</m:t>
                    </m:r>
                    <m:sSup>
                      <m:s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𝑒𝑙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sub>
                            </m:s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717E03CC-C4D7-429A-84CE-1CBF46DC1FE4}"/>
                </a:ext>
              </a:extLst>
            </xdr:cNvPr>
            <xdr:cNvSpPr txBox="1"/>
          </xdr:nvSpPr>
          <xdr:spPr>
            <a:xfrm>
              <a:off x="0" y="23888700"/>
              <a:ext cx="4141643" cy="452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Q_el=𝑔_𝑒𝑙⋅𝑒^(−𝐸_𝑒𝑙/(𝑘_𝐵 𝑇))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216478</xdr:colOff>
      <xdr:row>153</xdr:row>
      <xdr:rowOff>114298</xdr:rowOff>
    </xdr:from>
    <xdr:ext cx="3717348" cy="575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3F0AEBC-3143-4A87-8DB9-0EF30FACA3D4}"/>
                </a:ext>
              </a:extLst>
            </xdr:cNvPr>
            <xdr:cNvSpPr txBox="1"/>
          </xdr:nvSpPr>
          <xdr:spPr>
            <a:xfrm>
              <a:off x="216478" y="29443678"/>
              <a:ext cx="3717348" cy="575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800" b="0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𝑡𝑟𝑎𝑠𝑙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Sup>
                      <m:sSubSup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𝑟𝑜𝑡</m:t>
                        </m:r>
                      </m:sub>
                      <m:sup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𝐷</m:t>
                        </m:r>
                      </m:sup>
                    </m:sSubSup>
                    <m:r>
                      <a:rPr lang="it-IT" sz="1800" b="0" i="1">
                        <a:latin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𝑣𝑖𝑏</m:t>
                        </m:r>
                      </m:sub>
                    </m:sSub>
                  </m:oMath>
                </m:oMathPara>
              </a14:m>
              <a:endParaRPr lang="it-IT" sz="1800" b="0"/>
            </a:p>
            <a:p>
              <a:endParaRPr lang="it-IT" sz="18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3F0AEBC-3143-4A87-8DB9-0EF30FACA3D4}"/>
                </a:ext>
              </a:extLst>
            </xdr:cNvPr>
            <xdr:cNvSpPr txBox="1"/>
          </xdr:nvSpPr>
          <xdr:spPr>
            <a:xfrm>
              <a:off x="216478" y="29443678"/>
              <a:ext cx="3717348" cy="575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𝑄=𝑄_𝑡𝑟𝑎𝑠𝑙×𝑄_𝑒𝑙×𝑄_𝑟𝑜𝑡^3𝐷×𝑄_𝑣𝑖𝑏</a:t>
              </a:r>
              <a:endParaRPr lang="it-IT" sz="1800" b="0"/>
            </a:p>
            <a:p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0</xdr:colOff>
      <xdr:row>140</xdr:row>
      <xdr:rowOff>0</xdr:rowOff>
    </xdr:from>
    <xdr:ext cx="4141643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1DC795A6-9176-4DD0-B422-59448AA83294}"/>
                </a:ext>
              </a:extLst>
            </xdr:cNvPr>
            <xdr:cNvSpPr txBox="1"/>
          </xdr:nvSpPr>
          <xdr:spPr>
            <a:xfrm>
              <a:off x="0" y="26753820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1DC795A6-9176-4DD0-B422-59448AA83294}"/>
                </a:ext>
              </a:extLst>
            </xdr:cNvPr>
            <xdr:cNvSpPr txBox="1"/>
          </xdr:nvSpPr>
          <xdr:spPr>
            <a:xfrm>
              <a:off x="0" y="26753820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Q_el=𝑔_𝑒𝑙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141</xdr:row>
      <xdr:rowOff>138545</xdr:rowOff>
    </xdr:from>
    <xdr:ext cx="4141643" cy="2843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D5FAB4C3-E5CE-4F4B-8A47-B5BECD9E9923}"/>
                </a:ext>
              </a:extLst>
            </xdr:cNvPr>
            <xdr:cNvSpPr txBox="1"/>
          </xdr:nvSpPr>
          <xdr:spPr>
            <a:xfrm>
              <a:off x="0" y="27090485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el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D5FAB4C3-E5CE-4F4B-8A47-B5BECD9E9923}"/>
                </a:ext>
              </a:extLst>
            </xdr:cNvPr>
            <xdr:cNvSpPr txBox="1"/>
          </xdr:nvSpPr>
          <xdr:spPr>
            <a:xfrm>
              <a:off x="0" y="27090485"/>
              <a:ext cx="4141643" cy="2843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Q_el=2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0</xdr:col>
      <xdr:colOff>993198</xdr:colOff>
      <xdr:row>175</xdr:row>
      <xdr:rowOff>140278</xdr:rowOff>
    </xdr:from>
    <xdr:ext cx="1448666" cy="297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7E4291FD-A183-4E62-85CB-CE96A4442730}"/>
                </a:ext>
              </a:extLst>
            </xdr:cNvPr>
            <xdr:cNvSpPr txBox="1"/>
          </xdr:nvSpPr>
          <xdr:spPr>
            <a:xfrm>
              <a:off x="993198" y="33851158"/>
              <a:ext cx="1448666" cy="297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7E4291FD-A183-4E62-85CB-CE96A4442730}"/>
                </a:ext>
              </a:extLst>
            </xdr:cNvPr>
            <xdr:cNvSpPr txBox="1"/>
          </xdr:nvSpPr>
          <xdr:spPr>
            <a:xfrm>
              <a:off x="993198" y="33851158"/>
              <a:ext cx="1448666" cy="297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𝑈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0</xdr:col>
      <xdr:colOff>857250</xdr:colOff>
      <xdr:row>201</xdr:row>
      <xdr:rowOff>173182</xdr:rowOff>
    </xdr:from>
    <xdr:ext cx="1448666" cy="2964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F333816A-5436-4B6C-820B-74D80315E3AD}"/>
                </a:ext>
              </a:extLst>
            </xdr:cNvPr>
            <xdr:cNvSpPr txBox="1"/>
          </xdr:nvSpPr>
          <xdr:spPr>
            <a:xfrm>
              <a:off x="857250" y="38837062"/>
              <a:ext cx="1448666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F333816A-5436-4B6C-820B-74D80315E3AD}"/>
                </a:ext>
              </a:extLst>
            </xdr:cNvPr>
            <xdr:cNvSpPr txBox="1"/>
          </xdr:nvSpPr>
          <xdr:spPr>
            <a:xfrm>
              <a:off x="857250" y="38837062"/>
              <a:ext cx="1448666" cy="2964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𝑆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4</xdr:col>
      <xdr:colOff>92652</xdr:colOff>
      <xdr:row>218</xdr:row>
      <xdr:rowOff>114300</xdr:rowOff>
    </xdr:from>
    <xdr:ext cx="65" cy="172227"/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B2D12D15-4F16-4138-9D7F-8ECC6A86922A}"/>
            </a:ext>
          </a:extLst>
        </xdr:cNvPr>
        <xdr:cNvSpPr txBox="1"/>
      </xdr:nvSpPr>
      <xdr:spPr>
        <a:xfrm>
          <a:off x="6333432" y="42001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1047750</xdr:colOff>
      <xdr:row>225</xdr:row>
      <xdr:rowOff>147205</xdr:rowOff>
    </xdr:from>
    <xdr:ext cx="1448666" cy="578172"/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39ED92C2-B8C6-42F0-8B81-AAC1CF440926}"/>
            </a:ext>
          </a:extLst>
        </xdr:cNvPr>
        <xdr:cNvSpPr txBox="1"/>
      </xdr:nvSpPr>
      <xdr:spPr>
        <a:xfrm>
          <a:off x="1047750" y="4337546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0</xdr:col>
      <xdr:colOff>839932</xdr:colOff>
      <xdr:row>226</xdr:row>
      <xdr:rowOff>25977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D3D63808-9D8F-494B-A22D-AB88272AF9B2}"/>
                </a:ext>
              </a:extLst>
            </xdr:cNvPr>
            <xdr:cNvSpPr txBox="1"/>
          </xdr:nvSpPr>
          <xdr:spPr>
            <a:xfrm>
              <a:off x="839932" y="4344473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12" name="CasellaDiTesto 11">
              <a:extLst>
                <a:ext uri="{FF2B5EF4-FFF2-40B4-BE49-F238E27FC236}">
                  <a16:creationId xmlns:a16="http://schemas.microsoft.com/office/drawing/2014/main" id="{D3D63808-9D8F-494B-A22D-AB88272AF9B2}"/>
                </a:ext>
              </a:extLst>
            </xdr:cNvPr>
            <xdr:cNvSpPr txBox="1"/>
          </xdr:nvSpPr>
          <xdr:spPr>
            <a:xfrm>
              <a:off x="839932" y="4344473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𝐶_𝑉 )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3</xdr:col>
      <xdr:colOff>92652</xdr:colOff>
      <xdr:row>242</xdr:row>
      <xdr:rowOff>114300</xdr:rowOff>
    </xdr:from>
    <xdr:ext cx="65" cy="172227"/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BCB82D57-E7A5-47FA-8F4B-29826B496576}"/>
            </a:ext>
          </a:extLst>
        </xdr:cNvPr>
        <xdr:cNvSpPr txBox="1"/>
      </xdr:nvSpPr>
      <xdr:spPr>
        <a:xfrm>
          <a:off x="4283652" y="4652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5</xdr:col>
      <xdr:colOff>1235651</xdr:colOff>
      <xdr:row>196</xdr:row>
      <xdr:rowOff>71005</xdr:rowOff>
    </xdr:from>
    <xdr:ext cx="2184689" cy="4383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D38E3A8C-6C39-48C4-86A6-CF072611BEBD}"/>
                </a:ext>
              </a:extLst>
            </xdr:cNvPr>
            <xdr:cNvSpPr txBox="1"/>
          </xdr:nvSpPr>
          <xdr:spPr>
            <a:xfrm>
              <a:off x="8482271" y="37721425"/>
              <a:ext cx="2184689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it-IT" sz="1400" b="0" i="1">
                      <a:latin typeface="Cambria Math" panose="02040503050406030204" pitchFamily="18" charset="0"/>
                    </a:rPr>
                    <m:t>𝐼</m:t>
                  </m:r>
                  <m:r>
                    <a:rPr lang="it-IT" sz="14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it-IT" sz="14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r>
                        <a:rPr lang="it-IT" sz="14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r>
                        <a:rPr lang="it-IT" sz="14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it-IT" sz="14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𝐼</m:t>
                          </m:r>
                        </m:e>
                        <m:sub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𝑧</m:t>
                          </m:r>
                        </m:sub>
                        <m:sup>
                          <m:r>
                            <a:rPr lang="it-IT" sz="14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</m:e>
                  </m:rad>
                </m:oMath>
              </a14:m>
              <a:r>
                <a:rPr lang="it-IT" sz="1400"/>
                <a:t> =</a:t>
              </a:r>
            </a:p>
          </xdr:txBody>
        </xdr:sp>
      </mc:Choice>
      <mc:Fallback xmlns="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D38E3A8C-6C39-48C4-86A6-CF072611BEBD}"/>
                </a:ext>
              </a:extLst>
            </xdr:cNvPr>
            <xdr:cNvSpPr txBox="1"/>
          </xdr:nvSpPr>
          <xdr:spPr>
            <a:xfrm>
              <a:off x="8482271" y="37721425"/>
              <a:ext cx="2184689" cy="4383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0" i="0">
                  <a:latin typeface="Cambria Math" panose="02040503050406030204" pitchFamily="18" charset="0"/>
                </a:rPr>
                <a:t>𝐼=√(𝐼_𝑥^2+𝐼_𝑦^2+𝐼_𝑧^2 )</a:t>
              </a:r>
              <a:r>
                <a:rPr lang="it-IT" sz="1400"/>
                <a:t> =</a:t>
              </a:r>
            </a:p>
          </xdr:txBody>
        </xdr:sp>
      </mc:Fallback>
    </mc:AlternateContent>
    <xdr:clientData/>
  </xdr:oneCellAnchor>
  <xdr:oneCellAnchor>
    <xdr:from>
      <xdr:col>3</xdr:col>
      <xdr:colOff>92652</xdr:colOff>
      <xdr:row>265</xdr:row>
      <xdr:rowOff>114300</xdr:rowOff>
    </xdr:from>
    <xdr:ext cx="65" cy="172227"/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A14728EF-6B24-4BC0-B670-BF1F8162583D}"/>
            </a:ext>
          </a:extLst>
        </xdr:cNvPr>
        <xdr:cNvSpPr txBox="1"/>
      </xdr:nvSpPr>
      <xdr:spPr>
        <a:xfrm>
          <a:off x="4283652" y="50794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9</xdr:col>
      <xdr:colOff>92652</xdr:colOff>
      <xdr:row>218</xdr:row>
      <xdr:rowOff>114300</xdr:rowOff>
    </xdr:from>
    <xdr:ext cx="65" cy="172227"/>
    <xdr:sp macro="" textlink="">
      <xdr:nvSpPr>
        <xdr:cNvPr id="18" name="CasellaDiTesto 17">
          <a:extLst>
            <a:ext uri="{FF2B5EF4-FFF2-40B4-BE49-F238E27FC236}">
              <a16:creationId xmlns:a16="http://schemas.microsoft.com/office/drawing/2014/main" id="{142451D9-6BD5-4A99-9142-E3AFA783ABBC}"/>
            </a:ext>
          </a:extLst>
        </xdr:cNvPr>
        <xdr:cNvSpPr txBox="1"/>
      </xdr:nvSpPr>
      <xdr:spPr>
        <a:xfrm>
          <a:off x="12238932" y="42001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144605</xdr:colOff>
      <xdr:row>138</xdr:row>
      <xdr:rowOff>140276</xdr:rowOff>
    </xdr:from>
    <xdr:ext cx="1791131" cy="252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sellaDiTesto 18">
              <a:extLst>
                <a:ext uri="{FF2B5EF4-FFF2-40B4-BE49-F238E27FC236}">
                  <a16:creationId xmlns:a16="http://schemas.microsoft.com/office/drawing/2014/main" id="{732DCA66-6A58-4B93-A91E-570D7549247B}"/>
                </a:ext>
              </a:extLst>
            </xdr:cNvPr>
            <xdr:cNvSpPr txBox="1"/>
          </xdr:nvSpPr>
          <xdr:spPr>
            <a:xfrm>
              <a:off x="144605" y="26497856"/>
              <a:ext cx="179113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600" b="0" i="1">
                        <a:latin typeface="Cambria Math" panose="02040503050406030204" pitchFamily="18" charset="0"/>
                      </a:rPr>
                      <m:t>𝑠𝑖𝑐𝑐𝑜𝑚𝑒</m:t>
                    </m:r>
                    <m:r>
                      <a:rPr lang="it-IT" sz="16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𝑒𝑙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≫</m:t>
                    </m:r>
                    <m:sSub>
                      <m:sSubPr>
                        <m:ctrlPr>
                          <a:rPr lang="it-IT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it-IT" sz="16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it-IT" sz="16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it-IT" sz="16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19" name="CasellaDiTesto 18">
              <a:extLst>
                <a:ext uri="{FF2B5EF4-FFF2-40B4-BE49-F238E27FC236}">
                  <a16:creationId xmlns:a16="http://schemas.microsoft.com/office/drawing/2014/main" id="{732DCA66-6A58-4B93-A91E-570D7549247B}"/>
                </a:ext>
              </a:extLst>
            </xdr:cNvPr>
            <xdr:cNvSpPr txBox="1"/>
          </xdr:nvSpPr>
          <xdr:spPr>
            <a:xfrm>
              <a:off x="144605" y="26497856"/>
              <a:ext cx="1791131" cy="252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600" b="0" i="0">
                  <a:latin typeface="Cambria Math" panose="02040503050406030204" pitchFamily="18" charset="0"/>
                </a:rPr>
                <a:t>𝑠𝑖𝑐𝑐𝑜𝑚𝑒 𝐸_𝑒𝑙≫𝐾_𝑏 𝑇: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5</xdr:col>
      <xdr:colOff>251112</xdr:colOff>
      <xdr:row>178</xdr:row>
      <xdr:rowOff>60614</xdr:rowOff>
    </xdr:from>
    <xdr:to>
      <xdr:col>6</xdr:col>
      <xdr:colOff>588817</xdr:colOff>
      <xdr:row>188</xdr:row>
      <xdr:rowOff>8659</xdr:rowOff>
    </xdr:to>
    <xdr:sp macro="" textlink="">
      <xdr:nvSpPr>
        <xdr:cNvPr id="20" name="CasellaDiTesto 19">
          <a:extLst>
            <a:ext uri="{FF2B5EF4-FFF2-40B4-BE49-F238E27FC236}">
              <a16:creationId xmlns:a16="http://schemas.microsoft.com/office/drawing/2014/main" id="{7B9F2B3B-3255-4863-A8F1-75980A61D0F5}"/>
            </a:ext>
          </a:extLst>
        </xdr:cNvPr>
        <xdr:cNvSpPr txBox="1"/>
      </xdr:nvSpPr>
      <xdr:spPr>
        <a:xfrm>
          <a:off x="7497732" y="34381094"/>
          <a:ext cx="1671205" cy="17920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112569</xdr:colOff>
      <xdr:row>230</xdr:row>
      <xdr:rowOff>77931</xdr:rowOff>
    </xdr:from>
    <xdr:to>
      <xdr:col>6</xdr:col>
      <xdr:colOff>207819</xdr:colOff>
      <xdr:row>242</xdr:row>
      <xdr:rowOff>0</xdr:rowOff>
    </xdr:to>
    <xdr:sp macro="" textlink="">
      <xdr:nvSpPr>
        <xdr:cNvPr id="21" name="CasellaDiTesto 20">
          <a:extLst>
            <a:ext uri="{FF2B5EF4-FFF2-40B4-BE49-F238E27FC236}">
              <a16:creationId xmlns:a16="http://schemas.microsoft.com/office/drawing/2014/main" id="{FAF74BF4-FBF9-4CBE-9448-914AAD247C83}"/>
            </a:ext>
          </a:extLst>
        </xdr:cNvPr>
        <xdr:cNvSpPr txBox="1"/>
      </xdr:nvSpPr>
      <xdr:spPr>
        <a:xfrm>
          <a:off x="7359189" y="44281551"/>
          <a:ext cx="1428750" cy="212424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710046</xdr:colOff>
      <xdr:row>226</xdr:row>
      <xdr:rowOff>69272</xdr:rowOff>
    </xdr:from>
    <xdr:to>
      <xdr:col>5</xdr:col>
      <xdr:colOff>762000</xdr:colOff>
      <xdr:row>230</xdr:row>
      <xdr:rowOff>25976</xdr:rowOff>
    </xdr:to>
    <xdr:cxnSp macro="">
      <xdr:nvCxnSpPr>
        <xdr:cNvPr id="22" name="Connettore 2 21">
          <a:extLst>
            <a:ext uri="{FF2B5EF4-FFF2-40B4-BE49-F238E27FC236}">
              <a16:creationId xmlns:a16="http://schemas.microsoft.com/office/drawing/2014/main" id="{8534B250-07A9-4AD1-87BE-1A2C31A153BC}"/>
            </a:ext>
          </a:extLst>
        </xdr:cNvPr>
        <xdr:cNvCxnSpPr/>
      </xdr:nvCxnSpPr>
      <xdr:spPr>
        <a:xfrm>
          <a:off x="7956666" y="43488032"/>
          <a:ext cx="51954" cy="74156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787977</xdr:colOff>
      <xdr:row>176</xdr:row>
      <xdr:rowOff>95250</xdr:rowOff>
    </xdr:from>
    <xdr:to>
      <xdr:col>5</xdr:col>
      <xdr:colOff>796636</xdr:colOff>
      <xdr:row>177</xdr:row>
      <xdr:rowOff>216477</xdr:rowOff>
    </xdr:to>
    <xdr:cxnSp macro="">
      <xdr:nvCxnSpPr>
        <xdr:cNvPr id="23" name="Connettore 2 22">
          <a:extLst>
            <a:ext uri="{FF2B5EF4-FFF2-40B4-BE49-F238E27FC236}">
              <a16:creationId xmlns:a16="http://schemas.microsoft.com/office/drawing/2014/main" id="{9BF947F4-4D0D-4EFC-B133-0F415419A59D}"/>
            </a:ext>
          </a:extLst>
        </xdr:cNvPr>
        <xdr:cNvCxnSpPr/>
      </xdr:nvCxnSpPr>
      <xdr:spPr>
        <a:xfrm>
          <a:off x="8034597" y="33996630"/>
          <a:ext cx="8659" cy="3041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943840</xdr:colOff>
      <xdr:row>198</xdr:row>
      <xdr:rowOff>34636</xdr:rowOff>
    </xdr:from>
    <xdr:ext cx="1220932" cy="3057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9ECDAE47-6CD2-4C38-B30C-A6BA00DA6B9D}"/>
                </a:ext>
              </a:extLst>
            </xdr:cNvPr>
            <xdr:cNvSpPr txBox="1"/>
          </xdr:nvSpPr>
          <xdr:spPr>
            <a:xfrm>
              <a:off x="2993620" y="38088916"/>
              <a:ext cx="1220932" cy="305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05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acc>
                    <m:r>
                      <a:rPr lang="it-IT" sz="105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05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05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05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it-IT" sz="105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𝑇</m:t>
                        </m:r>
                      </m:num>
                      <m:den>
                        <m:r>
                          <a:rPr lang="it-IT" sz="105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it-IT" sz="1050"/>
            </a:p>
          </xdr:txBody>
        </xdr:sp>
      </mc:Choice>
      <mc:Fallback xmlns=""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9ECDAE47-6CD2-4C38-B30C-A6BA00DA6B9D}"/>
                </a:ext>
              </a:extLst>
            </xdr:cNvPr>
            <xdr:cNvSpPr txBox="1"/>
          </xdr:nvSpPr>
          <xdr:spPr>
            <a:xfrm>
              <a:off x="2993620" y="38088916"/>
              <a:ext cx="1220932" cy="305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050" b="0" i="0">
                  <a:latin typeface="Cambria Math" panose="02040503050406030204" pitchFamily="18" charset="0"/>
                </a:rPr>
                <a:t>𝑉 ̃=(𝑘_𝐵 𝑇)/𝑃</a:t>
              </a:r>
              <a:endParaRPr lang="it-IT" sz="1050"/>
            </a:p>
          </xdr:txBody>
        </xdr:sp>
      </mc:Fallback>
    </mc:AlternateContent>
    <xdr:clientData/>
  </xdr:oneCellAnchor>
  <xdr:oneCellAnchor>
    <xdr:from>
      <xdr:col>9</xdr:col>
      <xdr:colOff>92652</xdr:colOff>
      <xdr:row>242</xdr:row>
      <xdr:rowOff>114300</xdr:rowOff>
    </xdr:from>
    <xdr:ext cx="65" cy="172227"/>
    <xdr:sp macro="" textlink="">
      <xdr:nvSpPr>
        <xdr:cNvPr id="25" name="CasellaDiTesto 24">
          <a:extLst>
            <a:ext uri="{FF2B5EF4-FFF2-40B4-BE49-F238E27FC236}">
              <a16:creationId xmlns:a16="http://schemas.microsoft.com/office/drawing/2014/main" id="{73BFB37C-FB3C-4535-8A10-11585522AB01}"/>
            </a:ext>
          </a:extLst>
        </xdr:cNvPr>
        <xdr:cNvSpPr txBox="1"/>
      </xdr:nvSpPr>
      <xdr:spPr>
        <a:xfrm>
          <a:off x="12238932" y="4652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1047750</xdr:colOff>
      <xdr:row>273</xdr:row>
      <xdr:rowOff>147205</xdr:rowOff>
    </xdr:from>
    <xdr:ext cx="1448666" cy="578172"/>
    <xdr:sp macro="" textlink="">
      <xdr:nvSpPr>
        <xdr:cNvPr id="26" name="CasellaDiTesto 25">
          <a:extLst>
            <a:ext uri="{FF2B5EF4-FFF2-40B4-BE49-F238E27FC236}">
              <a16:creationId xmlns:a16="http://schemas.microsoft.com/office/drawing/2014/main" id="{C3E5A415-0A2A-4E76-B786-6072343545FE}"/>
            </a:ext>
          </a:extLst>
        </xdr:cNvPr>
        <xdr:cNvSpPr txBox="1"/>
      </xdr:nvSpPr>
      <xdr:spPr>
        <a:xfrm>
          <a:off x="1047750" y="52351825"/>
          <a:ext cx="1448666" cy="5781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t-IT" sz="1800" b="0"/>
        </a:p>
        <a:p>
          <a:endParaRPr lang="it-IT" sz="1800"/>
        </a:p>
      </xdr:txBody>
    </xdr:sp>
    <xdr:clientData/>
  </xdr:oneCellAnchor>
  <xdr:oneCellAnchor>
    <xdr:from>
      <xdr:col>0</xdr:col>
      <xdr:colOff>839932</xdr:colOff>
      <xdr:row>274</xdr:row>
      <xdr:rowOff>25977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asellaDiTesto 26">
              <a:extLst>
                <a:ext uri="{FF2B5EF4-FFF2-40B4-BE49-F238E27FC236}">
                  <a16:creationId xmlns:a16="http://schemas.microsoft.com/office/drawing/2014/main" id="{2AE6CE2E-3497-400A-98C9-267AE146068D}"/>
                </a:ext>
              </a:extLst>
            </xdr:cNvPr>
            <xdr:cNvSpPr txBox="1"/>
          </xdr:nvSpPr>
          <xdr:spPr>
            <a:xfrm>
              <a:off x="839932" y="5242109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27" name="CasellaDiTesto 26">
              <a:extLst>
                <a:ext uri="{FF2B5EF4-FFF2-40B4-BE49-F238E27FC236}">
                  <a16:creationId xmlns:a16="http://schemas.microsoft.com/office/drawing/2014/main" id="{2AE6CE2E-3497-400A-98C9-267AE146068D}"/>
                </a:ext>
              </a:extLst>
            </xdr:cNvPr>
            <xdr:cNvSpPr txBox="1"/>
          </xdr:nvSpPr>
          <xdr:spPr>
            <a:xfrm>
              <a:off x="839932" y="52421097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𝐶_𝑃 ) ̃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3</xdr:col>
      <xdr:colOff>92652</xdr:colOff>
      <xdr:row>290</xdr:row>
      <xdr:rowOff>114300</xdr:rowOff>
    </xdr:from>
    <xdr:ext cx="65" cy="172227"/>
    <xdr:sp macro="" textlink="">
      <xdr:nvSpPr>
        <xdr:cNvPr id="28" name="CasellaDiTesto 27">
          <a:extLst>
            <a:ext uri="{FF2B5EF4-FFF2-40B4-BE49-F238E27FC236}">
              <a16:creationId xmlns:a16="http://schemas.microsoft.com/office/drawing/2014/main" id="{6FB56206-99A2-4859-B1BA-96A476B42A21}"/>
            </a:ext>
          </a:extLst>
        </xdr:cNvPr>
        <xdr:cNvSpPr txBox="1"/>
      </xdr:nvSpPr>
      <xdr:spPr>
        <a:xfrm>
          <a:off x="4283652" y="5543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5</xdr:col>
      <xdr:colOff>112569</xdr:colOff>
      <xdr:row>278</xdr:row>
      <xdr:rowOff>77931</xdr:rowOff>
    </xdr:from>
    <xdr:to>
      <xdr:col>6</xdr:col>
      <xdr:colOff>207819</xdr:colOff>
      <xdr:row>290</xdr:row>
      <xdr:rowOff>0</xdr:rowOff>
    </xdr:to>
    <xdr:sp macro="" textlink="">
      <xdr:nvSpPr>
        <xdr:cNvPr id="29" name="CasellaDiTesto 28">
          <a:extLst>
            <a:ext uri="{FF2B5EF4-FFF2-40B4-BE49-F238E27FC236}">
              <a16:creationId xmlns:a16="http://schemas.microsoft.com/office/drawing/2014/main" id="{10F523FC-3E2D-4674-9097-EA0069AE3CC2}"/>
            </a:ext>
          </a:extLst>
        </xdr:cNvPr>
        <xdr:cNvSpPr txBox="1"/>
      </xdr:nvSpPr>
      <xdr:spPr>
        <a:xfrm>
          <a:off x="7359189" y="53204571"/>
          <a:ext cx="1428750" cy="211662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Since there are no temperature dependent terms in the partition function, the electronic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heat capacity and the internal thermal energy due to electronic motion are both zero.</a:t>
          </a:r>
          <a:endParaRPr lang="it-IT" sz="1100"/>
        </a:p>
      </xdr:txBody>
    </xdr:sp>
    <xdr:clientData/>
  </xdr:twoCellAnchor>
  <xdr:twoCellAnchor>
    <xdr:from>
      <xdr:col>5</xdr:col>
      <xdr:colOff>710046</xdr:colOff>
      <xdr:row>274</xdr:row>
      <xdr:rowOff>69272</xdr:rowOff>
    </xdr:from>
    <xdr:to>
      <xdr:col>5</xdr:col>
      <xdr:colOff>762000</xdr:colOff>
      <xdr:row>278</xdr:row>
      <xdr:rowOff>25976</xdr:rowOff>
    </xdr:to>
    <xdr:cxnSp macro="">
      <xdr:nvCxnSpPr>
        <xdr:cNvPr id="30" name="Connettore 2 29">
          <a:extLst>
            <a:ext uri="{FF2B5EF4-FFF2-40B4-BE49-F238E27FC236}">
              <a16:creationId xmlns:a16="http://schemas.microsoft.com/office/drawing/2014/main" id="{09E43796-C96E-486B-903A-8E3356E9F8F2}"/>
            </a:ext>
          </a:extLst>
        </xdr:cNvPr>
        <xdr:cNvCxnSpPr/>
      </xdr:nvCxnSpPr>
      <xdr:spPr>
        <a:xfrm>
          <a:off x="7956666" y="52464392"/>
          <a:ext cx="51954" cy="6882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92652</xdr:colOff>
      <xdr:row>290</xdr:row>
      <xdr:rowOff>114300</xdr:rowOff>
    </xdr:from>
    <xdr:ext cx="65" cy="172227"/>
    <xdr:sp macro="" textlink="">
      <xdr:nvSpPr>
        <xdr:cNvPr id="31" name="CasellaDiTesto 30">
          <a:extLst>
            <a:ext uri="{FF2B5EF4-FFF2-40B4-BE49-F238E27FC236}">
              <a16:creationId xmlns:a16="http://schemas.microsoft.com/office/drawing/2014/main" id="{D7350269-85EB-4490-894D-9B2DF18E2557}"/>
            </a:ext>
          </a:extLst>
        </xdr:cNvPr>
        <xdr:cNvSpPr txBox="1"/>
      </xdr:nvSpPr>
      <xdr:spPr>
        <a:xfrm>
          <a:off x="12238932" y="5543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oneCellAnchor>
    <xdr:from>
      <xdr:col>0</xdr:col>
      <xdr:colOff>242455</xdr:colOff>
      <xdr:row>280</xdr:row>
      <xdr:rowOff>0</xdr:rowOff>
    </xdr:from>
    <xdr:ext cx="1448666" cy="3009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asellaDiTesto 31">
              <a:extLst>
                <a:ext uri="{FF2B5EF4-FFF2-40B4-BE49-F238E27FC236}">
                  <a16:creationId xmlns:a16="http://schemas.microsoft.com/office/drawing/2014/main" id="{7F1B67DD-3DC3-4DF6-9923-73295A4A72F1}"/>
                </a:ext>
              </a:extLst>
            </xdr:cNvPr>
            <xdr:cNvSpPr txBox="1"/>
          </xdr:nvSpPr>
          <xdr:spPr>
            <a:xfrm>
              <a:off x="242455" y="53492400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it-IT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acc>
                    <m:r>
                      <a:rPr lang="it-IT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1800" b="0" i="1">
                        <a:latin typeface="Cambria Math" panose="02040503050406030204" pitchFamily="18" charset="0"/>
                      </a:rPr>
                      <m:t>+</m:t>
                    </m:r>
                    <m:acc>
                      <m:accPr>
                        <m:chr m:val="̃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sub>
                        </m:sSub>
                      </m:e>
                    </m:acc>
                    <m:r>
                      <a:rPr lang="it-IT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32" name="CasellaDiTesto 31">
              <a:extLst>
                <a:ext uri="{FF2B5EF4-FFF2-40B4-BE49-F238E27FC236}">
                  <a16:creationId xmlns:a16="http://schemas.microsoft.com/office/drawing/2014/main" id="{7F1B67DD-3DC3-4DF6-9923-73295A4A72F1}"/>
                </a:ext>
              </a:extLst>
            </xdr:cNvPr>
            <xdr:cNvSpPr txBox="1"/>
          </xdr:nvSpPr>
          <xdr:spPr>
            <a:xfrm>
              <a:off x="242455" y="53492400"/>
              <a:ext cx="1448666" cy="3009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(</a:t>
              </a:r>
              <a:r>
                <a:rPr lang="it-IT" sz="1800" b="0" i="0">
                  <a:latin typeface="Cambria Math" panose="02040503050406030204" pitchFamily="18" charset="0"/>
                </a:rPr>
                <a:t>𝐶_𝑃 ) ̃=𝑅+(𝐶_𝑉 ) ̃  </a:t>
              </a:r>
              <a:endParaRPr lang="it-IT" sz="1800"/>
            </a:p>
          </xdr:txBody>
        </xdr:sp>
      </mc:Fallback>
    </mc:AlternateContent>
    <xdr:clientData/>
  </xdr:oneCellAnchor>
  <xdr:twoCellAnchor>
    <xdr:from>
      <xdr:col>0</xdr:col>
      <xdr:colOff>0</xdr:colOff>
      <xdr:row>277</xdr:row>
      <xdr:rowOff>173182</xdr:rowOff>
    </xdr:from>
    <xdr:to>
      <xdr:col>0</xdr:col>
      <xdr:colOff>1982932</xdr:colOff>
      <xdr:row>279</xdr:row>
      <xdr:rowOff>147204</xdr:rowOff>
    </xdr:to>
    <xdr:sp macro="" textlink="">
      <xdr:nvSpPr>
        <xdr:cNvPr id="33" name="CasellaDiTesto 32">
          <a:extLst>
            <a:ext uri="{FF2B5EF4-FFF2-40B4-BE49-F238E27FC236}">
              <a16:creationId xmlns:a16="http://schemas.microsoft.com/office/drawing/2014/main" id="{4C97A9B0-9793-4D0F-AEB0-B65A0917D488}"/>
            </a:ext>
          </a:extLst>
        </xdr:cNvPr>
        <xdr:cNvSpPr txBox="1"/>
      </xdr:nvSpPr>
      <xdr:spPr>
        <a:xfrm>
          <a:off x="0" y="53116942"/>
          <a:ext cx="1982932" cy="339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from Mayer's</a:t>
          </a:r>
          <a:r>
            <a:rPr lang="it-IT" sz="1400" baseline="0"/>
            <a:t> relation:</a:t>
          </a:r>
          <a:endParaRPr lang="it-IT" sz="1400"/>
        </a:p>
      </xdr:txBody>
    </xdr:sp>
    <xdr:clientData/>
  </xdr:twoCellAnchor>
  <xdr:twoCellAnchor>
    <xdr:from>
      <xdr:col>0</xdr:col>
      <xdr:colOff>710046</xdr:colOff>
      <xdr:row>108</xdr:row>
      <xdr:rowOff>147204</xdr:rowOff>
    </xdr:from>
    <xdr:to>
      <xdr:col>2</xdr:col>
      <xdr:colOff>207819</xdr:colOff>
      <xdr:row>110</xdr:row>
      <xdr:rowOff>129886</xdr:rowOff>
    </xdr:to>
    <xdr:sp macro="" textlink="">
      <xdr:nvSpPr>
        <xdr:cNvPr id="34" name="CasellaDiTesto 33">
          <a:extLst>
            <a:ext uri="{FF2B5EF4-FFF2-40B4-BE49-F238E27FC236}">
              <a16:creationId xmlns:a16="http://schemas.microsoft.com/office/drawing/2014/main" id="{C9F6E37C-2BB8-4AEB-972B-44877CD4A602}"/>
            </a:ext>
          </a:extLst>
        </xdr:cNvPr>
        <xdr:cNvSpPr txBox="1"/>
      </xdr:nvSpPr>
      <xdr:spPr>
        <a:xfrm>
          <a:off x="710046" y="20660244"/>
          <a:ext cx="2682933" cy="409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ho utilizzato però questa</a:t>
          </a:r>
          <a:r>
            <a:rPr lang="it-IT" sz="1100" baseline="0"/>
            <a:t> riscrittura:</a:t>
          </a:r>
          <a:endParaRPr lang="it-IT" sz="1100"/>
        </a:p>
      </xdr:txBody>
    </xdr:sp>
    <xdr:clientData/>
  </xdr:twoCellAnchor>
  <xdr:oneCellAnchor>
    <xdr:from>
      <xdr:col>0</xdr:col>
      <xdr:colOff>733423</xdr:colOff>
      <xdr:row>110</xdr:row>
      <xdr:rowOff>79664</xdr:rowOff>
    </xdr:from>
    <xdr:ext cx="2816804" cy="626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asellaDiTesto 34">
              <a:extLst>
                <a:ext uri="{FF2B5EF4-FFF2-40B4-BE49-F238E27FC236}">
                  <a16:creationId xmlns:a16="http://schemas.microsoft.com/office/drawing/2014/main" id="{4850C9BE-3C1E-45ED-9E2F-186EF275E409}"/>
                </a:ext>
              </a:extLst>
            </xdr:cNvPr>
            <xdr:cNvSpPr txBox="1"/>
          </xdr:nvSpPr>
          <xdr:spPr>
            <a:xfrm>
              <a:off x="733423" y="21019424"/>
              <a:ext cx="2816804" cy="626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Q</m:t>
                      </m:r>
                    </m:e>
                    <m:sub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rot</m:t>
                      </m:r>
                    </m:sub>
                    <m:sup>
                      <m: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3</m:t>
                      </m:r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D</m:t>
                      </m:r>
                    </m:sup>
                  </m:sSubSup>
                  <m:r>
                    <a:rPr lang="it-IT" sz="20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 </m:t>
                  </m:r>
                  <m:f>
                    <m:fPr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ad>
                        <m:radPr>
                          <m:degHide m:val="on"/>
                          <m:ctrlPr>
                            <a:rPr lang="it-IT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radPr>
                        <m:deg/>
                        <m:e>
                          <m:r>
                            <m:rPr>
                              <m:sty m:val="p"/>
                            </m:rP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π</m:t>
                          </m:r>
                        </m:e>
                      </m:rad>
                    </m:num>
                    <m:den>
                      <m:r>
                        <m:rPr>
                          <m:sty m:val="p"/>
                        </m:rPr>
                        <a:rPr lang="it-IT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σ</m:t>
                      </m:r>
                    </m:den>
                  </m:f>
                  <m:r>
                    <a:rPr lang="it-IT" sz="20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⋅</m:t>
                  </m:r>
                  <m:rad>
                    <m:radPr>
                      <m:degHide m:val="on"/>
                      <m:ctrlPr>
                        <a:rPr lang="it-IT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it-IT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T</m:t>
                              </m:r>
                            </m:e>
                            <m:sup>
                              <m: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3</m:t>
                              </m:r>
                            </m:sup>
                          </m:sSup>
                        </m:num>
                        <m:den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x</m:t>
                              </m:r>
                            </m:sub>
                          </m:sSub>
                          <m: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⋅</m:t>
                          </m:r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y</m:t>
                              </m:r>
                            </m:sub>
                          </m:sSub>
                          <m:r>
                            <a:rPr lang="it-IT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⋅</m:t>
                          </m:r>
                          <m:sSub>
                            <m:sSubPr>
                              <m:ctrlPr>
                                <a:rPr lang="it-IT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θ</m:t>
                              </m:r>
                            </m:e>
                            <m:sub>
                              <m:r>
                                <m:rPr>
                                  <m:sty m:val="p"/>
                                </m:rPr>
                                <a:rPr lang="it-IT" sz="200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z</m:t>
                              </m:r>
                            </m:sub>
                          </m:sSub>
                        </m:den>
                      </m:f>
                    </m:e>
                  </m:rad>
                </m:oMath>
              </a14:m>
              <a:r>
                <a:rPr lang="it-IT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35" name="CasellaDiTesto 34">
              <a:extLst>
                <a:ext uri="{FF2B5EF4-FFF2-40B4-BE49-F238E27FC236}">
                  <a16:creationId xmlns:a16="http://schemas.microsoft.com/office/drawing/2014/main" id="{4850C9BE-3C1E-45ED-9E2F-186EF275E409}"/>
                </a:ext>
              </a:extLst>
            </xdr:cNvPr>
            <xdr:cNvSpPr txBox="1"/>
          </xdr:nvSpPr>
          <xdr:spPr>
            <a:xfrm>
              <a:off x="733423" y="21019424"/>
              <a:ext cx="2816804" cy="626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Q_rot^3D=  √π/σ⋅√(T^3/(θ_x⋅θ_y⋅θ_z ))</a:t>
              </a:r>
              <a:r>
                <a:rPr lang="it-IT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</a:p>
          </xdr:txBody>
        </xdr:sp>
      </mc:Fallback>
    </mc:AlternateContent>
    <xdr:clientData/>
  </xdr:oneCellAnchor>
  <xdr:twoCellAnchor>
    <xdr:from>
      <xdr:col>0</xdr:col>
      <xdr:colOff>666750</xdr:colOff>
      <xdr:row>115</xdr:row>
      <xdr:rowOff>34636</xdr:rowOff>
    </xdr:from>
    <xdr:to>
      <xdr:col>2</xdr:col>
      <xdr:colOff>112569</xdr:colOff>
      <xdr:row>119</xdr:row>
      <xdr:rowOff>95249</xdr:rowOff>
    </xdr:to>
    <xdr:sp macro="" textlink="">
      <xdr:nvSpPr>
        <xdr:cNvPr id="36" name="CasellaDiTesto 35">
          <a:extLst>
            <a:ext uri="{FF2B5EF4-FFF2-40B4-BE49-F238E27FC236}">
              <a16:creationId xmlns:a16="http://schemas.microsoft.com/office/drawing/2014/main" id="{705490DE-4C00-4B56-A773-1603E71FEA72}"/>
            </a:ext>
          </a:extLst>
        </xdr:cNvPr>
        <xdr:cNvSpPr txBox="1"/>
      </xdr:nvSpPr>
      <xdr:spPr>
        <a:xfrm>
          <a:off x="666750" y="21896416"/>
          <a:ext cx="2630979" cy="792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dove le </a:t>
          </a:r>
          <a:r>
            <a:rPr lang="el-GR" sz="1100"/>
            <a:t>ϑ</a:t>
          </a:r>
          <a:r>
            <a:rPr lang="it-IT" sz="1100"/>
            <a:t> rappresentano le temperature rotazionali rispetto agli assi x, y e z</a:t>
          </a:r>
        </a:p>
      </xdr:txBody>
    </xdr:sp>
    <xdr:clientData/>
  </xdr:twoCellAnchor>
  <xdr:twoCellAnchor>
    <xdr:from>
      <xdr:col>2</xdr:col>
      <xdr:colOff>207818</xdr:colOff>
      <xdr:row>220</xdr:row>
      <xdr:rowOff>147205</xdr:rowOff>
    </xdr:from>
    <xdr:to>
      <xdr:col>3</xdr:col>
      <xdr:colOff>493568</xdr:colOff>
      <xdr:row>222</xdr:row>
      <xdr:rowOff>60614</xdr:rowOff>
    </xdr:to>
    <xdr:sp macro="" textlink="">
      <xdr:nvSpPr>
        <xdr:cNvPr id="38" name="CasellaDiTesto 37">
          <a:extLst>
            <a:ext uri="{FF2B5EF4-FFF2-40B4-BE49-F238E27FC236}">
              <a16:creationId xmlns:a16="http://schemas.microsoft.com/office/drawing/2014/main" id="{A801D586-D9D5-4C41-90A4-E3013CAF6881}"/>
            </a:ext>
          </a:extLst>
        </xdr:cNvPr>
        <xdr:cNvSpPr txBox="1"/>
      </xdr:nvSpPr>
      <xdr:spPr>
        <a:xfrm>
          <a:off x="3392978" y="42407725"/>
          <a:ext cx="1291590" cy="2791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for S_trasl</a:t>
          </a:r>
          <a:r>
            <a:rPr lang="it-IT" sz="1100" baseline="0"/>
            <a:t> : </a:t>
          </a:r>
          <a:endParaRPr lang="it-IT" sz="1100"/>
        </a:p>
      </xdr:txBody>
    </xdr:sp>
    <xdr:clientData/>
  </xdr:twoCellAnchor>
  <xdr:twoCellAnchor editAs="oneCell">
    <xdr:from>
      <xdr:col>3</xdr:col>
      <xdr:colOff>43297</xdr:colOff>
      <xdr:row>220</xdr:row>
      <xdr:rowOff>17320</xdr:rowOff>
    </xdr:from>
    <xdr:to>
      <xdr:col>3</xdr:col>
      <xdr:colOff>1853047</xdr:colOff>
      <xdr:row>222</xdr:row>
      <xdr:rowOff>83556</xdr:rowOff>
    </xdr:to>
    <xdr:pic>
      <xdr:nvPicPr>
        <xdr:cNvPr id="39" name="Immagine 38">
          <a:extLst>
            <a:ext uri="{FF2B5EF4-FFF2-40B4-BE49-F238E27FC236}">
              <a16:creationId xmlns:a16="http://schemas.microsoft.com/office/drawing/2014/main" id="{9A462E2E-F930-4057-A38B-64E5FC01A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4297" y="42277840"/>
          <a:ext cx="1809750" cy="431996"/>
        </a:xfrm>
        <a:prstGeom prst="rect">
          <a:avLst/>
        </a:prstGeom>
      </xdr:spPr>
    </xdr:pic>
    <xdr:clientData/>
  </xdr:twoCellAnchor>
  <xdr:oneCellAnchor>
    <xdr:from>
      <xdr:col>0</xdr:col>
      <xdr:colOff>450271</xdr:colOff>
      <xdr:row>63</xdr:row>
      <xdr:rowOff>17317</xdr:rowOff>
    </xdr:from>
    <xdr:ext cx="2764849" cy="10300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asellaDiTesto 39">
              <a:extLst>
                <a:ext uri="{FF2B5EF4-FFF2-40B4-BE49-F238E27FC236}">
                  <a16:creationId xmlns:a16="http://schemas.microsoft.com/office/drawing/2014/main" id="{EE2C3006-F18D-4F33-B9FC-F6221D7BA8AC}"/>
                </a:ext>
              </a:extLst>
            </xdr:cNvPr>
            <xdr:cNvSpPr txBox="1"/>
          </xdr:nvSpPr>
          <xdr:spPr>
            <a:xfrm>
              <a:off x="450271" y="11988337"/>
              <a:ext cx="2764849" cy="10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Q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1800" b="0" i="0">
                            <a:latin typeface="Cambria Math" panose="02040503050406030204" pitchFamily="18" charset="0"/>
                          </a:rPr>
                          <m:t>vib</m:t>
                        </m:r>
                      </m:sub>
                    </m:sSub>
                    <m:r>
                      <a:rPr lang="it-IT" sz="1800" b="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∏"/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8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𝑣𝑖𝑏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it-IT" sz="1800" b="0" i="0">
                                <a:latin typeface="Cambria Math" panose="02040503050406030204" pitchFamily="18" charset="0"/>
                              </a:rPr>
                              <m:t>exp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⁡(−</m:t>
                            </m:r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it-IT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den>
                            </m:f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 )</m:t>
                            </m:r>
                          </m:num>
                          <m:den>
                            <m:r>
                              <a:rPr lang="it-IT" sz="1800" b="0" i="0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m:rPr>
                                <m:sty m:val="p"/>
                              </m:rPr>
                              <a:rPr lang="it-IT" sz="1800" b="0" i="0">
                                <a:latin typeface="Cambria Math" panose="02040503050406030204" pitchFamily="18" charset="0"/>
                              </a:rPr>
                              <m:t>exp</m:t>
                            </m:r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⁡(−</m:t>
                            </m:r>
                            <m:f>
                              <m:fPr>
                                <m:ctrlP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e>
                                  <m:sub>
                                    <m:r>
                                      <a:rPr lang="it-IT" sz="18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sub>
                                </m:sSub>
                                <m:r>
                                  <a:rPr lang="it-IT" sz="18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den>
                            </m:f>
                            <m:r>
                              <a:rPr lang="it-IT" sz="18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it-IT" sz="1800"/>
            </a:p>
          </xdr:txBody>
        </xdr:sp>
      </mc:Choice>
      <mc:Fallback xmlns="">
        <xdr:sp macro="" textlink="">
          <xdr:nvSpPr>
            <xdr:cNvPr id="40" name="CasellaDiTesto 39">
              <a:extLst>
                <a:ext uri="{FF2B5EF4-FFF2-40B4-BE49-F238E27FC236}">
                  <a16:creationId xmlns:a16="http://schemas.microsoft.com/office/drawing/2014/main" id="{EE2C3006-F18D-4F33-B9FC-F6221D7BA8AC}"/>
                </a:ext>
              </a:extLst>
            </xdr:cNvPr>
            <xdr:cNvSpPr txBox="1"/>
          </xdr:nvSpPr>
          <xdr:spPr>
            <a:xfrm>
              <a:off x="450271" y="11988337"/>
              <a:ext cx="2764849" cy="10300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800" b="0" i="0">
                  <a:latin typeface="Cambria Math" panose="02040503050406030204" pitchFamily="18" charset="0"/>
                </a:rPr>
                <a:t>Q_vib=∏_(𝑖=1)^(𝑁_𝑣𝑖𝑏)▒(exp⁡(−(ℎ𝜈_𝑖)/(</a:t>
              </a:r>
              <a:r>
                <a:rPr lang="it-IT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〖2𝑘〗_𝐵 𝑇) </a:t>
              </a:r>
              <a:r>
                <a:rPr lang="it-IT" sz="1800" b="0" i="0">
                  <a:latin typeface="Cambria Math" panose="02040503050406030204" pitchFamily="18" charset="0"/>
                </a:rPr>
                <a:t> ))/(1−exp⁡(−(ℎ𝜈_𝑖)/(𝑘_𝐵 𝑇)))</a:t>
              </a:r>
              <a:endParaRPr lang="it-IT" sz="1800"/>
            </a:p>
          </xdr:txBody>
        </xdr:sp>
      </mc:Fallback>
    </mc:AlternateContent>
    <xdr:clientData/>
  </xdr:oneCellAnchor>
  <xdr:oneCellAnchor>
    <xdr:from>
      <xdr:col>9</xdr:col>
      <xdr:colOff>92652</xdr:colOff>
      <xdr:row>243</xdr:row>
      <xdr:rowOff>114300</xdr:rowOff>
    </xdr:from>
    <xdr:ext cx="65" cy="172227"/>
    <xdr:sp macro="" textlink="">
      <xdr:nvSpPr>
        <xdr:cNvPr id="41" name="CasellaDiTesto 40">
          <a:extLst>
            <a:ext uri="{FF2B5EF4-FFF2-40B4-BE49-F238E27FC236}">
              <a16:creationId xmlns:a16="http://schemas.microsoft.com/office/drawing/2014/main" id="{BD55DEF2-8041-472C-B9D1-ED55937EA5F8}"/>
            </a:ext>
          </a:extLst>
        </xdr:cNvPr>
        <xdr:cNvSpPr txBox="1"/>
      </xdr:nvSpPr>
      <xdr:spPr>
        <a:xfrm>
          <a:off x="12238932" y="46520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167640</xdr:colOff>
      <xdr:row>1</xdr:row>
      <xdr:rowOff>64770</xdr:rowOff>
    </xdr:from>
    <xdr:ext cx="1762085" cy="5524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BFA6017B-3C36-C87D-67D8-A6E6C70166DF}"/>
                </a:ext>
              </a:extLst>
            </xdr:cNvPr>
            <xdr:cNvSpPr txBox="1"/>
          </xdr:nvSpPr>
          <xdr:spPr>
            <a:xfrm>
              <a:off x="4427220" y="247650"/>
              <a:ext cx="1762085" cy="552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80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it-IT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↔</m:t>
                    </m:r>
                    <m:r>
                      <a:rPr lang="it-IT" sz="18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180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it-IT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80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it-IT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it-IT" sz="1800" i="1">
                        <a:latin typeface="Cambria Math" panose="02040503050406030204" pitchFamily="18" charset="0"/>
                      </a:rPr>
                      <m:t>+ </m:t>
                    </m:r>
                    <m:r>
                      <a:rPr lang="it-IT" sz="1800" i="1">
                        <a:latin typeface="Cambria Math" panose="02040503050406030204" pitchFamily="18" charset="0"/>
                      </a:rPr>
                      <m:t>𝐻</m:t>
                    </m:r>
                  </m:oMath>
                </m:oMathPara>
              </a14:m>
              <a:endParaRPr lang="it-IT" sz="1800"/>
            </a:p>
            <a:p>
              <a:endParaRPr lang="it-IT" sz="1800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BFA6017B-3C36-C87D-67D8-A6E6C70166DF}"/>
                </a:ext>
              </a:extLst>
            </xdr:cNvPr>
            <xdr:cNvSpPr txBox="1"/>
          </xdr:nvSpPr>
          <xdr:spPr>
            <a:xfrm>
              <a:off x="4427220" y="247650"/>
              <a:ext cx="1762085" cy="5524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800" i="0">
                  <a:latin typeface="Cambria Math" panose="02040503050406030204" pitchFamily="18" charset="0"/>
                </a:rPr>
                <a:t>𝐶𝐻</a:t>
              </a:r>
              <a:r>
                <a:rPr lang="it-IT" sz="1800" b="0" i="0">
                  <a:latin typeface="Cambria Math" panose="02040503050406030204" pitchFamily="18" charset="0"/>
                </a:rPr>
                <a:t>_4</a:t>
              </a:r>
              <a:r>
                <a:rPr lang="it-IT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↔</a:t>
              </a:r>
              <a:r>
                <a:rPr lang="it-IT" sz="1800" i="0">
                  <a:latin typeface="Cambria Math" panose="02040503050406030204" pitchFamily="18" charset="0"/>
                </a:rPr>
                <a:t> 𝐶𝐻</a:t>
              </a:r>
              <a:r>
                <a:rPr lang="it-IT" sz="1800" b="0" i="0">
                  <a:latin typeface="Cambria Math" panose="02040503050406030204" pitchFamily="18" charset="0"/>
                </a:rPr>
                <a:t>_3</a:t>
              </a:r>
              <a:r>
                <a:rPr lang="it-IT" sz="1800" i="0">
                  <a:latin typeface="Cambria Math" panose="02040503050406030204" pitchFamily="18" charset="0"/>
                </a:rPr>
                <a:t>+ 𝐻</a:t>
              </a:r>
              <a:endParaRPr lang="it-IT" sz="1800"/>
            </a:p>
            <a:p>
              <a:endParaRPr lang="it-IT" sz="1800"/>
            </a:p>
          </xdr:txBody>
        </xdr:sp>
      </mc:Fallback>
    </mc:AlternateContent>
    <xdr:clientData/>
  </xdr:oneCellAnchor>
  <xdr:oneCellAnchor>
    <xdr:from>
      <xdr:col>11</xdr:col>
      <xdr:colOff>624840</xdr:colOff>
      <xdr:row>1</xdr:row>
      <xdr:rowOff>72390</xdr:rowOff>
    </xdr:from>
    <xdr:ext cx="2225040" cy="6226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94E4CA0F-FE6C-7F1C-3792-8D9A983B799D}"/>
                </a:ext>
              </a:extLst>
            </xdr:cNvPr>
            <xdr:cNvSpPr txBox="1"/>
          </xdr:nvSpPr>
          <xdr:spPr>
            <a:xfrm>
              <a:off x="8557260" y="255270"/>
              <a:ext cx="2225040" cy="6226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e>
                      <m:sub>
                        <m:r>
                          <a:rPr lang="it-IT" sz="1400" b="0" i="1">
                            <a:latin typeface="Cambria Math" panose="02040503050406030204" pitchFamily="18" charset="0"/>
                          </a:rPr>
                          <m:t>𝑒𝑞</m:t>
                        </m:r>
                      </m:sub>
                    </m:sSub>
                    <m:r>
                      <a:rPr lang="it-IT" sz="14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∏"/>
                        <m:ctrlPr>
                          <a:rPr lang="it-IT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4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it-IT" sz="14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sSub>
                          <m:sSubPr>
                            <m:ctrlPr>
                              <a:rPr lang="it-IT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14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400" b="0" i="1">
                                <a:latin typeface="Cambria Math" panose="02040503050406030204" pitchFamily="18" charset="0"/>
                              </a:rPr>
                              <m:t>𝑐𝑜𝑚𝑝</m:t>
                            </m:r>
                          </m:sub>
                        </m:sSub>
                      </m:sup>
                      <m:e>
                        <m:sSup>
                          <m:sSupPr>
                            <m:ctrlPr>
                              <a:rPr lang="it-IT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it-IT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400" b="0" i="1">
                                            <a:latin typeface="Cambria Math" panose="02040503050406030204" pitchFamily="18" charset="0"/>
                                          </a:rPr>
                                          <m:t>𝑄</m:t>
                                        </m:r>
                                      </m:e>
                                      <m:sub>
                                        <m:r>
                                          <a:rPr lang="it-IT" sz="14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it-IT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400" b="0" i="1">
                                            <a:latin typeface="Cambria Math" panose="02040503050406030204" pitchFamily="18" charset="0"/>
                                          </a:rPr>
                                          <m:t>𝑁</m:t>
                                        </m:r>
                                      </m:e>
                                      <m:sub>
                                        <m:r>
                                          <a:rPr lang="it-IT" sz="14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it-IT" sz="1400" b="0" i="1"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  <m:r>
                                          <a:rPr lang="it-IT" sz="1400" b="0" i="1">
                                            <a:latin typeface="Cambria Math" panose="02040503050406030204" pitchFamily="18" charset="0"/>
                                          </a:rPr>
                                          <m:t>𝑟𝑖𝑓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sSub>
                              <m:sSubPr>
                                <m:ctrlPr>
                                  <a:rPr lang="it-IT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it-IT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𝜈</m:t>
                                </m:r>
                              </m:e>
                              <m:sub>
                                <m:r>
                                  <a:rPr lang="it-IT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</m:e>
                    </m:nary>
                  </m:oMath>
                </m:oMathPara>
              </a14:m>
              <a:endParaRPr lang="it-IT" sz="14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94E4CA0F-FE6C-7F1C-3792-8D9A983B799D}"/>
                </a:ext>
              </a:extLst>
            </xdr:cNvPr>
            <xdr:cNvSpPr txBox="1"/>
          </xdr:nvSpPr>
          <xdr:spPr>
            <a:xfrm>
              <a:off x="8557260" y="255270"/>
              <a:ext cx="2225040" cy="6226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400" b="0" i="0">
                  <a:latin typeface="Cambria Math" panose="02040503050406030204" pitchFamily="18" charset="0"/>
                </a:rPr>
                <a:t>𝑘_𝑒𝑞=∏24_(𝑖=1)^(𝑁_𝑐𝑜𝑚𝑝)▒(𝑄_𝑖/𝑁_(𝑖,𝑟𝑖𝑓) )^(</a:t>
              </a:r>
              <a:r>
                <a:rPr lang="it-IT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𝜈_𝑖 ) </a:t>
              </a:r>
              <a:endParaRPr lang="it-IT" sz="1400"/>
            </a:p>
          </xdr:txBody>
        </xdr:sp>
      </mc:Fallback>
    </mc:AlternateContent>
    <xdr:clientData/>
  </xdr:oneCellAnchor>
  <xdr:twoCellAnchor>
    <xdr:from>
      <xdr:col>16</xdr:col>
      <xdr:colOff>106680</xdr:colOff>
      <xdr:row>32</xdr:row>
      <xdr:rowOff>15240</xdr:rowOff>
    </xdr:from>
    <xdr:to>
      <xdr:col>22</xdr:col>
      <xdr:colOff>274320</xdr:colOff>
      <xdr:row>47</xdr:row>
      <xdr:rowOff>45720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8D3C7B3-FE05-5EEE-9C05-0CE93EB98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75084</xdr:colOff>
      <xdr:row>13</xdr:row>
      <xdr:rowOff>106680</xdr:rowOff>
    </xdr:from>
    <xdr:to>
      <xdr:col>21</xdr:col>
      <xdr:colOff>61273</xdr:colOff>
      <xdr:row>28</xdr:row>
      <xdr:rowOff>167640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EC290206-9802-A7BA-55CD-D8A9E2D9D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9724" y="2575560"/>
          <a:ext cx="3750469" cy="2811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125952</xdr:colOff>
      <xdr:row>0</xdr:row>
      <xdr:rowOff>38100</xdr:rowOff>
    </xdr:from>
    <xdr:to>
      <xdr:col>20</xdr:col>
      <xdr:colOff>320040</xdr:colOff>
      <xdr:row>13</xdr:row>
      <xdr:rowOff>79840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4BF5EFCC-52F5-8EDA-EE30-1A7B61F96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0592" y="38100"/>
          <a:ext cx="3348768" cy="2510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2"/>
  <sheetViews>
    <sheetView zoomScale="90" zoomScaleNormal="90" workbookViewId="0">
      <selection activeCell="A10" sqref="A10"/>
    </sheetView>
  </sheetViews>
  <sheetFormatPr defaultRowHeight="14.4" x14ac:dyDescent="0.3"/>
  <cols>
    <col min="1" max="1" width="29.88671875" style="5" bestFit="1" customWidth="1"/>
    <col min="2" max="2" width="16.5546875" style="5" bestFit="1" customWidth="1"/>
    <col min="3" max="3" width="14.6640625" style="5" bestFit="1" customWidth="1"/>
    <col min="4" max="4" width="29.88671875" style="5" bestFit="1" customWidth="1"/>
    <col min="5" max="5" width="14.6640625" style="5" bestFit="1" customWidth="1"/>
    <col min="6" max="6" width="19.44140625" style="5" bestFit="1" customWidth="1"/>
    <col min="7" max="7" width="18.33203125" style="5" bestFit="1" customWidth="1"/>
    <col min="8" max="8" width="19.21875" style="5" bestFit="1" customWidth="1"/>
    <col min="9" max="9" width="16.77734375" style="5" bestFit="1" customWidth="1"/>
    <col min="10" max="10" width="20.33203125" style="5" bestFit="1" customWidth="1"/>
    <col min="11" max="11" width="21.109375" style="5" bestFit="1" customWidth="1"/>
    <col min="12" max="12" width="15.21875" style="5" bestFit="1" customWidth="1"/>
    <col min="13" max="14" width="20.33203125" style="5" bestFit="1" customWidth="1"/>
    <col min="15" max="15" width="14.77734375" style="5" bestFit="1" customWidth="1"/>
    <col min="16" max="16" width="8.88671875" style="5"/>
    <col min="17" max="17" width="12.33203125" style="5" customWidth="1"/>
    <col min="18" max="18" width="12.77734375" style="5" bestFit="1" customWidth="1"/>
    <col min="19" max="19" width="16" style="5" bestFit="1" customWidth="1"/>
    <col min="20" max="16384" width="8.88671875" style="5"/>
  </cols>
  <sheetData>
    <row r="1" spans="1:2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114</v>
      </c>
      <c r="L1" s="4" t="s">
        <v>115</v>
      </c>
    </row>
    <row r="2" spans="1:21" ht="15" thickBot="1" x14ac:dyDescent="0.35">
      <c r="A2" s="6">
        <v>1.3805999999999999E-23</v>
      </c>
      <c r="B2" s="7">
        <v>3.1415899999999999</v>
      </c>
      <c r="C2" s="7">
        <v>6.626068E-34</v>
      </c>
      <c r="D2" s="7">
        <v>8.3144720000000003</v>
      </c>
      <c r="E2" s="8">
        <f>16.0313*1.66054E-27</f>
        <v>2.6620614902000003E-26</v>
      </c>
      <c r="F2" s="7">
        <v>6.0221407599999999E+23</v>
      </c>
      <c r="G2" s="7">
        <f>((2*$E$2*$B$2*$A$2*$H$2)/($C$2*$C$2))^1.5</f>
        <v>6.2098732404337735E+31</v>
      </c>
      <c r="H2" s="8">
        <f>298.15</f>
        <v>298.14999999999998</v>
      </c>
      <c r="I2" s="9">
        <v>29979300000</v>
      </c>
      <c r="J2" s="8">
        <v>101325</v>
      </c>
      <c r="K2" s="8">
        <f>(E2*1000)/16.0313</f>
        <v>1.6605400000000003E-24</v>
      </c>
      <c r="L2" s="10">
        <f>F2*K2</f>
        <v>1.0000005617610401</v>
      </c>
    </row>
    <row r="3" spans="1:21" ht="15" thickBot="1" x14ac:dyDescent="0.35"/>
    <row r="4" spans="1:21" ht="15" thickBot="1" x14ac:dyDescent="0.35">
      <c r="E4" s="11" t="s">
        <v>10</v>
      </c>
      <c r="F4" s="12" t="s">
        <v>11</v>
      </c>
      <c r="G4" s="13" t="s">
        <v>12</v>
      </c>
      <c r="I4" s="11" t="s">
        <v>13</v>
      </c>
      <c r="J4" s="12" t="s">
        <v>14</v>
      </c>
      <c r="K4" s="12" t="s">
        <v>15</v>
      </c>
      <c r="L4" s="14" t="s">
        <v>16</v>
      </c>
    </row>
    <row r="5" spans="1:21" ht="16.8" thickBot="1" x14ac:dyDescent="0.35">
      <c r="B5" s="15" t="s">
        <v>17</v>
      </c>
      <c r="D5" s="16" t="s">
        <v>18</v>
      </c>
      <c r="E5" s="17">
        <v>11.452500000000001</v>
      </c>
      <c r="F5" s="18">
        <v>11.456390000000001</v>
      </c>
      <c r="G5" s="19">
        <v>11.456390000000001</v>
      </c>
      <c r="I5" s="20">
        <v>4.48E-2</v>
      </c>
      <c r="J5" s="21">
        <f>I5*627.509474</f>
        <v>28.112424435199998</v>
      </c>
      <c r="K5" s="21">
        <f>I5*4.35974E-18</f>
        <v>1.9531635199999998E-19</v>
      </c>
      <c r="L5" s="22">
        <f>(2*K5)/(C2)</f>
        <v>589539232015125.63</v>
      </c>
    </row>
    <row r="6" spans="1:21" ht="16.8" thickBot="1" x14ac:dyDescent="0.35">
      <c r="A6" s="23" t="s">
        <v>19</v>
      </c>
      <c r="B6" s="24">
        <v>12</v>
      </c>
      <c r="D6" s="25" t="s">
        <v>20</v>
      </c>
      <c r="E6" s="26">
        <f>E5*1.66E-47</f>
        <v>1.9011150000000002E-46</v>
      </c>
      <c r="F6" s="27">
        <f t="shared" ref="F6:G6" si="0">F5*1.66E-47</f>
        <v>1.9017607399999999E-46</v>
      </c>
      <c r="G6" s="28">
        <f t="shared" si="0"/>
        <v>1.9017607399999999E-46</v>
      </c>
      <c r="U6" s="29"/>
    </row>
    <row r="7" spans="1:21" ht="15" thickBot="1" x14ac:dyDescent="0.35">
      <c r="U7" s="29"/>
    </row>
    <row r="8" spans="1:21" ht="15" thickBot="1" x14ac:dyDescent="0.35">
      <c r="A8" s="5" t="s">
        <v>21</v>
      </c>
      <c r="D8" s="23" t="s">
        <v>22</v>
      </c>
      <c r="E8" s="17">
        <v>157.58485999999999</v>
      </c>
      <c r="F8" s="18">
        <v>157.53139999999999</v>
      </c>
      <c r="G8" s="19">
        <v>157.53139999999999</v>
      </c>
      <c r="U8" s="29"/>
    </row>
    <row r="9" spans="1:21" ht="15" thickBot="1" x14ac:dyDescent="0.35">
      <c r="E9" s="26">
        <f>E8*1000000000</f>
        <v>157584860000</v>
      </c>
      <c r="F9" s="27">
        <f>F8*1000000000</f>
        <v>157531400000</v>
      </c>
      <c r="G9" s="28">
        <f>G8*1000000000</f>
        <v>157531400000</v>
      </c>
    </row>
    <row r="10" spans="1:21" ht="15" customHeight="1" thickBot="1" x14ac:dyDescent="0.35"/>
    <row r="11" spans="1:21" ht="15" customHeight="1" thickBot="1" x14ac:dyDescent="0.35">
      <c r="D11" s="30" t="s">
        <v>23</v>
      </c>
      <c r="E11" s="31">
        <v>7.5628700000000002</v>
      </c>
      <c r="F11" s="31">
        <v>7.5603100000000003</v>
      </c>
      <c r="G11" s="32">
        <v>7.5603100000000003</v>
      </c>
    </row>
    <row r="12" spans="1:21" ht="27" customHeight="1" x14ac:dyDescent="0.3">
      <c r="A12" s="33" t="s">
        <v>24</v>
      </c>
      <c r="B12" s="34">
        <v>1937.39</v>
      </c>
    </row>
    <row r="13" spans="1:21" ht="15" thickBot="1" x14ac:dyDescent="0.35">
      <c r="A13" s="35"/>
      <c r="B13" s="36">
        <v>1938.16</v>
      </c>
      <c r="S13" s="29"/>
      <c r="T13" s="29"/>
    </row>
    <row r="14" spans="1:21" ht="15.6" x14ac:dyDescent="0.3">
      <c r="A14" s="35"/>
      <c r="B14" s="36">
        <v>1938.16</v>
      </c>
      <c r="D14" s="37" t="s">
        <v>25</v>
      </c>
      <c r="E14" s="38"/>
      <c r="F14" s="3" t="s">
        <v>26</v>
      </c>
      <c r="G14" s="3" t="s">
        <v>27</v>
      </c>
      <c r="H14" s="4" t="s">
        <v>28</v>
      </c>
    </row>
    <row r="15" spans="1:21" x14ac:dyDescent="0.3">
      <c r="A15" s="35"/>
      <c r="B15" s="36">
        <v>2249.63</v>
      </c>
      <c r="E15" s="39"/>
      <c r="F15" s="40" t="s">
        <v>29</v>
      </c>
      <c r="G15" s="40" t="s">
        <v>30</v>
      </c>
      <c r="H15" s="41" t="s">
        <v>30</v>
      </c>
    </row>
    <row r="16" spans="1:21" x14ac:dyDescent="0.3">
      <c r="A16" s="35"/>
      <c r="B16" s="36">
        <v>2249.63</v>
      </c>
      <c r="E16" s="39" t="s">
        <v>31</v>
      </c>
      <c r="F16" s="42">
        <v>29.911999999999999</v>
      </c>
      <c r="G16" s="42">
        <v>6.4619999999999997</v>
      </c>
      <c r="H16" s="43">
        <v>47.234999999999999</v>
      </c>
    </row>
    <row r="17" spans="1:10" x14ac:dyDescent="0.3">
      <c r="A17" s="35"/>
      <c r="B17" s="36">
        <v>4373.0600000000004</v>
      </c>
      <c r="E17" s="39" t="s">
        <v>32</v>
      </c>
      <c r="F17" s="42" t="s">
        <v>33</v>
      </c>
      <c r="G17" s="42" t="s">
        <v>33</v>
      </c>
      <c r="H17" s="43" t="s">
        <v>33</v>
      </c>
    </row>
    <row r="18" spans="1:10" x14ac:dyDescent="0.3">
      <c r="A18" s="35"/>
      <c r="B18" s="36">
        <v>4531.79</v>
      </c>
      <c r="E18" s="39" t="s">
        <v>34</v>
      </c>
      <c r="F18" s="42">
        <v>0.88900000000000001</v>
      </c>
      <c r="G18" s="42">
        <v>2.9809999999999999</v>
      </c>
      <c r="H18" s="43">
        <v>34.261000000000003</v>
      </c>
    </row>
    <row r="19" spans="1:10" x14ac:dyDescent="0.3">
      <c r="A19" s="35"/>
      <c r="B19" s="36">
        <v>4537.79</v>
      </c>
      <c r="E19" s="39" t="s">
        <v>35</v>
      </c>
      <c r="F19" s="42">
        <v>0.88900000000000001</v>
      </c>
      <c r="G19" s="42">
        <v>2.9809999999999999</v>
      </c>
      <c r="H19" s="43">
        <v>12.888</v>
      </c>
    </row>
    <row r="20" spans="1:10" ht="15" thickBot="1" x14ac:dyDescent="0.35">
      <c r="A20" s="26"/>
      <c r="B20" s="28">
        <v>4537.79</v>
      </c>
      <c r="E20" s="44" t="s">
        <v>36</v>
      </c>
      <c r="F20" s="45">
        <v>28.135000000000002</v>
      </c>
      <c r="G20" s="45">
        <v>0.5</v>
      </c>
      <c r="H20" s="46">
        <v>8.5000000000000006E-2</v>
      </c>
    </row>
    <row r="21" spans="1:10" ht="15" thickBot="1" x14ac:dyDescent="0.35">
      <c r="F21" s="47"/>
      <c r="G21" s="47"/>
      <c r="H21" s="47"/>
    </row>
    <row r="22" spans="1:10" x14ac:dyDescent="0.3">
      <c r="E22" s="38"/>
      <c r="F22" s="4" t="s">
        <v>37</v>
      </c>
    </row>
    <row r="23" spans="1:10" x14ac:dyDescent="0.3">
      <c r="E23" s="39" t="s">
        <v>38</v>
      </c>
      <c r="F23" s="48">
        <v>9.1839100000000006E-13</v>
      </c>
      <c r="J23"/>
    </row>
    <row r="24" spans="1:10" x14ac:dyDescent="0.3">
      <c r="E24" s="39" t="s">
        <v>39</v>
      </c>
      <c r="F24" s="48">
        <v>371152000</v>
      </c>
    </row>
    <row r="25" spans="1:10" x14ac:dyDescent="0.3">
      <c r="E25" s="39" t="s">
        <v>40</v>
      </c>
      <c r="F25" s="48">
        <v>2.4882600000000002E-21</v>
      </c>
    </row>
    <row r="26" spans="1:10" x14ac:dyDescent="0.3">
      <c r="E26" s="39" t="s">
        <v>41</v>
      </c>
      <c r="F26" s="48">
        <v>1.00559</v>
      </c>
      <c r="G26" s="5" t="s">
        <v>42</v>
      </c>
    </row>
    <row r="27" spans="1:10" x14ac:dyDescent="0.3">
      <c r="E27" s="39" t="s">
        <v>32</v>
      </c>
      <c r="F27" s="49">
        <v>1</v>
      </c>
      <c r="G27" s="50"/>
    </row>
    <row r="28" spans="1:10" x14ac:dyDescent="0.3">
      <c r="E28" s="39" t="s">
        <v>34</v>
      </c>
      <c r="F28" s="49">
        <v>2522950</v>
      </c>
      <c r="G28" s="50"/>
    </row>
    <row r="29" spans="1:10" ht="15" thickBot="1" x14ac:dyDescent="0.35">
      <c r="E29" s="44" t="s">
        <v>35</v>
      </c>
      <c r="F29" s="51">
        <v>146.29300000000001</v>
      </c>
      <c r="G29" s="50"/>
    </row>
    <row r="30" spans="1:10" ht="15" thickBot="1" x14ac:dyDescent="0.35"/>
    <row r="31" spans="1:10" ht="16.2" x14ac:dyDescent="0.3">
      <c r="A31" s="17" t="s">
        <v>43</v>
      </c>
      <c r="B31" s="18" t="s">
        <v>44</v>
      </c>
      <c r="C31" s="52" t="s">
        <v>45</v>
      </c>
      <c r="D31" s="52" t="s">
        <v>116</v>
      </c>
      <c r="E31" s="16" t="s">
        <v>117</v>
      </c>
    </row>
    <row r="32" spans="1:10" x14ac:dyDescent="0.3">
      <c r="A32" s="35">
        <v>1346.5569</v>
      </c>
      <c r="B32" s="53">
        <f t="shared" ref="B32:B40" si="1">A32*$I$2</f>
        <v>40368833272170</v>
      </c>
      <c r="C32" s="54">
        <f>298.15</f>
        <v>298.14999999999998</v>
      </c>
      <c r="D32" s="100">
        <f>($A$2*C32)/$J$2</f>
        <v>4.062431680236861E-26</v>
      </c>
      <c r="E32" s="134">
        <f>$F$2*($F$83*D32)/($D$2*C32)</f>
        <v>0.99996338110898686</v>
      </c>
    </row>
    <row r="33" spans="1:5" x14ac:dyDescent="0.3">
      <c r="A33" s="35">
        <v>1347.0905</v>
      </c>
      <c r="B33" s="53">
        <f t="shared" si="1"/>
        <v>40384830226650</v>
      </c>
      <c r="C33" s="54">
        <f>300+100</f>
        <v>400</v>
      </c>
      <c r="D33" s="100">
        <f t="shared" ref="D33:D50" si="2">($A$2*C33)/$J$2</f>
        <v>5.4501850481125095E-26</v>
      </c>
      <c r="E33" s="134">
        <f t="shared" ref="E33:E50" si="3">$F$2*($F$83*D33)/($D$2*C33)</f>
        <v>0.99996338110898686</v>
      </c>
    </row>
    <row r="34" spans="1:5" x14ac:dyDescent="0.3">
      <c r="A34" s="35">
        <v>1347.0916999999999</v>
      </c>
      <c r="B34" s="53">
        <f t="shared" si="1"/>
        <v>40384866201810</v>
      </c>
      <c r="C34" s="54">
        <f t="shared" ref="C34:C50" si="4">C33+100</f>
        <v>500</v>
      </c>
      <c r="D34" s="100">
        <f t="shared" si="2"/>
        <v>6.8127313101406362E-26</v>
      </c>
      <c r="E34" s="134">
        <f t="shared" si="3"/>
        <v>0.99996338110898675</v>
      </c>
    </row>
    <row r="35" spans="1:5" x14ac:dyDescent="0.3">
      <c r="A35" s="35">
        <v>1563.5745999999999</v>
      </c>
      <c r="B35" s="53">
        <f t="shared" si="1"/>
        <v>46874872005780</v>
      </c>
      <c r="C35" s="54">
        <f t="shared" si="4"/>
        <v>600</v>
      </c>
      <c r="D35" s="100">
        <f t="shared" si="2"/>
        <v>8.175277572168763E-26</v>
      </c>
      <c r="E35" s="134">
        <f t="shared" si="3"/>
        <v>0.99996338110898653</v>
      </c>
    </row>
    <row r="36" spans="1:5" x14ac:dyDescent="0.3">
      <c r="A36" s="35">
        <v>1563.5759</v>
      </c>
      <c r="B36" s="53">
        <f t="shared" si="1"/>
        <v>46874910978870</v>
      </c>
      <c r="C36" s="54">
        <f t="shared" si="4"/>
        <v>700</v>
      </c>
      <c r="D36" s="100">
        <f t="shared" si="2"/>
        <v>9.5378238341968898E-26</v>
      </c>
      <c r="E36" s="134">
        <f t="shared" si="3"/>
        <v>0.99996338110898653</v>
      </c>
    </row>
    <row r="37" spans="1:5" x14ac:dyDescent="0.3">
      <c r="A37" s="35">
        <v>3039.4317000000001</v>
      </c>
      <c r="B37" s="53">
        <f t="shared" si="1"/>
        <v>91120034763810</v>
      </c>
      <c r="C37" s="54">
        <f t="shared" si="4"/>
        <v>800</v>
      </c>
      <c r="D37" s="100">
        <f t="shared" si="2"/>
        <v>1.0900370096225019E-25</v>
      </c>
      <c r="E37" s="134">
        <f t="shared" si="3"/>
        <v>0.99996338110898686</v>
      </c>
    </row>
    <row r="38" spans="1:5" x14ac:dyDescent="0.3">
      <c r="A38" s="35">
        <v>3149.7538</v>
      </c>
      <c r="B38" s="53">
        <f t="shared" si="1"/>
        <v>94427414096340</v>
      </c>
      <c r="C38" s="54">
        <f t="shared" si="4"/>
        <v>900</v>
      </c>
      <c r="D38" s="100">
        <f t="shared" si="2"/>
        <v>1.2262916358253145E-25</v>
      </c>
      <c r="E38" s="134">
        <f t="shared" si="3"/>
        <v>0.99996338110898675</v>
      </c>
    </row>
    <row r="39" spans="1:5" x14ac:dyDescent="0.3">
      <c r="A39" s="35">
        <v>3153.9252999999999</v>
      </c>
      <c r="B39" s="53">
        <f t="shared" si="1"/>
        <v>94552472746290</v>
      </c>
      <c r="C39" s="54">
        <f t="shared" si="4"/>
        <v>1000</v>
      </c>
      <c r="D39" s="100">
        <f t="shared" si="2"/>
        <v>1.3625462620281272E-25</v>
      </c>
      <c r="E39" s="134">
        <f t="shared" si="3"/>
        <v>0.99996338110898675</v>
      </c>
    </row>
    <row r="40" spans="1:5" ht="15" thickBot="1" x14ac:dyDescent="0.35">
      <c r="A40" s="26">
        <v>3153.9254999999998</v>
      </c>
      <c r="B40" s="55">
        <f t="shared" si="1"/>
        <v>94552478742150</v>
      </c>
      <c r="C40" s="54">
        <f t="shared" si="4"/>
        <v>1100</v>
      </c>
      <c r="D40" s="100">
        <f t="shared" si="2"/>
        <v>1.4988008882309398E-25</v>
      </c>
      <c r="E40" s="134">
        <f t="shared" si="3"/>
        <v>0.99996338110898653</v>
      </c>
    </row>
    <row r="41" spans="1:5" x14ac:dyDescent="0.3">
      <c r="B41" s="53"/>
      <c r="C41" s="54">
        <f t="shared" si="4"/>
        <v>1200</v>
      </c>
      <c r="D41" s="100">
        <f t="shared" si="2"/>
        <v>1.6350555144337526E-25</v>
      </c>
      <c r="E41" s="134">
        <f t="shared" si="3"/>
        <v>0.99996338110898653</v>
      </c>
    </row>
    <row r="42" spans="1:5" x14ac:dyDescent="0.3">
      <c r="B42" s="53"/>
      <c r="C42" s="54">
        <f t="shared" si="4"/>
        <v>1300</v>
      </c>
      <c r="D42" s="100">
        <f t="shared" si="2"/>
        <v>1.7713101406365654E-25</v>
      </c>
      <c r="E42" s="134">
        <f t="shared" si="3"/>
        <v>0.99996338110898675</v>
      </c>
    </row>
    <row r="43" spans="1:5" x14ac:dyDescent="0.3">
      <c r="B43" s="53"/>
      <c r="C43" s="54">
        <f t="shared" si="4"/>
        <v>1400</v>
      </c>
      <c r="D43" s="100">
        <f t="shared" si="2"/>
        <v>1.907564766839378E-25</v>
      </c>
      <c r="E43" s="134">
        <f t="shared" si="3"/>
        <v>0.99996338110898653</v>
      </c>
    </row>
    <row r="44" spans="1:5" x14ac:dyDescent="0.3">
      <c r="B44" s="53"/>
      <c r="C44" s="54">
        <f t="shared" si="4"/>
        <v>1500</v>
      </c>
      <c r="D44" s="100">
        <f t="shared" si="2"/>
        <v>2.0438193930421908E-25</v>
      </c>
      <c r="E44" s="134">
        <f t="shared" si="3"/>
        <v>0.99996338110898675</v>
      </c>
    </row>
    <row r="45" spans="1:5" x14ac:dyDescent="0.3">
      <c r="B45" s="53"/>
      <c r="C45" s="54">
        <f t="shared" si="4"/>
        <v>1600</v>
      </c>
      <c r="D45" s="100">
        <f t="shared" si="2"/>
        <v>2.1800740192450038E-25</v>
      </c>
      <c r="E45" s="134">
        <f t="shared" si="3"/>
        <v>0.99996338110898686</v>
      </c>
    </row>
    <row r="46" spans="1:5" x14ac:dyDescent="0.3">
      <c r="B46" s="53"/>
      <c r="C46" s="54">
        <f t="shared" si="4"/>
        <v>1700</v>
      </c>
      <c r="D46" s="100">
        <f t="shared" si="2"/>
        <v>2.3163286454478159E-25</v>
      </c>
      <c r="E46" s="134">
        <f t="shared" si="3"/>
        <v>0.99996338110898664</v>
      </c>
    </row>
    <row r="47" spans="1:5" x14ac:dyDescent="0.3">
      <c r="B47" s="53"/>
      <c r="C47" s="54">
        <f t="shared" si="4"/>
        <v>1800</v>
      </c>
      <c r="D47" s="100">
        <f t="shared" si="2"/>
        <v>2.4525832716506289E-25</v>
      </c>
      <c r="E47" s="134">
        <f t="shared" si="3"/>
        <v>0.99996338110898675</v>
      </c>
    </row>
    <row r="48" spans="1:5" x14ac:dyDescent="0.3">
      <c r="B48" s="53"/>
      <c r="C48" s="54">
        <f t="shared" si="4"/>
        <v>1900</v>
      </c>
      <c r="D48" s="100">
        <f t="shared" si="2"/>
        <v>2.5888378978534419E-25</v>
      </c>
      <c r="E48" s="134">
        <f t="shared" si="3"/>
        <v>0.99996338110898686</v>
      </c>
    </row>
    <row r="49" spans="1:23" x14ac:dyDescent="0.3">
      <c r="B49" s="53"/>
      <c r="C49" s="54">
        <f t="shared" si="4"/>
        <v>2000</v>
      </c>
      <c r="D49" s="100">
        <f t="shared" si="2"/>
        <v>2.7250925240562545E-25</v>
      </c>
      <c r="E49" s="134">
        <f t="shared" si="3"/>
        <v>0.99996338110898675</v>
      </c>
    </row>
    <row r="50" spans="1:23" ht="15" thickBot="1" x14ac:dyDescent="0.35">
      <c r="C50" s="25">
        <f t="shared" si="4"/>
        <v>2100</v>
      </c>
      <c r="D50" s="101">
        <f t="shared" si="2"/>
        <v>2.8613471502590675E-25</v>
      </c>
      <c r="E50" s="135">
        <f t="shared" si="3"/>
        <v>0.99996338110898664</v>
      </c>
    </row>
    <row r="51" spans="1:23" ht="15" thickBot="1" x14ac:dyDescent="0.35"/>
    <row r="52" spans="1:23" ht="18.600000000000001" thickBot="1" x14ac:dyDescent="0.35">
      <c r="D52" s="171" t="s">
        <v>46</v>
      </c>
      <c r="E52" s="172"/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3"/>
    </row>
    <row r="53" spans="1:23" x14ac:dyDescent="0.3">
      <c r="A53" s="11" t="s">
        <v>47</v>
      </c>
      <c r="B53" s="57">
        <f>(EXP((-$C$2*D54)/(2*$A$2*$E$53))/(1 - EXP((-$C$2*D54)/($A$2*$E$53))))</f>
        <v>3.8865814685995557E-2</v>
      </c>
      <c r="D53" s="58" t="s">
        <v>48</v>
      </c>
      <c r="E53" s="59">
        <v>298.14999999999998</v>
      </c>
      <c r="F53" s="59">
        <f>300+100</f>
        <v>400</v>
      </c>
      <c r="G53" s="59">
        <f t="shared" ref="G53:W53" si="5">F53+100</f>
        <v>500</v>
      </c>
      <c r="H53" s="59">
        <f t="shared" si="5"/>
        <v>600</v>
      </c>
      <c r="I53" s="59">
        <f t="shared" si="5"/>
        <v>700</v>
      </c>
      <c r="J53" s="59">
        <f t="shared" si="5"/>
        <v>800</v>
      </c>
      <c r="K53" s="59">
        <f t="shared" si="5"/>
        <v>900</v>
      </c>
      <c r="L53" s="59">
        <f t="shared" si="5"/>
        <v>1000</v>
      </c>
      <c r="M53" s="59">
        <f t="shared" si="5"/>
        <v>1100</v>
      </c>
      <c r="N53" s="59">
        <f t="shared" si="5"/>
        <v>1200</v>
      </c>
      <c r="O53" s="59">
        <f t="shared" si="5"/>
        <v>1300</v>
      </c>
      <c r="P53" s="59">
        <f t="shared" si="5"/>
        <v>1400</v>
      </c>
      <c r="Q53" s="59">
        <f t="shared" si="5"/>
        <v>1500</v>
      </c>
      <c r="R53" s="59">
        <f t="shared" si="5"/>
        <v>1600</v>
      </c>
      <c r="S53" s="59">
        <f t="shared" si="5"/>
        <v>1700</v>
      </c>
      <c r="T53" s="59">
        <f t="shared" si="5"/>
        <v>1800</v>
      </c>
      <c r="U53" s="59">
        <f t="shared" si="5"/>
        <v>1900</v>
      </c>
      <c r="V53" s="59">
        <f t="shared" si="5"/>
        <v>2000</v>
      </c>
      <c r="W53" s="60">
        <f t="shared" si="5"/>
        <v>2100</v>
      </c>
    </row>
    <row r="54" spans="1:23" x14ac:dyDescent="0.3">
      <c r="A54" s="35"/>
      <c r="B54" s="61">
        <f t="shared" ref="B54:B61" si="6">(EXP((-$C$2*D55)/(2*$A$2*$E$53))/(1 - EXP((-$C$2*D55)/($A$2*$E$53))))</f>
        <v>3.8815655057106713E-2</v>
      </c>
      <c r="D54" s="62">
        <f t="shared" ref="D54:D62" si="7">A32*$I$2</f>
        <v>40368833272170</v>
      </c>
      <c r="E54" s="53">
        <f>(EXP((-$C$2*D54)/(2*$A$2*$E$53))/(1 - EXP((-$C$2*D54)/($A$2*$E$53))))</f>
        <v>3.8865814685995557E-2</v>
      </c>
      <c r="F54" s="53">
        <f t="shared" ref="F54:F62" si="8">(EXP((-$C$2*D54)/(2*$A$2*$F$53))/(1 - EXP((-$C$2*D54)/($A$2*$F$53))))</f>
        <v>8.9463559162988954E-2</v>
      </c>
      <c r="G54" s="53">
        <f t="shared" ref="G54:G62" si="9">(EXP((-$C$2*D54)/(2*$A$2*$G$53))/(1 - EXP((-$C$2*D54)/($A$2*$G$53))))</f>
        <v>0.14712210153210242</v>
      </c>
      <c r="H54" s="53">
        <f t="shared" ref="H54:H62" si="10">(EXP((-$C$2*D54)/(2*$A$2*$H$53))/(1 - EXP((-$C$2*D54)/($A$2*$H$53))))</f>
        <v>0.20718199336639803</v>
      </c>
      <c r="I54" s="53">
        <f t="shared" ref="I54:I62" si="11">(EXP((-$C$2*D54)/(2*$A$2*$I$53))/(1 - EXP((-$C$2*D54)/($A$2*$I$53))))</f>
        <v>0.26739007442770918</v>
      </c>
      <c r="J54" s="53">
        <f t="shared" ref="J54:J62" si="12">(EXP((-$C$2*D54)/(2*$A$2*$J$53))/(1 - EXP((-$C$2*D54)/($A$2*$J$53))))</f>
        <v>0.32694314174756334</v>
      </c>
      <c r="K54" s="53">
        <f>(EXP((-$C$2*D54)/(2*$A$2*$K$53))/(1 - EXP((-$C$2*D54)/($A$2*$K$53))))</f>
        <v>0.3856268724644652</v>
      </c>
      <c r="L54" s="53">
        <f t="shared" ref="L54:L62" si="13">(EXP((-$C$2*D54)/(2*$A$2*$L$53))/(1 - EXP((-$C$2*D54)/($A$2*$L$53))))</f>
        <v>0.44345081601014769</v>
      </c>
      <c r="M54" s="53">
        <f t="shared" ref="M54:M62" si="14">(EXP((-$C$2*D54)/(2*$A$2*$M$53))/(1 - EXP((-$C$2*D54)/($A$2*$M$53))))</f>
        <v>0.5005002751134987</v>
      </c>
      <c r="N54" s="53">
        <f t="shared" ref="N54:N62" si="15">(EXP((-$C$2*D54)/(2*$A$2*$N$53))/(1 - EXP((-$C$2*D54)/($A$2*$N$53))))</f>
        <v>0.55687777714016007</v>
      </c>
      <c r="O54" s="53">
        <f t="shared" ref="O54:O62" si="16">(EXP((-$C$2*D54)/(2*$A$2*$O$53))/(1 - EXP((-$C$2*D54)/($A$2*$O$53))))</f>
        <v>0.61268114529386764</v>
      </c>
      <c r="P54" s="53">
        <f t="shared" ref="P54:P62" si="17">(EXP((-$C$2*D54)/(2*$A$2*$P$53))/(1 - EXP((-$C$2*D54)/($A$2*$P$53))))</f>
        <v>0.66799643261825847</v>
      </c>
      <c r="Q54" s="53">
        <f t="shared" ref="Q54:Q62" si="18">(EXP((-$C$2*D54)/(2*$A$2*$Q$53))/(1 - EXP((-$C$2*D54)/($A$2*$Q$53))))</f>
        <v>0.72289675289381872</v>
      </c>
      <c r="R54" s="53">
        <f t="shared" ref="R54:R62" si="19">(EXP((-$C$2*D54)/(2*$A$2*$R$53))/(1 - EXP((-$C$2*D54)/($A$2*$R$53))))</f>
        <v>0.77744329035143123</v>
      </c>
      <c r="S54" s="53">
        <f t="shared" ref="S54:S62" si="20">(EXP((-$C$2*D54)/(2*$A$2*$S$53))/(1 - EXP((-$C$2*D54)/($A$2*$S$53))))</f>
        <v>0.8316869573437019</v>
      </c>
      <c r="T54" s="53">
        <f t="shared" ref="T54:T62" si="21">(EXP((-$C$2*D54)/(2*$A$2*$T$53))/(1 - EXP((-$C$2*D54)/($A$2*$T$53))))</f>
        <v>0.88567009154541465</v>
      </c>
      <c r="U54" s="53">
        <f t="shared" ref="U54:U62" si="22">(EXP((-$C$2*D54)/(2*$A$2*$U$53))/(1 - EXP((-$C$2*D54)/($A$2*$U$53))))</f>
        <v>0.93942797410768486</v>
      </c>
      <c r="V54" s="53">
        <f t="shared" ref="V54:V62" si="23">(EXP((-$C$2*D54)/(2*$A$2*$V$53))/(1 - EXP((-$C$2*D54)/($A$2*$V$53))))</f>
        <v>0.99299011228276002</v>
      </c>
      <c r="W54" s="61">
        <f t="shared" ref="W54:W62" si="24">(EXP((-$C$2*D54)/(2*$A$2*$W$53))/(1 - EXP((-$C$2*D54)/($A$2*$W$53))))</f>
        <v>1.0463812939693182</v>
      </c>
    </row>
    <row r="55" spans="1:23" x14ac:dyDescent="0.3">
      <c r="A55" s="35"/>
      <c r="B55" s="61">
        <f t="shared" si="6"/>
        <v>3.8815542327766288E-2</v>
      </c>
      <c r="D55" s="62">
        <f t="shared" si="7"/>
        <v>40384830226650</v>
      </c>
      <c r="E55" s="53">
        <f t="shared" ref="E55:E62" si="25">(EXP((-$C$2*D55)/(2*$A$2*$E$53))/(1 - EXP((-$C$2*D55)/($A$2*$E$53))))</f>
        <v>3.8815655057106713E-2</v>
      </c>
      <c r="F55" s="53">
        <f t="shared" si="8"/>
        <v>8.9376381293463675E-2</v>
      </c>
      <c r="G55" s="53">
        <f t="shared" si="9"/>
        <v>0.14700440967255266</v>
      </c>
      <c r="H55" s="53">
        <f t="shared" si="10"/>
        <v>0.20703856619054198</v>
      </c>
      <c r="I55" s="53">
        <f t="shared" si="11"/>
        <v>0.26722384944689337</v>
      </c>
      <c r="J55" s="53">
        <f t="shared" si="12"/>
        <v>0.32675576568282277</v>
      </c>
      <c r="K55" s="53">
        <f t="shared" ref="K55:K62" si="26">(EXP((-$C$2*D55)/(2*$A$2*$K$53))/(1 - EXP((-$C$2*D55)/($A$2*$K$53))))</f>
        <v>0.38541922957319025</v>
      </c>
      <c r="L55" s="53">
        <f t="shared" si="13"/>
        <v>0.443223362133011</v>
      </c>
      <c r="M55" s="53">
        <f t="shared" si="14"/>
        <v>0.50025322880084322</v>
      </c>
      <c r="N55" s="53">
        <f t="shared" si="15"/>
        <v>0.55661122619367875</v>
      </c>
      <c r="O55" s="53">
        <f t="shared" si="16"/>
        <v>0.61239510606530989</v>
      </c>
      <c r="P55" s="53">
        <f t="shared" si="17"/>
        <v>0.66769088322115411</v>
      </c>
      <c r="Q55" s="53">
        <f t="shared" si="18"/>
        <v>0.72257165193137185</v>
      </c>
      <c r="R55" s="53">
        <f t="shared" si="19"/>
        <v>0.7770985875107731</v>
      </c>
      <c r="S55" s="53">
        <f t="shared" si="20"/>
        <v>0.8313225993654878</v>
      </c>
      <c r="T55" s="53">
        <f t="shared" si="21"/>
        <v>0.88528602553508806</v>
      </c>
      <c r="U55" s="53">
        <f t="shared" si="22"/>
        <v>0.93902414930681599</v>
      </c>
      <c r="V55" s="53">
        <f t="shared" si="23"/>
        <v>0.99256648094560929</v>
      </c>
      <c r="W55" s="61">
        <f t="shared" si="24"/>
        <v>1.0459378117213372</v>
      </c>
    </row>
    <row r="56" spans="1:23" x14ac:dyDescent="0.3">
      <c r="A56" s="35"/>
      <c r="B56" s="61">
        <f t="shared" si="6"/>
        <v>2.299985724842352E-2</v>
      </c>
      <c r="D56" s="62">
        <f t="shared" si="7"/>
        <v>40384866201810</v>
      </c>
      <c r="E56" s="53">
        <f t="shared" si="25"/>
        <v>3.8815542327766288E-2</v>
      </c>
      <c r="F56" s="53">
        <f t="shared" si="8"/>
        <v>8.9376185340016956E-2</v>
      </c>
      <c r="G56" s="53">
        <f t="shared" si="9"/>
        <v>0.14700414511278254</v>
      </c>
      <c r="H56" s="53">
        <f t="shared" si="10"/>
        <v>0.20703824376897864</v>
      </c>
      <c r="I56" s="53">
        <f t="shared" si="11"/>
        <v>0.2672234757699557</v>
      </c>
      <c r="J56" s="53">
        <f t="shared" si="12"/>
        <v>0.32675534445464138</v>
      </c>
      <c r="K56" s="53">
        <f t="shared" si="26"/>
        <v>0.38541876278316228</v>
      </c>
      <c r="L56" s="53">
        <f t="shared" si="13"/>
        <v>0.44322285080690516</v>
      </c>
      <c r="M56" s="53">
        <f t="shared" si="14"/>
        <v>0.50025267343062729</v>
      </c>
      <c r="N56" s="53">
        <f t="shared" si="15"/>
        <v>0.55661062697715424</v>
      </c>
      <c r="O56" s="53">
        <f t="shared" si="16"/>
        <v>0.61239446303950285</v>
      </c>
      <c r="P56" s="53">
        <f t="shared" si="17"/>
        <v>0.66769019633702964</v>
      </c>
      <c r="Q56" s="53">
        <f t="shared" si="18"/>
        <v>0.72257092109597143</v>
      </c>
      <c r="R56" s="53">
        <f t="shared" si="19"/>
        <v>0.77709781261105182</v>
      </c>
      <c r="S56" s="53">
        <f t="shared" si="20"/>
        <v>0.83132178028174974</v>
      </c>
      <c r="T56" s="53">
        <f t="shared" si="21"/>
        <v>0.88528516214844022</v>
      </c>
      <c r="U56" s="53">
        <f t="shared" si="22"/>
        <v>0.93902324150315541</v>
      </c>
      <c r="V56" s="53">
        <f t="shared" si="23"/>
        <v>0.99256552861759761</v>
      </c>
      <c r="W56" s="61">
        <f t="shared" si="24"/>
        <v>1.0459368147692105</v>
      </c>
    </row>
    <row r="57" spans="1:23" x14ac:dyDescent="0.3">
      <c r="A57" s="35"/>
      <c r="B57" s="61">
        <f t="shared" si="6"/>
        <v>2.2999785026092713E-2</v>
      </c>
      <c r="D57" s="62">
        <f t="shared" si="7"/>
        <v>46874872005780</v>
      </c>
      <c r="E57" s="53">
        <f t="shared" si="25"/>
        <v>2.299985724842352E-2</v>
      </c>
      <c r="F57" s="53">
        <f t="shared" si="8"/>
        <v>6.029343410249579E-2</v>
      </c>
      <c r="G57" s="53">
        <f t="shared" si="9"/>
        <v>0.10661397637547312</v>
      </c>
      <c r="H57" s="53">
        <f t="shared" si="10"/>
        <v>0.15708705808832404</v>
      </c>
      <c r="I57" s="53">
        <f t="shared" si="11"/>
        <v>0.20889762555517091</v>
      </c>
      <c r="J57" s="53">
        <f t="shared" si="12"/>
        <v>0.26076966387604128</v>
      </c>
      <c r="K57" s="53">
        <f t="shared" si="26"/>
        <v>0.31218324785569335</v>
      </c>
      <c r="L57" s="53">
        <f t="shared" si="13"/>
        <v>0.36296526098432697</v>
      </c>
      <c r="M57" s="53">
        <f t="shared" si="14"/>
        <v>0.41309456618623758</v>
      </c>
      <c r="N57" s="53">
        <f t="shared" si="15"/>
        <v>0.46261215211468326</v>
      </c>
      <c r="O57" s="53">
        <f t="shared" si="16"/>
        <v>0.51158040941838778</v>
      </c>
      <c r="P57" s="53">
        <f t="shared" si="17"/>
        <v>0.56006515507306343</v>
      </c>
      <c r="Q57" s="53">
        <f t="shared" si="18"/>
        <v>0.60812816433963968</v>
      </c>
      <c r="R57" s="53">
        <f t="shared" si="19"/>
        <v>0.65582452260683999</v>
      </c>
      <c r="S57" s="53">
        <f t="shared" si="20"/>
        <v>0.70320213776166152</v>
      </c>
      <c r="T57" s="53">
        <f t="shared" si="21"/>
        <v>0.75030216570384345</v>
      </c>
      <c r="U57" s="53">
        <f t="shared" si="22"/>
        <v>0.79715976741876404</v>
      </c>
      <c r="V57" s="53">
        <f t="shared" si="23"/>
        <v>0.84380493279079349</v>
      </c>
      <c r="W57" s="61">
        <f t="shared" si="24"/>
        <v>0.89026325748731172</v>
      </c>
    </row>
    <row r="58" spans="1:23" x14ac:dyDescent="0.3">
      <c r="A58" s="35"/>
      <c r="B58" s="61">
        <f t="shared" si="6"/>
        <v>6.5299891771327116E-4</v>
      </c>
      <c r="D58" s="62">
        <f t="shared" si="7"/>
        <v>46874910978870</v>
      </c>
      <c r="E58" s="53">
        <f t="shared" si="25"/>
        <v>2.2999785026092713E-2</v>
      </c>
      <c r="F58" s="53">
        <f t="shared" si="8"/>
        <v>6.0293292109403512E-2</v>
      </c>
      <c r="G58" s="53">
        <f t="shared" si="9"/>
        <v>0.10661377247343917</v>
      </c>
      <c r="H58" s="53">
        <f t="shared" si="10"/>
        <v>0.1570868014318296</v>
      </c>
      <c r="I58" s="53">
        <f t="shared" si="11"/>
        <v>0.20889732307685097</v>
      </c>
      <c r="J58" s="53">
        <f t="shared" si="12"/>
        <v>0.26076932005400277</v>
      </c>
      <c r="K58" s="53">
        <f t="shared" si="26"/>
        <v>0.31218286540892126</v>
      </c>
      <c r="L58" s="53">
        <f t="shared" si="13"/>
        <v>0.36296484151175529</v>
      </c>
      <c r="M58" s="53">
        <f t="shared" si="14"/>
        <v>0.41309411060242923</v>
      </c>
      <c r="N58" s="53">
        <f t="shared" si="15"/>
        <v>0.46261166092189093</v>
      </c>
      <c r="O58" s="53">
        <f t="shared" si="16"/>
        <v>0.51157988287162981</v>
      </c>
      <c r="P58" s="53">
        <f t="shared" si="17"/>
        <v>0.56006459327964564</v>
      </c>
      <c r="Q58" s="53">
        <f t="shared" si="18"/>
        <v>0.60812756731930551</v>
      </c>
      <c r="R58" s="53">
        <f t="shared" si="19"/>
        <v>0.65582389032832011</v>
      </c>
      <c r="S58" s="53">
        <f t="shared" si="20"/>
        <v>0.70320147016499568</v>
      </c>
      <c r="T58" s="53">
        <f t="shared" si="21"/>
        <v>0.75030146271404885</v>
      </c>
      <c r="U58" s="53">
        <f t="shared" si="22"/>
        <v>0.79715902895419199</v>
      </c>
      <c r="V58" s="53">
        <f t="shared" si="23"/>
        <v>0.84380415876819537</v>
      </c>
      <c r="W58" s="61">
        <f t="shared" si="24"/>
        <v>0.89026244782485553</v>
      </c>
    </row>
    <row r="59" spans="1:23" x14ac:dyDescent="0.3">
      <c r="A59" s="35"/>
      <c r="B59" s="61">
        <f t="shared" si="6"/>
        <v>5.0038400132746341E-4</v>
      </c>
      <c r="D59" s="62">
        <f t="shared" si="7"/>
        <v>91120034763810</v>
      </c>
      <c r="E59" s="53">
        <f t="shared" si="25"/>
        <v>6.5299891771327116E-4</v>
      </c>
      <c r="F59" s="53">
        <f t="shared" si="8"/>
        <v>4.2259367593092045E-3</v>
      </c>
      <c r="G59" s="53">
        <f t="shared" si="9"/>
        <v>1.2612502326597285E-2</v>
      </c>
      <c r="H59" s="53">
        <f t="shared" si="10"/>
        <v>2.6156139241007997E-2</v>
      </c>
      <c r="I59" s="53">
        <f t="shared" si="11"/>
        <v>4.4077957685536837E-2</v>
      </c>
      <c r="J59" s="53">
        <f t="shared" si="12"/>
        <v>6.5282499781603484E-2</v>
      </c>
      <c r="K59" s="53">
        <f t="shared" si="26"/>
        <v>8.8763259287715376E-2</v>
      </c>
      <c r="L59" s="53">
        <f t="shared" si="13"/>
        <v>0.1137306677699438</v>
      </c>
      <c r="M59" s="53">
        <f t="shared" si="14"/>
        <v>0.13961248818318472</v>
      </c>
      <c r="N59" s="53">
        <f t="shared" si="15"/>
        <v>0.1660126234390677</v>
      </c>
      <c r="O59" s="53">
        <f t="shared" si="16"/>
        <v>0.19266518623516915</v>
      </c>
      <c r="P59" s="53">
        <f t="shared" si="17"/>
        <v>0.21939606668509007</v>
      </c>
      <c r="Q59" s="53">
        <f t="shared" si="18"/>
        <v>0.2460941171845388</v>
      </c>
      <c r="R59" s="53">
        <f t="shared" si="19"/>
        <v>0.27269066802336672</v>
      </c>
      <c r="S59" s="53">
        <f t="shared" si="20"/>
        <v>0.29914537077304648</v>
      </c>
      <c r="T59" s="53">
        <f t="shared" si="21"/>
        <v>0.325436565538057</v>
      </c>
      <c r="U59" s="53">
        <f t="shared" si="22"/>
        <v>0.35155478339490742</v>
      </c>
      <c r="V59" s="53">
        <f t="shared" si="23"/>
        <v>0.37749838633194993</v>
      </c>
      <c r="W59" s="61">
        <f t="shared" si="24"/>
        <v>0.40327065237532095</v>
      </c>
    </row>
    <row r="60" spans="1:23" x14ac:dyDescent="0.3">
      <c r="A60" s="35"/>
      <c r="B60" s="61">
        <f t="shared" si="6"/>
        <v>4.9537262859297466E-4</v>
      </c>
      <c r="D60" s="62">
        <f t="shared" si="7"/>
        <v>94427414096340</v>
      </c>
      <c r="E60" s="53">
        <f t="shared" si="25"/>
        <v>5.0038400132746341E-4</v>
      </c>
      <c r="F60" s="53">
        <f t="shared" si="8"/>
        <v>3.4653604747500772E-3</v>
      </c>
      <c r="G60" s="53">
        <f t="shared" si="9"/>
        <v>1.0760807002233756E-2</v>
      </c>
      <c r="H60" s="53">
        <f t="shared" si="10"/>
        <v>2.2911662467143986E-2</v>
      </c>
      <c r="I60" s="53">
        <f t="shared" si="11"/>
        <v>3.9337745904402775E-2</v>
      </c>
      <c r="J60" s="53">
        <f t="shared" si="12"/>
        <v>5.9071661135439074E-2</v>
      </c>
      <c r="K60" s="53">
        <f t="shared" si="26"/>
        <v>8.116820045234642E-2</v>
      </c>
      <c r="L60" s="53">
        <f t="shared" si="13"/>
        <v>0.10485651502409347</v>
      </c>
      <c r="M60" s="53">
        <f t="shared" si="14"/>
        <v>0.1295609891275491</v>
      </c>
      <c r="N60" s="53">
        <f t="shared" si="15"/>
        <v>0.1548728287957748</v>
      </c>
      <c r="O60" s="53">
        <f t="shared" si="16"/>
        <v>0.18051095224650815</v>
      </c>
      <c r="P60" s="53">
        <f t="shared" si="17"/>
        <v>0.2062867461364116</v>
      </c>
      <c r="Q60" s="53">
        <f t="shared" si="18"/>
        <v>0.23207648250020155</v>
      </c>
      <c r="R60" s="53">
        <f t="shared" si="19"/>
        <v>0.2578011081566815</v>
      </c>
      <c r="S60" s="53">
        <f t="shared" si="20"/>
        <v>0.28341194215041715</v>
      </c>
      <c r="T60" s="53">
        <f t="shared" si="21"/>
        <v>0.30888074752074135</v>
      </c>
      <c r="U60" s="53">
        <f t="shared" si="22"/>
        <v>0.33419291448379107</v>
      </c>
      <c r="V60" s="53">
        <f t="shared" si="23"/>
        <v>0.35934280966018478</v>
      </c>
      <c r="W60" s="61">
        <f t="shared" si="24"/>
        <v>0.38433061598155377</v>
      </c>
    </row>
    <row r="61" spans="1:23" ht="15" thickBot="1" x14ac:dyDescent="0.35">
      <c r="A61" s="26"/>
      <c r="B61" s="63">
        <f t="shared" si="6"/>
        <v>4.9537238953303267E-4</v>
      </c>
      <c r="D61" s="62">
        <f t="shared" si="7"/>
        <v>94552472746290</v>
      </c>
      <c r="E61" s="53">
        <f t="shared" si="25"/>
        <v>4.9537262859297466E-4</v>
      </c>
      <c r="F61" s="53">
        <f t="shared" si="8"/>
        <v>3.4394579349538868E-3</v>
      </c>
      <c r="G61" s="53">
        <f t="shared" si="9"/>
        <v>1.0696398445332059E-2</v>
      </c>
      <c r="H61" s="53">
        <f t="shared" si="10"/>
        <v>2.2797231509789784E-2</v>
      </c>
      <c r="I61" s="53">
        <f t="shared" si="11"/>
        <v>3.9168941434991951E-2</v>
      </c>
      <c r="J61" s="53">
        <f t="shared" si="12"/>
        <v>5.8848951158456918E-2</v>
      </c>
      <c r="K61" s="53">
        <f t="shared" si="26"/>
        <v>8.0894477346034999E-2</v>
      </c>
      <c r="L61" s="53">
        <f t="shared" si="13"/>
        <v>0.10453550429179957</v>
      </c>
      <c r="M61" s="53">
        <f t="shared" si="14"/>
        <v>0.12919639081437409</v>
      </c>
      <c r="N61" s="53">
        <f t="shared" si="15"/>
        <v>0.15446793455743113</v>
      </c>
      <c r="O61" s="53">
        <f t="shared" si="16"/>
        <v>0.18006852508845028</v>
      </c>
      <c r="P61" s="53">
        <f t="shared" si="17"/>
        <v>0.20580902798941936</v>
      </c>
      <c r="Q61" s="53">
        <f t="shared" si="18"/>
        <v>0.23156525468655598</v>
      </c>
      <c r="R61" s="53">
        <f t="shared" si="19"/>
        <v>0.25725776680583656</v>
      </c>
      <c r="S61" s="53">
        <f t="shared" si="20"/>
        <v>0.28283757117831565</v>
      </c>
      <c r="T61" s="53">
        <f t="shared" si="21"/>
        <v>0.30827618240288879</v>
      </c>
      <c r="U61" s="53">
        <f t="shared" si="22"/>
        <v>0.33355879516873255</v>
      </c>
      <c r="V61" s="53">
        <f t="shared" si="23"/>
        <v>0.35867962321628583</v>
      </c>
      <c r="W61" s="61">
        <f t="shared" si="24"/>
        <v>0.38363873039289392</v>
      </c>
    </row>
    <row r="62" spans="1:23" ht="15" thickBot="1" x14ac:dyDescent="0.35">
      <c r="B62" s="53"/>
      <c r="D62" s="64">
        <f t="shared" si="7"/>
        <v>94552478742150</v>
      </c>
      <c r="E62" s="55">
        <f t="shared" si="25"/>
        <v>4.9537238953303267E-4</v>
      </c>
      <c r="F62" s="55">
        <f t="shared" si="8"/>
        <v>3.4394566977259552E-3</v>
      </c>
      <c r="G62" s="55">
        <f t="shared" si="9"/>
        <v>1.0696395366568273E-2</v>
      </c>
      <c r="H62" s="55">
        <f t="shared" si="10"/>
        <v>2.279722603722055E-2</v>
      </c>
      <c r="I62" s="55">
        <f t="shared" si="11"/>
        <v>3.916893335926213E-2</v>
      </c>
      <c r="J62" s="55">
        <f t="shared" si="12"/>
        <v>5.8848940501194484E-2</v>
      </c>
      <c r="K62" s="55">
        <f t="shared" si="26"/>
        <v>8.0894464245268888E-2</v>
      </c>
      <c r="L62" s="55">
        <f t="shared" si="13"/>
        <v>0.10453548892571002</v>
      </c>
      <c r="M62" s="55">
        <f t="shared" si="14"/>
        <v>0.12919637336009462</v>
      </c>
      <c r="N62" s="55">
        <f t="shared" si="15"/>
        <v>0.15446791517263928</v>
      </c>
      <c r="O62" s="55">
        <f t="shared" si="16"/>
        <v>0.18006850390555845</v>
      </c>
      <c r="P62" s="55">
        <f t="shared" si="17"/>
        <v>0.20580900511590608</v>
      </c>
      <c r="Q62" s="55">
        <f t="shared" si="18"/>
        <v>0.23156523020784375</v>
      </c>
      <c r="R62" s="55">
        <f t="shared" si="19"/>
        <v>0.25725774078889407</v>
      </c>
      <c r="S62" s="55">
        <f t="shared" si="20"/>
        <v>0.2828375436751483</v>
      </c>
      <c r="T62" s="55">
        <f t="shared" si="21"/>
        <v>0.30827615345359177</v>
      </c>
      <c r="U62" s="55">
        <f t="shared" si="22"/>
        <v>0.33355876480402541</v>
      </c>
      <c r="V62" s="55">
        <f t="shared" si="23"/>
        <v>0.35867959145955525</v>
      </c>
      <c r="W62" s="63">
        <f t="shared" si="24"/>
        <v>0.3836386972618141</v>
      </c>
    </row>
    <row r="63" spans="1:23" x14ac:dyDescent="0.3">
      <c r="B63" s="53"/>
      <c r="D63" s="65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</row>
    <row r="64" spans="1:23" ht="15" thickBot="1" x14ac:dyDescent="0.35">
      <c r="B64" s="53"/>
      <c r="D64" s="65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</row>
    <row r="65" spans="1:23" x14ac:dyDescent="0.3">
      <c r="B65" s="53"/>
      <c r="D65" s="66" t="s">
        <v>49</v>
      </c>
      <c r="E65" s="67">
        <v>298.14999999999998</v>
      </c>
      <c r="F65" s="67">
        <f>300+100</f>
        <v>400</v>
      </c>
      <c r="G65" s="67">
        <f t="shared" ref="G65:W65" si="27">F65+100</f>
        <v>500</v>
      </c>
      <c r="H65" s="67">
        <f t="shared" si="27"/>
        <v>600</v>
      </c>
      <c r="I65" s="67">
        <f t="shared" si="27"/>
        <v>700</v>
      </c>
      <c r="J65" s="67">
        <f t="shared" si="27"/>
        <v>800</v>
      </c>
      <c r="K65" s="67">
        <f t="shared" si="27"/>
        <v>900</v>
      </c>
      <c r="L65" s="67">
        <f t="shared" si="27"/>
        <v>1000</v>
      </c>
      <c r="M65" s="67">
        <f t="shared" si="27"/>
        <v>1100</v>
      </c>
      <c r="N65" s="67">
        <f t="shared" si="27"/>
        <v>1200</v>
      </c>
      <c r="O65" s="67">
        <f t="shared" si="27"/>
        <v>1300</v>
      </c>
      <c r="P65" s="67">
        <f t="shared" si="27"/>
        <v>1400</v>
      </c>
      <c r="Q65" s="67">
        <f t="shared" si="27"/>
        <v>1500</v>
      </c>
      <c r="R65" s="67">
        <f t="shared" si="27"/>
        <v>1600</v>
      </c>
      <c r="S65" s="67">
        <f t="shared" si="27"/>
        <v>1700</v>
      </c>
      <c r="T65" s="67">
        <f t="shared" si="27"/>
        <v>1800</v>
      </c>
      <c r="U65" s="67">
        <f t="shared" si="27"/>
        <v>1900</v>
      </c>
      <c r="V65" s="67">
        <f t="shared" si="27"/>
        <v>2000</v>
      </c>
      <c r="W65" s="68">
        <f t="shared" si="27"/>
        <v>2100</v>
      </c>
    </row>
    <row r="66" spans="1:23" ht="15" thickBot="1" x14ac:dyDescent="0.35">
      <c r="B66" s="53"/>
      <c r="D66" s="64" t="s">
        <v>50</v>
      </c>
      <c r="E66" s="55">
        <f>PRODUCT(E54:E62)</f>
        <v>2.4837561262596703E-21</v>
      </c>
      <c r="F66" s="55">
        <f>PRODUCT(F54:F62)</f>
        <v>4.5007100072614691E-16</v>
      </c>
      <c r="G66" s="55">
        <f t="shared" ref="G66:W66" si="28">PRODUCT(G54:G62)</f>
        <v>5.6115965116358827E-13</v>
      </c>
      <c r="H66" s="55">
        <f t="shared" si="28"/>
        <v>6.8254029373409054E-11</v>
      </c>
      <c r="I66" s="55">
        <f t="shared" si="28"/>
        <v>2.216542173783435E-9</v>
      </c>
      <c r="J66" s="55">
        <f t="shared" si="28"/>
        <v>3.1701885105781797E-8</v>
      </c>
      <c r="K66" s="55">
        <f t="shared" si="28"/>
        <v>2.632140173954124E-7</v>
      </c>
      <c r="L66" s="55">
        <f t="shared" si="28"/>
        <v>1.4956171882431537E-6</v>
      </c>
      <c r="M66" s="55">
        <f t="shared" si="28"/>
        <v>6.4532925173967981E-6</v>
      </c>
      <c r="N66" s="55">
        <f t="shared" si="28"/>
        <v>2.2651132620723072E-5</v>
      </c>
      <c r="O66" s="55">
        <f t="shared" si="28"/>
        <v>6.781210300804256E-5</v>
      </c>
      <c r="P66" s="55">
        <f t="shared" si="28"/>
        <v>1.7907304484827573E-4</v>
      </c>
      <c r="Q66" s="55">
        <f t="shared" si="28"/>
        <v>4.2747093724311168E-4</v>
      </c>
      <c r="R66" s="55">
        <f t="shared" si="28"/>
        <v>9.3947972738230891E-4</v>
      </c>
      <c r="S66" s="55">
        <f t="shared" si="28"/>
        <v>1.9276721722619617E-3</v>
      </c>
      <c r="T66" s="55">
        <f t="shared" si="28"/>
        <v>3.7329129075870651E-3</v>
      </c>
      <c r="U66" s="55">
        <f t="shared" si="28"/>
        <v>6.880847539343744E-3</v>
      </c>
      <c r="V66" s="55">
        <f t="shared" si="28"/>
        <v>1.2155837020012076E-2</v>
      </c>
      <c r="W66" s="63">
        <f t="shared" si="28"/>
        <v>2.0695896183210393E-2</v>
      </c>
    </row>
    <row r="67" spans="1:23" x14ac:dyDescent="0.3">
      <c r="B67" s="53"/>
      <c r="D67" s="65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</row>
    <row r="68" spans="1:23" x14ac:dyDescent="0.3">
      <c r="B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</row>
    <row r="69" spans="1:23" x14ac:dyDescent="0.3">
      <c r="B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</row>
    <row r="70" spans="1:23" x14ac:dyDescent="0.3">
      <c r="B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</row>
    <row r="71" spans="1:23" ht="15" thickBot="1" x14ac:dyDescent="0.35"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</row>
    <row r="72" spans="1:23" x14ac:dyDescent="0.3">
      <c r="A72" s="17" t="s">
        <v>51</v>
      </c>
      <c r="B72" s="19">
        <f>COUNT(B53:B70)</f>
        <v>9</v>
      </c>
    </row>
    <row r="73" spans="1:23" ht="21" thickBot="1" x14ac:dyDescent="0.35">
      <c r="A73" s="69" t="s">
        <v>52</v>
      </c>
      <c r="B73" s="70">
        <f>PRODUCT(B53:B61)</f>
        <v>2.4837561262596703E-21</v>
      </c>
    </row>
    <row r="76" spans="1:23" ht="15" thickBot="1" x14ac:dyDescent="0.35"/>
    <row r="77" spans="1:23" x14ac:dyDescent="0.3">
      <c r="A77" s="16" t="s">
        <v>53</v>
      </c>
    </row>
    <row r="78" spans="1:23" x14ac:dyDescent="0.3">
      <c r="A78" s="71">
        <v>2.4882600000000002E-21</v>
      </c>
    </row>
    <row r="79" spans="1:23" x14ac:dyDescent="0.3">
      <c r="A79" s="72" t="s">
        <v>54</v>
      </c>
    </row>
    <row r="80" spans="1:23" ht="15" thickBot="1" x14ac:dyDescent="0.35">
      <c r="A80" s="73">
        <f>ABS(B73-A78)/B73</f>
        <v>1.8133317086618883E-3</v>
      </c>
    </row>
    <row r="81" spans="2:10" ht="15" thickBot="1" x14ac:dyDescent="0.35"/>
    <row r="82" spans="2:10" ht="18" x14ac:dyDescent="0.3">
      <c r="D82" s="11" t="s">
        <v>45</v>
      </c>
      <c r="E82" s="56" t="s">
        <v>55</v>
      </c>
      <c r="F82" s="52" t="s">
        <v>9</v>
      </c>
    </row>
    <row r="83" spans="2:10" ht="18.600000000000001" thickBot="1" x14ac:dyDescent="0.35">
      <c r="B83" s="74"/>
      <c r="D83" s="35">
        <f>298.15</f>
        <v>298.14999999999998</v>
      </c>
      <c r="E83" s="61">
        <f xml:space="preserve"> ( (2*$B$2*$E$2*$A$2*D83)/($C$2*$C$2) )^(1.5) * ($A$2*D83) /$F$83</f>
        <v>2522718.5782193295</v>
      </c>
      <c r="F83" s="25">
        <v>101325</v>
      </c>
      <c r="H83" s="5" t="s">
        <v>56</v>
      </c>
    </row>
    <row r="84" spans="2:10" ht="15" thickBot="1" x14ac:dyDescent="0.35">
      <c r="D84" s="35">
        <f>300+100</f>
        <v>400</v>
      </c>
      <c r="E84" s="61">
        <f t="shared" ref="E84:E101" si="29" xml:space="preserve"> ( (2*$B$2*$E$2*$A$2*D84)/($C$2*$C$2) )^(1.5) * ($A$2*D84) /$F$83</f>
        <v>5259346.0807048045</v>
      </c>
    </row>
    <row r="85" spans="2:10" ht="15" thickBot="1" x14ac:dyDescent="0.35">
      <c r="D85" s="35">
        <f t="shared" ref="D85:D101" si="30">D84+100</f>
        <v>500</v>
      </c>
      <c r="E85" s="61">
        <f t="shared" si="29"/>
        <v>9187699.4950413574</v>
      </c>
      <c r="J85" s="16" t="s">
        <v>57</v>
      </c>
    </row>
    <row r="86" spans="2:10" x14ac:dyDescent="0.3">
      <c r="D86" s="35">
        <f t="shared" si="30"/>
        <v>600</v>
      </c>
      <c r="E86" s="61">
        <f t="shared" si="29"/>
        <v>14493053.563237401</v>
      </c>
      <c r="H86" s="75" t="s">
        <v>58</v>
      </c>
      <c r="I86" s="17" t="s">
        <v>59</v>
      </c>
      <c r="J86" s="76">
        <f xml:space="preserve"> ( (2*$B$2*$E$2*$A$2*298.15)/($C$2*$C$2) )^(1.5) * ($A$2*D83) /$F$83</f>
        <v>2522718.5782193295</v>
      </c>
    </row>
    <row r="87" spans="2:10" ht="15" thickBot="1" x14ac:dyDescent="0.35">
      <c r="D87" s="35">
        <f t="shared" si="30"/>
        <v>700</v>
      </c>
      <c r="E87" s="61">
        <f t="shared" si="29"/>
        <v>21307223.988437068</v>
      </c>
      <c r="H87" s="59" t="s">
        <v>60</v>
      </c>
      <c r="I87" s="26" t="s">
        <v>59</v>
      </c>
      <c r="J87" s="77">
        <v>2522950</v>
      </c>
    </row>
    <row r="88" spans="2:10" x14ac:dyDescent="0.3">
      <c r="D88" s="35">
        <f t="shared" si="30"/>
        <v>800</v>
      </c>
      <c r="E88" s="61">
        <f t="shared" si="29"/>
        <v>29751354.226185728</v>
      </c>
      <c r="J88" s="78" t="s">
        <v>54</v>
      </c>
    </row>
    <row r="89" spans="2:10" x14ac:dyDescent="0.3">
      <c r="D89" s="35">
        <f t="shared" si="30"/>
        <v>900</v>
      </c>
      <c r="E89" s="61">
        <f t="shared" si="29"/>
        <v>39938159.300351597</v>
      </c>
      <c r="J89" s="79">
        <f>(J86-J87)/J87</f>
        <v>-9.1726661515498665E-5</v>
      </c>
    </row>
    <row r="90" spans="2:10" x14ac:dyDescent="0.3">
      <c r="D90" s="35">
        <f t="shared" si="30"/>
        <v>1000</v>
      </c>
      <c r="E90" s="61">
        <f t="shared" si="29"/>
        <v>51973476.931583114</v>
      </c>
    </row>
    <row r="91" spans="2:10" x14ac:dyDescent="0.3">
      <c r="D91" s="35">
        <f t="shared" si="30"/>
        <v>1100</v>
      </c>
      <c r="E91" s="61">
        <f t="shared" si="29"/>
        <v>65957393.395975426</v>
      </c>
    </row>
    <row r="92" spans="2:10" x14ac:dyDescent="0.3">
      <c r="D92" s="35">
        <f t="shared" si="30"/>
        <v>1200</v>
      </c>
      <c r="E92" s="61">
        <f t="shared" si="29"/>
        <v>81985091.637320414</v>
      </c>
    </row>
    <row r="93" spans="2:10" x14ac:dyDescent="0.3">
      <c r="D93" s="35">
        <f t="shared" si="30"/>
        <v>1300</v>
      </c>
      <c r="E93" s="61">
        <f t="shared" si="29"/>
        <v>100147509.15084988</v>
      </c>
    </row>
    <row r="94" spans="2:10" x14ac:dyDescent="0.3">
      <c r="D94" s="35">
        <f t="shared" si="30"/>
        <v>1400</v>
      </c>
      <c r="E94" s="61">
        <f t="shared" si="29"/>
        <v>120531860.56387654</v>
      </c>
    </row>
    <row r="95" spans="2:10" x14ac:dyDescent="0.3">
      <c r="D95" s="35">
        <f t="shared" si="30"/>
        <v>1500</v>
      </c>
      <c r="E95" s="61">
        <f t="shared" si="29"/>
        <v>143222060.97077844</v>
      </c>
    </row>
    <row r="96" spans="2:10" x14ac:dyDescent="0.3">
      <c r="D96" s="35">
        <f t="shared" si="30"/>
        <v>1600</v>
      </c>
      <c r="E96" s="61">
        <f t="shared" si="29"/>
        <v>168299074.58255228</v>
      </c>
    </row>
    <row r="97" spans="1:10" x14ac:dyDescent="0.3">
      <c r="D97" s="35">
        <f t="shared" si="30"/>
        <v>1700</v>
      </c>
      <c r="E97" s="61">
        <f t="shared" si="29"/>
        <v>195841205.94345555</v>
      </c>
    </row>
    <row r="98" spans="1:10" x14ac:dyDescent="0.3">
      <c r="D98" s="35">
        <f t="shared" si="30"/>
        <v>1800</v>
      </c>
      <c r="E98" s="61">
        <f t="shared" si="29"/>
        <v>225924346.15509823</v>
      </c>
    </row>
    <row r="99" spans="1:10" x14ac:dyDescent="0.3">
      <c r="D99" s="35">
        <f t="shared" si="30"/>
        <v>1900</v>
      </c>
      <c r="E99" s="61">
        <f t="shared" si="29"/>
        <v>258622183.28245211</v>
      </c>
    </row>
    <row r="100" spans="1:10" x14ac:dyDescent="0.3">
      <c r="D100" s="35">
        <f t="shared" si="30"/>
        <v>2000</v>
      </c>
      <c r="E100" s="61">
        <f t="shared" si="29"/>
        <v>294006383.84132093</v>
      </c>
    </row>
    <row r="101" spans="1:10" ht="15" thickBot="1" x14ac:dyDescent="0.35">
      <c r="D101" s="26">
        <f t="shared" si="30"/>
        <v>2100</v>
      </c>
      <c r="E101" s="63">
        <f t="shared" si="29"/>
        <v>332146750.64600927</v>
      </c>
    </row>
    <row r="104" spans="1:10" ht="15" thickBot="1" x14ac:dyDescent="0.35"/>
    <row r="105" spans="1:10" ht="18" x14ac:dyDescent="0.3">
      <c r="D105" s="11" t="s">
        <v>45</v>
      </c>
      <c r="E105" s="56" t="s">
        <v>61</v>
      </c>
    </row>
    <row r="106" spans="1:10" x14ac:dyDescent="0.3">
      <c r="D106" s="35">
        <v>298.14999999999998</v>
      </c>
      <c r="E106" s="61">
        <f xml:space="preserve"> ( SQRT($B$2)/$B$6) * SQRT(  (D106*D106*D106) / ($E$11 * $F$11 * $G$11 ) )</f>
        <v>36.5731869753835</v>
      </c>
    </row>
    <row r="107" spans="1:10" x14ac:dyDescent="0.3">
      <c r="D107" s="35">
        <f>300+100</f>
        <v>400</v>
      </c>
      <c r="E107" s="61">
        <f t="shared" ref="E107:E124" si="31" xml:space="preserve"> ( SQRT($B$2)/$B$6) * SQRT(  (D107*D107*D107) / ($E$11 * $F$11 * $G$11 ) )</f>
        <v>56.832998863294449</v>
      </c>
    </row>
    <row r="108" spans="1:10" x14ac:dyDescent="0.3">
      <c r="D108" s="35">
        <f t="shared" ref="D108:D124" si="32">D107+100</f>
        <v>500</v>
      </c>
      <c r="E108" s="61">
        <f t="shared" si="31"/>
        <v>79.426530514684174</v>
      </c>
      <c r="H108" s="5" t="s">
        <v>56</v>
      </c>
    </row>
    <row r="109" spans="1:10" ht="15" thickBot="1" x14ac:dyDescent="0.35">
      <c r="D109" s="35">
        <f t="shared" si="32"/>
        <v>600</v>
      </c>
      <c r="E109" s="61">
        <f t="shared" si="31"/>
        <v>104.40888582543583</v>
      </c>
    </row>
    <row r="110" spans="1:10" ht="18.600000000000001" thickBot="1" x14ac:dyDescent="0.35">
      <c r="A110" s="80"/>
      <c r="B110" s="74"/>
      <c r="D110" s="35">
        <f t="shared" si="32"/>
        <v>700</v>
      </c>
      <c r="E110" s="61">
        <f t="shared" si="31"/>
        <v>131.57023359750696</v>
      </c>
      <c r="J110" s="16" t="s">
        <v>57</v>
      </c>
    </row>
    <row r="111" spans="1:10" x14ac:dyDescent="0.3">
      <c r="D111" s="35">
        <f t="shared" si="32"/>
        <v>800</v>
      </c>
      <c r="E111" s="61">
        <f t="shared" si="31"/>
        <v>160.7479955656114</v>
      </c>
      <c r="H111" s="75" t="s">
        <v>58</v>
      </c>
      <c r="I111" s="17" t="s">
        <v>62</v>
      </c>
      <c r="J111" s="76">
        <f>E106</f>
        <v>36.5731869753835</v>
      </c>
    </row>
    <row r="112" spans="1:10" ht="15" thickBot="1" x14ac:dyDescent="0.35">
      <c r="D112" s="35">
        <f t="shared" si="32"/>
        <v>900</v>
      </c>
      <c r="E112" s="61">
        <f t="shared" si="31"/>
        <v>191.81137116361879</v>
      </c>
      <c r="H112" s="59" t="s">
        <v>60</v>
      </c>
      <c r="I112" s="26" t="s">
        <v>62</v>
      </c>
      <c r="J112" s="77">
        <v>146.29300000000001</v>
      </c>
    </row>
    <row r="113" spans="4:10" x14ac:dyDescent="0.3">
      <c r="D113" s="35">
        <f t="shared" si="32"/>
        <v>1000</v>
      </c>
      <c r="E113" s="61">
        <f t="shared" si="31"/>
        <v>224.65215333221366</v>
      </c>
      <c r="J113" s="78" t="s">
        <v>54</v>
      </c>
    </row>
    <row r="114" spans="4:10" x14ac:dyDescent="0.3">
      <c r="D114" s="35">
        <f t="shared" si="32"/>
        <v>1100</v>
      </c>
      <c r="E114" s="61">
        <f t="shared" si="31"/>
        <v>259.17888279283363</v>
      </c>
      <c r="J114" s="169">
        <f>(J111-J112)/J112</f>
        <v>-0.75000043081088297</v>
      </c>
    </row>
    <row r="115" spans="4:10" x14ac:dyDescent="0.3">
      <c r="D115" s="35">
        <f t="shared" si="32"/>
        <v>1200</v>
      </c>
      <c r="E115" s="61">
        <f t="shared" si="31"/>
        <v>295.3129247331907</v>
      </c>
    </row>
    <row r="116" spans="4:10" x14ac:dyDescent="0.3">
      <c r="D116" s="35">
        <f t="shared" si="32"/>
        <v>1300</v>
      </c>
      <c r="E116" s="61">
        <f t="shared" si="31"/>
        <v>332.98572375249154</v>
      </c>
      <c r="H116" s="81"/>
    </row>
    <row r="117" spans="4:10" x14ac:dyDescent="0.3">
      <c r="D117" s="35">
        <f t="shared" si="32"/>
        <v>1400</v>
      </c>
      <c r="E117" s="61">
        <f t="shared" si="31"/>
        <v>372.13681751638126</v>
      </c>
    </row>
    <row r="118" spans="4:10" x14ac:dyDescent="0.3">
      <c r="D118" s="35">
        <f t="shared" si="32"/>
        <v>1500</v>
      </c>
      <c r="E118" s="61">
        <f t="shared" si="31"/>
        <v>412.71235896105838</v>
      </c>
    </row>
    <row r="119" spans="4:10" x14ac:dyDescent="0.3">
      <c r="D119" s="35">
        <f t="shared" si="32"/>
        <v>1600</v>
      </c>
      <c r="E119" s="61">
        <f t="shared" si="31"/>
        <v>454.66399090635559</v>
      </c>
    </row>
    <row r="120" spans="4:10" x14ac:dyDescent="0.3">
      <c r="D120" s="35">
        <f t="shared" si="32"/>
        <v>1700</v>
      </c>
      <c r="E120" s="61">
        <f t="shared" si="31"/>
        <v>497.94797183468938</v>
      </c>
    </row>
    <row r="121" spans="4:10" x14ac:dyDescent="0.3">
      <c r="D121" s="35">
        <f t="shared" si="32"/>
        <v>1800</v>
      </c>
      <c r="E121" s="61">
        <f t="shared" si="31"/>
        <v>542.5244850339385</v>
      </c>
    </row>
    <row r="122" spans="4:10" x14ac:dyDescent="0.3">
      <c r="D122" s="35">
        <f t="shared" si="32"/>
        <v>1900</v>
      </c>
      <c r="E122" s="61">
        <f t="shared" si="31"/>
        <v>588.35708442072337</v>
      </c>
    </row>
    <row r="123" spans="4:10" x14ac:dyDescent="0.3">
      <c r="D123" s="35">
        <f t="shared" si="32"/>
        <v>2000</v>
      </c>
      <c r="E123" s="61">
        <f t="shared" si="31"/>
        <v>635.41224411747339</v>
      </c>
    </row>
    <row r="124" spans="4:10" ht="15" thickBot="1" x14ac:dyDescent="0.35">
      <c r="D124" s="26">
        <f t="shared" si="32"/>
        <v>2100</v>
      </c>
      <c r="E124" s="63">
        <f t="shared" si="31"/>
        <v>683.65898806376333</v>
      </c>
    </row>
    <row r="126" spans="4:10" ht="15" thickBot="1" x14ac:dyDescent="0.35"/>
    <row r="127" spans="4:10" ht="18" x14ac:dyDescent="0.3">
      <c r="D127" s="11" t="s">
        <v>45</v>
      </c>
      <c r="E127" s="13" t="s">
        <v>63</v>
      </c>
      <c r="F127" s="52" t="s">
        <v>64</v>
      </c>
    </row>
    <row r="128" spans="4:10" ht="15.6" x14ac:dyDescent="0.3">
      <c r="D128" s="35">
        <v>298.14999999999998</v>
      </c>
      <c r="E128" s="82">
        <f>$B$135*EXP($B$134/($A$2*D128) )</f>
        <v>0</v>
      </c>
      <c r="F128" s="54">
        <f>$B$135</f>
        <v>1</v>
      </c>
      <c r="G128" s="5" t="s">
        <v>65</v>
      </c>
      <c r="H128" s="83">
        <f>$B$135*EXP($B$134/($A$2*298.15) )</f>
        <v>0</v>
      </c>
    </row>
    <row r="129" spans="1:6" ht="15.6" x14ac:dyDescent="0.2">
      <c r="A129" s="84"/>
      <c r="D129" s="35">
        <f>300+100</f>
        <v>400</v>
      </c>
      <c r="E129" s="82">
        <f t="shared" ref="E129:E146" si="33">$B$135*EXP($B$134/($A$2*D129) )</f>
        <v>0</v>
      </c>
      <c r="F129" s="54">
        <f t="shared" ref="F129:F146" si="34">$B$135</f>
        <v>1</v>
      </c>
    </row>
    <row r="130" spans="1:6" ht="15.6" x14ac:dyDescent="0.3">
      <c r="D130" s="35">
        <f t="shared" ref="D130:D146" si="35">D129+100</f>
        <v>500</v>
      </c>
      <c r="E130" s="82">
        <f t="shared" si="33"/>
        <v>0</v>
      </c>
      <c r="F130" s="54">
        <f t="shared" si="34"/>
        <v>1</v>
      </c>
    </row>
    <row r="131" spans="1:6" ht="15.6" x14ac:dyDescent="0.3">
      <c r="A131" s="85" t="s">
        <v>66</v>
      </c>
      <c r="B131" s="86">
        <v>-40.4758721364</v>
      </c>
      <c r="D131" s="35">
        <f t="shared" si="35"/>
        <v>600</v>
      </c>
      <c r="E131" s="82">
        <f t="shared" si="33"/>
        <v>0</v>
      </c>
      <c r="F131" s="54">
        <f t="shared" si="34"/>
        <v>1</v>
      </c>
    </row>
    <row r="132" spans="1:6" ht="15.6" x14ac:dyDescent="0.3">
      <c r="A132" s="85" t="s">
        <v>67</v>
      </c>
      <c r="B132" s="87">
        <f>B131/(229400000000000000)</f>
        <v>-1.7644233712467306E-16</v>
      </c>
      <c r="D132" s="35">
        <f t="shared" si="35"/>
        <v>700</v>
      </c>
      <c r="E132" s="82">
        <f t="shared" si="33"/>
        <v>0</v>
      </c>
      <c r="F132" s="54">
        <f t="shared" si="34"/>
        <v>1</v>
      </c>
    </row>
    <row r="133" spans="1:6" ht="15.6" x14ac:dyDescent="0.3">
      <c r="A133" s="85" t="s">
        <v>68</v>
      </c>
      <c r="B133" s="85">
        <f>3.25263E-19</f>
        <v>3.2526300000000002E-19</v>
      </c>
      <c r="D133" s="35">
        <f t="shared" si="35"/>
        <v>800</v>
      </c>
      <c r="E133" s="82">
        <f t="shared" si="33"/>
        <v>0</v>
      </c>
      <c r="F133" s="54">
        <f t="shared" si="34"/>
        <v>1</v>
      </c>
    </row>
    <row r="134" spans="1:6" ht="18" x14ac:dyDescent="0.3">
      <c r="A134" s="85" t="s">
        <v>69</v>
      </c>
      <c r="B134" s="87">
        <f>B132+B133</f>
        <v>-1.7611707412467306E-16</v>
      </c>
      <c r="D134" s="35">
        <f t="shared" si="35"/>
        <v>900</v>
      </c>
      <c r="E134" s="82">
        <f t="shared" si="33"/>
        <v>0</v>
      </c>
      <c r="F134" s="54">
        <f t="shared" si="34"/>
        <v>1</v>
      </c>
    </row>
    <row r="135" spans="1:6" ht="18" x14ac:dyDescent="0.3">
      <c r="A135" s="85" t="s">
        <v>70</v>
      </c>
      <c r="B135" s="85">
        <v>1</v>
      </c>
      <c r="D135" s="35">
        <f t="shared" si="35"/>
        <v>1000</v>
      </c>
      <c r="E135" s="82">
        <f t="shared" si="33"/>
        <v>0</v>
      </c>
      <c r="F135" s="54">
        <f t="shared" si="34"/>
        <v>1</v>
      </c>
    </row>
    <row r="136" spans="1:6" ht="15.6" x14ac:dyDescent="0.3">
      <c r="A136" s="5" t="s">
        <v>71</v>
      </c>
      <c r="B136" s="53">
        <f>A2*D128</f>
        <v>4.1162588999999997E-21</v>
      </c>
      <c r="D136" s="35">
        <f t="shared" si="35"/>
        <v>1100</v>
      </c>
      <c r="E136" s="82">
        <f t="shared" si="33"/>
        <v>0</v>
      </c>
      <c r="F136" s="54">
        <f t="shared" si="34"/>
        <v>1</v>
      </c>
    </row>
    <row r="137" spans="1:6" ht="15.6" x14ac:dyDescent="0.3">
      <c r="D137" s="35">
        <f t="shared" si="35"/>
        <v>1200</v>
      </c>
      <c r="E137" s="82">
        <f t="shared" si="33"/>
        <v>0</v>
      </c>
      <c r="F137" s="54">
        <f t="shared" si="34"/>
        <v>1</v>
      </c>
    </row>
    <row r="138" spans="1:6" ht="15.6" x14ac:dyDescent="0.3">
      <c r="D138" s="35">
        <f t="shared" si="35"/>
        <v>1300</v>
      </c>
      <c r="E138" s="82">
        <f t="shared" si="33"/>
        <v>0</v>
      </c>
      <c r="F138" s="54">
        <f t="shared" si="34"/>
        <v>1</v>
      </c>
    </row>
    <row r="139" spans="1:6" ht="15.6" x14ac:dyDescent="0.3">
      <c r="D139" s="35">
        <f t="shared" si="35"/>
        <v>1400</v>
      </c>
      <c r="E139" s="82">
        <f t="shared" si="33"/>
        <v>0</v>
      </c>
      <c r="F139" s="54">
        <f t="shared" si="34"/>
        <v>1</v>
      </c>
    </row>
    <row r="140" spans="1:6" ht="15.6" x14ac:dyDescent="0.3">
      <c r="D140" s="35">
        <f t="shared" si="35"/>
        <v>1500</v>
      </c>
      <c r="E140" s="82">
        <f t="shared" si="33"/>
        <v>0</v>
      </c>
      <c r="F140" s="54">
        <f t="shared" si="34"/>
        <v>1</v>
      </c>
    </row>
    <row r="141" spans="1:6" ht="15.6" x14ac:dyDescent="0.3">
      <c r="D141" s="35">
        <f t="shared" si="35"/>
        <v>1600</v>
      </c>
      <c r="E141" s="82">
        <f t="shared" si="33"/>
        <v>0</v>
      </c>
      <c r="F141" s="54">
        <f t="shared" si="34"/>
        <v>1</v>
      </c>
    </row>
    <row r="142" spans="1:6" ht="15.6" x14ac:dyDescent="0.3">
      <c r="D142" s="35">
        <f t="shared" si="35"/>
        <v>1700</v>
      </c>
      <c r="E142" s="82">
        <f t="shared" si="33"/>
        <v>0</v>
      </c>
      <c r="F142" s="54">
        <f t="shared" si="34"/>
        <v>1</v>
      </c>
    </row>
    <row r="143" spans="1:6" ht="15.6" x14ac:dyDescent="0.3">
      <c r="D143" s="35">
        <f t="shared" si="35"/>
        <v>1800</v>
      </c>
      <c r="E143" s="82">
        <f t="shared" si="33"/>
        <v>0</v>
      </c>
      <c r="F143" s="54">
        <f t="shared" si="34"/>
        <v>1</v>
      </c>
    </row>
    <row r="144" spans="1:6" ht="15.6" x14ac:dyDescent="0.3">
      <c r="D144" s="35">
        <f t="shared" si="35"/>
        <v>1900</v>
      </c>
      <c r="E144" s="82">
        <f t="shared" si="33"/>
        <v>0</v>
      </c>
      <c r="F144" s="54">
        <f t="shared" si="34"/>
        <v>1</v>
      </c>
    </row>
    <row r="145" spans="4:13" ht="15.6" x14ac:dyDescent="0.3">
      <c r="D145" s="35">
        <f t="shared" si="35"/>
        <v>2000</v>
      </c>
      <c r="E145" s="82">
        <f t="shared" si="33"/>
        <v>0</v>
      </c>
      <c r="F145" s="54">
        <f t="shared" si="34"/>
        <v>1</v>
      </c>
    </row>
    <row r="146" spans="4:13" ht="16.2" thickBot="1" x14ac:dyDescent="0.35">
      <c r="D146" s="26">
        <f t="shared" si="35"/>
        <v>2100</v>
      </c>
      <c r="E146" s="88">
        <f t="shared" si="33"/>
        <v>0</v>
      </c>
      <c r="F146" s="25">
        <f t="shared" si="34"/>
        <v>1</v>
      </c>
    </row>
    <row r="151" spans="4:13" ht="15" thickBot="1" x14ac:dyDescent="0.35">
      <c r="H151" s="5" t="s">
        <v>72</v>
      </c>
    </row>
    <row r="152" spans="4:13" ht="20.399999999999999" x14ac:dyDescent="0.3">
      <c r="D152" s="89" t="s">
        <v>45</v>
      </c>
      <c r="E152" s="90" t="s">
        <v>73</v>
      </c>
      <c r="F152" s="91" t="s">
        <v>74</v>
      </c>
      <c r="G152" s="91" t="s">
        <v>75</v>
      </c>
      <c r="H152" s="91" t="s">
        <v>76</v>
      </c>
      <c r="I152" s="92" t="s">
        <v>77</v>
      </c>
    </row>
    <row r="153" spans="4:13" ht="15.6" x14ac:dyDescent="0.3">
      <c r="D153" s="54">
        <v>298.14999999999998</v>
      </c>
      <c r="E153" s="93">
        <f xml:space="preserve"> ( SQRT($B$2)/$B$6) * SQRT(  (D153*D153*D153) / ($E$11 * $F$11 * $G$11 ) )</f>
        <v>36.5731869753835</v>
      </c>
      <c r="F153" s="87">
        <v>1</v>
      </c>
      <c r="G153" s="53">
        <f xml:space="preserve"> ( (2*$B$2*$E$2*$A$2*D153)/($C$2*$C$2) )^(1.5) * ($A$2*D153) /$F$83</f>
        <v>2522718.5782193295</v>
      </c>
      <c r="H153" s="53">
        <f>PRODUCT(E54:E62)</f>
        <v>2.4837561262596703E-21</v>
      </c>
      <c r="I153" s="94">
        <f>PRODUCT(E153:H153)</f>
        <v>2.2916092315455499E-13</v>
      </c>
      <c r="J153" s="59"/>
      <c r="K153" s="81"/>
      <c r="M153" s="53"/>
    </row>
    <row r="154" spans="4:13" ht="15.6" x14ac:dyDescent="0.3">
      <c r="D154" s="54">
        <f>300+100</f>
        <v>400</v>
      </c>
      <c r="E154" s="93">
        <f t="shared" ref="E154:E171" si="36" xml:space="preserve"> ( SQRT($B$2)/$B$6) * SQRT(  (D154*D154*D154) / ($E$11 * $F$11 * $G$11 ) )</f>
        <v>56.832998863294449</v>
      </c>
      <c r="F154" s="87">
        <v>1</v>
      </c>
      <c r="G154" s="53">
        <f t="shared" ref="G154:G171" si="37" xml:space="preserve"> ( (2*$B$2*$E$2*$A$2*D154)/($C$2*$C$2) )^(1.5) * ($A$2*D154) /$F$83</f>
        <v>5259346.0807048045</v>
      </c>
      <c r="H154" s="53">
        <f>PRODUCT(F54:F62)</f>
        <v>4.5007100072614691E-16</v>
      </c>
      <c r="I154" s="61">
        <f>PRODUCT(E154:H154)</f>
        <v>1.3452820685201192E-7</v>
      </c>
      <c r="M154" s="95"/>
    </row>
    <row r="155" spans="4:13" ht="15.6" x14ac:dyDescent="0.3">
      <c r="D155" s="54">
        <f t="shared" ref="D155:D171" si="38">D154+100</f>
        <v>500</v>
      </c>
      <c r="E155" s="93">
        <f t="shared" si="36"/>
        <v>79.426530514684174</v>
      </c>
      <c r="F155" s="87">
        <v>1</v>
      </c>
      <c r="G155" s="53">
        <f t="shared" si="37"/>
        <v>9187699.4950413574</v>
      </c>
      <c r="H155" s="53">
        <f>PRODUCT(G54:G62)</f>
        <v>5.6115965116358827E-13</v>
      </c>
      <c r="I155" s="61">
        <f>PRODUCT(E155:H155)</f>
        <v>4.095046248765176E-4</v>
      </c>
      <c r="J155" s="5" t="s">
        <v>78</v>
      </c>
    </row>
    <row r="156" spans="4:13" ht="16.2" thickBot="1" x14ac:dyDescent="0.35">
      <c r="D156" s="54">
        <f t="shared" si="38"/>
        <v>600</v>
      </c>
      <c r="E156" s="93">
        <f t="shared" si="36"/>
        <v>104.40888582543583</v>
      </c>
      <c r="F156" s="87">
        <v>1</v>
      </c>
      <c r="G156" s="53">
        <f t="shared" si="37"/>
        <v>14493053.563237401</v>
      </c>
      <c r="H156" s="53">
        <f>PRODUCT(H54:H62)</f>
        <v>6.8254029373409054E-11</v>
      </c>
      <c r="I156" s="61">
        <f t="shared" ref="I156:I171" si="39">PRODUCT(E156:H156)</f>
        <v>0.10328224123865969</v>
      </c>
    </row>
    <row r="157" spans="4:13" ht="16.2" thickBot="1" x14ac:dyDescent="0.35">
      <c r="D157" s="54">
        <f t="shared" si="38"/>
        <v>700</v>
      </c>
      <c r="E157" s="93">
        <f t="shared" si="36"/>
        <v>131.57023359750696</v>
      </c>
      <c r="F157" s="87">
        <v>1</v>
      </c>
      <c r="G157" s="53">
        <f t="shared" si="37"/>
        <v>21307223.988437068</v>
      </c>
      <c r="H157" s="53">
        <f>PRODUCT(I54:I62)</f>
        <v>2.216542173783435E-9</v>
      </c>
      <c r="I157" s="61">
        <f t="shared" si="39"/>
        <v>6.213846433493293</v>
      </c>
      <c r="L157" s="16" t="s">
        <v>57</v>
      </c>
    </row>
    <row r="158" spans="4:13" ht="15.6" x14ac:dyDescent="0.3">
      <c r="D158" s="54">
        <f t="shared" si="38"/>
        <v>800</v>
      </c>
      <c r="E158" s="93">
        <f t="shared" si="36"/>
        <v>160.7479955656114</v>
      </c>
      <c r="F158" s="87">
        <v>1</v>
      </c>
      <c r="G158" s="53">
        <f t="shared" si="37"/>
        <v>29751354.226185728</v>
      </c>
      <c r="H158" s="53">
        <f>PRODUCT(J54:J62)</f>
        <v>3.1701885105781797E-8</v>
      </c>
      <c r="I158" s="61">
        <f t="shared" si="39"/>
        <v>151.61333212683093</v>
      </c>
      <c r="J158" s="75" t="s">
        <v>58</v>
      </c>
      <c r="K158" s="17" t="s">
        <v>79</v>
      </c>
      <c r="L158" s="76">
        <f>I153</f>
        <v>2.2916092315455499E-13</v>
      </c>
    </row>
    <row r="159" spans="4:13" ht="16.2" thickBot="1" x14ac:dyDescent="0.35">
      <c r="D159" s="54">
        <f t="shared" si="38"/>
        <v>900</v>
      </c>
      <c r="E159" s="93">
        <f t="shared" si="36"/>
        <v>191.81137116361879</v>
      </c>
      <c r="F159" s="87">
        <v>1</v>
      </c>
      <c r="G159" s="53">
        <f t="shared" si="37"/>
        <v>39938159.300351597</v>
      </c>
      <c r="H159" s="53">
        <f>PRODUCT(K54:K62)</f>
        <v>2.632140173954124E-7</v>
      </c>
      <c r="I159" s="61">
        <f t="shared" si="39"/>
        <v>2016.3754847328041</v>
      </c>
      <c r="J159" s="59" t="s">
        <v>60</v>
      </c>
      <c r="K159" s="26" t="s">
        <v>79</v>
      </c>
      <c r="L159" s="77">
        <f>F23</f>
        <v>9.1839100000000006E-13</v>
      </c>
    </row>
    <row r="160" spans="4:13" ht="15.6" x14ac:dyDescent="0.3">
      <c r="D160" s="54">
        <f t="shared" si="38"/>
        <v>1000</v>
      </c>
      <c r="E160" s="93">
        <f t="shared" si="36"/>
        <v>224.65215333221366</v>
      </c>
      <c r="F160" s="87">
        <v>1</v>
      </c>
      <c r="G160" s="53">
        <f t="shared" si="37"/>
        <v>51973476.931583114</v>
      </c>
      <c r="H160" s="53">
        <f>PRODUCT(L54:L62)</f>
        <v>1.4956171882431537E-6</v>
      </c>
      <c r="I160" s="61">
        <f t="shared" si="39"/>
        <v>17462.756756952476</v>
      </c>
      <c r="L160" s="78" t="s">
        <v>54</v>
      </c>
    </row>
    <row r="161" spans="1:12" ht="15.6" x14ac:dyDescent="0.3">
      <c r="D161" s="54">
        <f t="shared" si="38"/>
        <v>1100</v>
      </c>
      <c r="E161" s="93">
        <f t="shared" si="36"/>
        <v>259.17888279283363</v>
      </c>
      <c r="F161" s="87">
        <v>1</v>
      </c>
      <c r="G161" s="53">
        <f t="shared" si="37"/>
        <v>65957393.395975426</v>
      </c>
      <c r="H161" s="53">
        <f>PRODUCT(M54:M62)</f>
        <v>6.4532925173967981E-6</v>
      </c>
      <c r="I161" s="61">
        <f t="shared" si="39"/>
        <v>110317.50958963558</v>
      </c>
      <c r="L161" s="96">
        <f>ABS(L158-L159)/L159</f>
        <v>0.75047564364790709</v>
      </c>
    </row>
    <row r="162" spans="1:12" ht="15.6" x14ac:dyDescent="0.3">
      <c r="D162" s="54">
        <f t="shared" si="38"/>
        <v>1200</v>
      </c>
      <c r="E162" s="93">
        <f t="shared" si="36"/>
        <v>295.3129247331907</v>
      </c>
      <c r="F162" s="87">
        <v>1</v>
      </c>
      <c r="G162" s="53">
        <f t="shared" si="37"/>
        <v>81985091.637320414</v>
      </c>
      <c r="H162" s="53">
        <f>PRODUCT(N54:N62)</f>
        <v>2.2651132620723072E-5</v>
      </c>
      <c r="I162" s="61">
        <f t="shared" si="39"/>
        <v>548412.39765957638</v>
      </c>
      <c r="J162" s="5" t="s">
        <v>80</v>
      </c>
    </row>
    <row r="163" spans="1:12" ht="15.6" x14ac:dyDescent="0.3">
      <c r="D163" s="54">
        <f t="shared" si="38"/>
        <v>1300</v>
      </c>
      <c r="E163" s="93">
        <f t="shared" si="36"/>
        <v>332.98572375249154</v>
      </c>
      <c r="F163" s="87">
        <v>1</v>
      </c>
      <c r="G163" s="53">
        <f t="shared" si="37"/>
        <v>100147509.15084988</v>
      </c>
      <c r="H163" s="53">
        <f>PRODUCT(O54:O62)</f>
        <v>6.781210300804256E-5</v>
      </c>
      <c r="I163" s="61">
        <f t="shared" si="39"/>
        <v>2261377.0447359742</v>
      </c>
      <c r="J163" s="81">
        <f>L158/L159</f>
        <v>0.24952435635209291</v>
      </c>
    </row>
    <row r="164" spans="1:12" ht="15.6" x14ac:dyDescent="0.3">
      <c r="D164" s="54">
        <f t="shared" si="38"/>
        <v>1400</v>
      </c>
      <c r="E164" s="93">
        <f t="shared" si="36"/>
        <v>372.13681751638126</v>
      </c>
      <c r="F164" s="87">
        <v>1</v>
      </c>
      <c r="G164" s="53">
        <f t="shared" si="37"/>
        <v>120531860.56387654</v>
      </c>
      <c r="H164" s="53">
        <f>PRODUCT(P54:P62)</f>
        <v>1.7907304484827573E-4</v>
      </c>
      <c r="I164" s="61">
        <f t="shared" si="39"/>
        <v>8032203.7756018043</v>
      </c>
    </row>
    <row r="165" spans="1:12" ht="15.6" x14ac:dyDescent="0.3">
      <c r="D165" s="54">
        <f t="shared" si="38"/>
        <v>1500</v>
      </c>
      <c r="E165" s="93">
        <f t="shared" si="36"/>
        <v>412.71235896105838</v>
      </c>
      <c r="F165" s="87">
        <v>1</v>
      </c>
      <c r="G165" s="53">
        <f t="shared" si="37"/>
        <v>143222060.97077844</v>
      </c>
      <c r="H165" s="53">
        <f>PRODUCT(Q54:Q62)</f>
        <v>4.2747093724311168E-4</v>
      </c>
      <c r="I165" s="61">
        <f t="shared" si="39"/>
        <v>25267599.622511223</v>
      </c>
    </row>
    <row r="166" spans="1:12" ht="15.6" x14ac:dyDescent="0.3">
      <c r="D166" s="54">
        <f t="shared" si="38"/>
        <v>1600</v>
      </c>
      <c r="E166" s="93">
        <f t="shared" si="36"/>
        <v>454.66399090635559</v>
      </c>
      <c r="F166" s="87">
        <v>1</v>
      </c>
      <c r="G166" s="53">
        <f t="shared" si="37"/>
        <v>168299074.58255228</v>
      </c>
      <c r="H166" s="53">
        <f>PRODUCT(R54:R62)</f>
        <v>9.3947972738230891E-4</v>
      </c>
      <c r="I166" s="61">
        <f t="shared" si="39"/>
        <v>71888546.165003255</v>
      </c>
    </row>
    <row r="167" spans="1:12" ht="15.6" x14ac:dyDescent="0.3">
      <c r="D167" s="54">
        <f t="shared" si="38"/>
        <v>1700</v>
      </c>
      <c r="E167" s="93">
        <f t="shared" si="36"/>
        <v>497.94797183468938</v>
      </c>
      <c r="F167" s="87">
        <v>1</v>
      </c>
      <c r="G167" s="53">
        <f t="shared" si="37"/>
        <v>195841205.94345555</v>
      </c>
      <c r="H167" s="53">
        <f>PRODUCT(S54:S62)</f>
        <v>1.9276721722619617E-3</v>
      </c>
      <c r="I167" s="61">
        <f t="shared" si="39"/>
        <v>187984144.6036213</v>
      </c>
    </row>
    <row r="168" spans="1:12" ht="15.6" x14ac:dyDescent="0.3">
      <c r="D168" s="54">
        <f t="shared" si="38"/>
        <v>1800</v>
      </c>
      <c r="E168" s="93">
        <f t="shared" si="36"/>
        <v>542.5244850339385</v>
      </c>
      <c r="F168" s="87">
        <v>1</v>
      </c>
      <c r="G168" s="53">
        <f t="shared" si="37"/>
        <v>225924346.15509823</v>
      </c>
      <c r="H168" s="53">
        <f>PRODUCT(T54:T62)</f>
        <v>3.7329129075870651E-3</v>
      </c>
      <c r="I168" s="61">
        <f t="shared" si="39"/>
        <v>457541229.63406706</v>
      </c>
    </row>
    <row r="169" spans="1:12" ht="15.6" x14ac:dyDescent="0.3">
      <c r="D169" s="54">
        <f t="shared" si="38"/>
        <v>1900</v>
      </c>
      <c r="E169" s="93">
        <f t="shared" si="36"/>
        <v>588.35708442072337</v>
      </c>
      <c r="F169" s="87">
        <v>1</v>
      </c>
      <c r="G169" s="53">
        <f t="shared" si="37"/>
        <v>258622183.28245211</v>
      </c>
      <c r="H169" s="53">
        <f>PRODUCT(U54:U62)</f>
        <v>6.880847539343744E-3</v>
      </c>
      <c r="I169" s="61">
        <f>PRODUCT(E169:H169)</f>
        <v>1047004856.2571983</v>
      </c>
    </row>
    <row r="170" spans="1:12" ht="15.6" x14ac:dyDescent="0.3">
      <c r="D170" s="54">
        <f t="shared" si="38"/>
        <v>2000</v>
      </c>
      <c r="E170" s="93">
        <f t="shared" si="36"/>
        <v>635.41224411747339</v>
      </c>
      <c r="F170" s="87">
        <v>1</v>
      </c>
      <c r="G170" s="53">
        <f t="shared" si="37"/>
        <v>294006383.84132093</v>
      </c>
      <c r="H170" s="53">
        <f>PRODUCT(V54:V62)</f>
        <v>1.2155837020012076E-2</v>
      </c>
      <c r="I170" s="61">
        <f t="shared" si="39"/>
        <v>2270895806.5076046</v>
      </c>
    </row>
    <row r="171" spans="1:12" ht="16.2" thickBot="1" x14ac:dyDescent="0.35">
      <c r="D171" s="25">
        <f t="shared" si="38"/>
        <v>2100</v>
      </c>
      <c r="E171" s="97">
        <f t="shared" si="36"/>
        <v>683.65898806376333</v>
      </c>
      <c r="F171" s="98">
        <v>1</v>
      </c>
      <c r="G171" s="55">
        <f t="shared" si="37"/>
        <v>332146750.64600927</v>
      </c>
      <c r="H171" s="55">
        <f>PRODUCT(W54:W62)</f>
        <v>2.0695896183210393E-2</v>
      </c>
      <c r="I171" s="63">
        <f t="shared" si="39"/>
        <v>4699522932.0562687</v>
      </c>
    </row>
    <row r="174" spans="1:12" ht="15" thickBot="1" x14ac:dyDescent="0.35">
      <c r="A174" s="5" t="s">
        <v>81</v>
      </c>
      <c r="B174" s="170" t="s">
        <v>82</v>
      </c>
      <c r="C174" s="170"/>
      <c r="D174" s="170"/>
      <c r="E174" s="170"/>
      <c r="F174" s="170"/>
      <c r="G174" s="99"/>
      <c r="H174" s="170" t="s">
        <v>83</v>
      </c>
      <c r="I174" s="170"/>
      <c r="J174" s="170"/>
      <c r="K174" s="170"/>
    </row>
    <row r="175" spans="1:12" ht="18" x14ac:dyDescent="0.3">
      <c r="A175" s="5" t="s">
        <v>84</v>
      </c>
      <c r="B175" s="90" t="s">
        <v>45</v>
      </c>
      <c r="C175" s="16" t="s">
        <v>85</v>
      </c>
      <c r="D175" s="16" t="s">
        <v>35</v>
      </c>
      <c r="E175" s="16" t="s">
        <v>36</v>
      </c>
      <c r="F175" s="16" t="s">
        <v>86</v>
      </c>
      <c r="G175" s="99" t="s">
        <v>87</v>
      </c>
      <c r="H175" s="90" t="s">
        <v>45</v>
      </c>
      <c r="I175" s="16" t="s">
        <v>85</v>
      </c>
      <c r="J175" s="16" t="s">
        <v>35</v>
      </c>
      <c r="K175" s="16" t="s">
        <v>36</v>
      </c>
      <c r="L175" s="16" t="s">
        <v>86</v>
      </c>
    </row>
    <row r="176" spans="1:12" ht="15" thickBot="1" x14ac:dyDescent="0.35">
      <c r="B176" s="35">
        <f>298.15</f>
        <v>298.14999999999998</v>
      </c>
      <c r="C176" s="100">
        <f>3/2*$D$2*B176</f>
        <v>3718.4397401999995</v>
      </c>
      <c r="D176" s="100">
        <f t="shared" ref="D176:D194" si="40">3/2*$D$2*B176</f>
        <v>3718.4397401999995</v>
      </c>
      <c r="E176" s="100" cm="1">
        <f t="array" ref="E176">$D$2*SUM( ($B$12:$B$20)/(EXP($B$12:$B$20/B176)-1) + 0.5*$B$12:$B$20)</f>
        <v>117714.96913995044</v>
      </c>
      <c r="F176" s="101">
        <v>0</v>
      </c>
      <c r="H176" s="39">
        <f>298.15</f>
        <v>298.14999999999998</v>
      </c>
      <c r="I176" s="102">
        <f>3/2*$D$2*H176 /4184</f>
        <v>0.8887284273900572</v>
      </c>
      <c r="J176" s="102">
        <f>3/2*$D$2*H176 / 4184</f>
        <v>0.8887284273900572</v>
      </c>
      <c r="K176" s="102" cm="1">
        <f t="array" ref="K176">$D$2*SUM( ($B$12:$B$20)/(EXP($B$12:$B$20/B176)-1) + 0.5*$B$12:$B$20) / 4184</f>
        <v>28.134552853716645</v>
      </c>
      <c r="L176" s="103">
        <f xml:space="preserve"> F176/4184</f>
        <v>0</v>
      </c>
    </row>
    <row r="177" spans="2:14" x14ac:dyDescent="0.3">
      <c r="B177" s="35">
        <f>300+100</f>
        <v>400</v>
      </c>
      <c r="C177" s="100">
        <f t="shared" ref="C177:C194" si="41">3/2*$D$2*B177</f>
        <v>4988.6831999999995</v>
      </c>
      <c r="D177" s="100">
        <f t="shared" si="40"/>
        <v>4988.6831999999995</v>
      </c>
      <c r="E177" s="100" cm="1">
        <f t="array" ref="E177">$D$2*SUM( ($B$12:$B$20)/(EXP($B$12:$B$20/B177)-1) + 0.5*$B$12:$B$20)</f>
        <v>118143.28189955943</v>
      </c>
      <c r="H177" s="35">
        <f>300+100</f>
        <v>400</v>
      </c>
      <c r="I177" s="100">
        <f t="shared" ref="I177:I194" si="42">3/2*$D$2*H177 /4184</f>
        <v>1.1923239005736137</v>
      </c>
      <c r="J177" s="100">
        <f t="shared" ref="J177:J194" si="43">3/2*$D$2*H177 / 4184</f>
        <v>1.1923239005736137</v>
      </c>
      <c r="K177" s="100" cm="1">
        <f t="array" ref="K177">$D$2*SUM( ($B$12:$B$20)/(EXP($B$12:$B$20/H177)-1) + 0.5*$B$12:$B$20) / 4184</f>
        <v>28.236922060124147</v>
      </c>
      <c r="M177" s="174" t="s">
        <v>88</v>
      </c>
      <c r="N177" s="174"/>
    </row>
    <row r="178" spans="2:14" ht="18.600000000000001" thickBot="1" x14ac:dyDescent="0.35">
      <c r="B178" s="35">
        <f t="shared" ref="B178:B194" si="44">B177+100</f>
        <v>500</v>
      </c>
      <c r="C178" s="100">
        <f t="shared" si="41"/>
        <v>6235.8539999999994</v>
      </c>
      <c r="D178" s="100">
        <f t="shared" si="40"/>
        <v>6235.8539999999994</v>
      </c>
      <c r="E178" s="100" cm="1">
        <f t="array" ref="E178">$D$2*SUM( ($B$12:$B$20)/(EXP($B$12:$B$20/B178)-1) + 0.5*$B$12:$B$20)</f>
        <v>119085.32546860915</v>
      </c>
      <c r="H178" s="35">
        <f t="shared" ref="H178:H194" si="45">H177+100</f>
        <v>500</v>
      </c>
      <c r="I178" s="100">
        <f t="shared" si="42"/>
        <v>1.490404875717017</v>
      </c>
      <c r="J178" s="100">
        <f t="shared" si="43"/>
        <v>1.490404875717017</v>
      </c>
      <c r="K178" s="100" cm="1">
        <f t="array" ref="K178">$D$2*SUM( ($B$12:$B$20)/(EXP($B$12:$B$20/H178)-1) + 0.5*$B$12:$B$20) / 4184</f>
        <v>28.462075876818631</v>
      </c>
      <c r="M178" s="175" t="s">
        <v>89</v>
      </c>
      <c r="N178" s="175"/>
    </row>
    <row r="179" spans="2:14" x14ac:dyDescent="0.3">
      <c r="B179" s="35">
        <f t="shared" si="44"/>
        <v>600</v>
      </c>
      <c r="C179" s="100">
        <f t="shared" si="41"/>
        <v>7483.0248000000001</v>
      </c>
      <c r="D179" s="100">
        <f t="shared" si="40"/>
        <v>7483.0248000000001</v>
      </c>
      <c r="E179" s="100" cm="1">
        <f t="array" ref="E179">$D$2*SUM( ($B$12:$B$20)/(EXP($B$12:$B$20/B179)-1) + 0.5*$B$12:$B$20)</f>
        <v>120598.93735518583</v>
      </c>
      <c r="H179" s="35">
        <f t="shared" si="45"/>
        <v>600</v>
      </c>
      <c r="I179" s="100">
        <f t="shared" si="42"/>
        <v>1.7884858508604207</v>
      </c>
      <c r="J179" s="100">
        <f t="shared" si="43"/>
        <v>1.7884858508604207</v>
      </c>
      <c r="K179" s="100" cm="1">
        <f t="array" ref="K179">$D$2*SUM( ($B$12:$B$20)/(EXP($B$12:$B$20/H179)-1) + 0.5*$B$12:$B$20) / 4184</f>
        <v>28.823837799996614</v>
      </c>
      <c r="M179" s="38"/>
      <c r="N179" s="4" t="s">
        <v>26</v>
      </c>
    </row>
    <row r="180" spans="2:14" x14ac:dyDescent="0.3">
      <c r="B180" s="35">
        <f t="shared" si="44"/>
        <v>700</v>
      </c>
      <c r="C180" s="100">
        <f t="shared" si="41"/>
        <v>8730.1955999999991</v>
      </c>
      <c r="D180" s="100">
        <f t="shared" si="40"/>
        <v>8730.1955999999991</v>
      </c>
      <c r="E180" s="100" cm="1">
        <f t="array" ref="E180">$D$2*SUM( ($B$12:$B$20)/(EXP($B$12:$B$20/B180)-1) + 0.5*$B$12:$B$20)</f>
        <v>122670.6025324285</v>
      </c>
      <c r="H180" s="35">
        <f t="shared" si="45"/>
        <v>700</v>
      </c>
      <c r="I180" s="100">
        <f t="shared" si="42"/>
        <v>2.0865668260038239</v>
      </c>
      <c r="J180" s="100">
        <f t="shared" si="43"/>
        <v>2.0865668260038239</v>
      </c>
      <c r="K180" s="100" cm="1">
        <f t="array" ref="K180">$D$2*SUM( ($B$12:$B$20)/(EXP($B$12:$B$20/H180)-1) + 0.5*$B$12:$B$20) / 4184</f>
        <v>29.318977660714268</v>
      </c>
      <c r="M180" s="39"/>
      <c r="N180" s="41" t="s">
        <v>29</v>
      </c>
    </row>
    <row r="181" spans="2:14" x14ac:dyDescent="0.3">
      <c r="B181" s="35">
        <f t="shared" si="44"/>
        <v>800</v>
      </c>
      <c r="C181" s="100">
        <f t="shared" si="41"/>
        <v>9977.366399999999</v>
      </c>
      <c r="D181" s="100">
        <f t="shared" si="40"/>
        <v>9977.366399999999</v>
      </c>
      <c r="E181" s="100" cm="1">
        <f t="array" ref="E181">$D$2*SUM( ($B$12:$B$20)/(EXP($B$12:$B$20/B181)-1) + 0.5*$B$12:$B$20)</f>
        <v>125265.01221729745</v>
      </c>
      <c r="H181" s="35">
        <f t="shared" si="45"/>
        <v>800</v>
      </c>
      <c r="I181" s="100">
        <f t="shared" si="42"/>
        <v>2.3846478011472274</v>
      </c>
      <c r="J181" s="100">
        <f t="shared" si="43"/>
        <v>2.3846478011472274</v>
      </c>
      <c r="K181" s="100" cm="1">
        <f t="array" ref="K181">$D$2*SUM( ($B$12:$B$20)/(EXP($B$12:$B$20/H181)-1) + 0.5*$B$12:$B$20) / 4184</f>
        <v>29.939056457289066</v>
      </c>
      <c r="M181" s="39" t="s">
        <v>31</v>
      </c>
      <c r="N181" s="43">
        <v>29.911999999999999</v>
      </c>
    </row>
    <row r="182" spans="2:14" x14ac:dyDescent="0.3">
      <c r="B182" s="35">
        <f t="shared" si="44"/>
        <v>900</v>
      </c>
      <c r="C182" s="100">
        <f t="shared" si="41"/>
        <v>11224.537199999999</v>
      </c>
      <c r="D182" s="100">
        <f t="shared" si="40"/>
        <v>11224.537199999999</v>
      </c>
      <c r="E182" s="100" cm="1">
        <f t="array" ref="E182">$D$2*SUM( ($B$12:$B$20)/(EXP($B$12:$B$20/B182)-1) + 0.5*$B$12:$B$20)</f>
        <v>128340.56528211261</v>
      </c>
      <c r="H182" s="35">
        <f t="shared" si="45"/>
        <v>900</v>
      </c>
      <c r="I182" s="100">
        <f t="shared" si="42"/>
        <v>2.6827287762906309</v>
      </c>
      <c r="J182" s="100">
        <f t="shared" si="43"/>
        <v>2.6827287762906309</v>
      </c>
      <c r="K182" s="100" cm="1">
        <f t="array" ref="K182">$D$2*SUM( ($B$12:$B$20)/(EXP($B$12:$B$20/H182)-1) + 0.5*$B$12:$B$20) / 4184</f>
        <v>30.674131281575672</v>
      </c>
      <c r="M182" s="39" t="s">
        <v>32</v>
      </c>
      <c r="N182" s="43" t="s">
        <v>33</v>
      </c>
    </row>
    <row r="183" spans="2:14" x14ac:dyDescent="0.3">
      <c r="B183" s="35">
        <f t="shared" si="44"/>
        <v>1000</v>
      </c>
      <c r="C183" s="100">
        <f t="shared" si="41"/>
        <v>12471.707999999999</v>
      </c>
      <c r="D183" s="100">
        <f t="shared" si="40"/>
        <v>12471.707999999999</v>
      </c>
      <c r="E183" s="100" cm="1">
        <f t="array" ref="E183">$D$2*SUM( ($B$12:$B$20)/(EXP($B$12:$B$20/B183)-1) + 0.5*$B$12:$B$20)</f>
        <v>131853.81315167921</v>
      </c>
      <c r="H183" s="35">
        <f t="shared" si="45"/>
        <v>1000</v>
      </c>
      <c r="I183" s="100">
        <f t="shared" si="42"/>
        <v>2.9808097514340339</v>
      </c>
      <c r="J183" s="100">
        <f t="shared" si="43"/>
        <v>2.9808097514340339</v>
      </c>
      <c r="K183" s="100" cm="1">
        <f t="array" ref="K183">$D$2*SUM( ($B$12:$B$20)/(EXP($B$12:$B$20/H183)-1) + 0.5*$B$12:$B$20) / 4184</f>
        <v>31.513817674875526</v>
      </c>
      <c r="M183" s="39" t="s">
        <v>34</v>
      </c>
      <c r="N183" s="43">
        <v>0.88900000000000001</v>
      </c>
    </row>
    <row r="184" spans="2:14" x14ac:dyDescent="0.3">
      <c r="B184" s="35">
        <f t="shared" si="44"/>
        <v>1100</v>
      </c>
      <c r="C184" s="100">
        <f t="shared" si="41"/>
        <v>13718.8788</v>
      </c>
      <c r="D184" s="100">
        <f t="shared" si="40"/>
        <v>13718.8788</v>
      </c>
      <c r="E184" s="100" cm="1">
        <f t="array" ref="E184">$D$2*SUM( ($B$12:$B$20)/(EXP($B$12:$B$20/B184)-1) + 0.5*$B$12:$B$20)</f>
        <v>135761.4417137382</v>
      </c>
      <c r="H184" s="35">
        <f t="shared" si="45"/>
        <v>1100</v>
      </c>
      <c r="I184" s="100">
        <f t="shared" si="42"/>
        <v>3.2788907265774379</v>
      </c>
      <c r="J184" s="100">
        <f t="shared" si="43"/>
        <v>3.2788907265774379</v>
      </c>
      <c r="K184" s="100" cm="1">
        <f t="array" ref="K184">$D$2*SUM( ($B$12:$B$20)/(EXP($B$12:$B$20/H184)-1) + 0.5*$B$12:$B$20) / 4184</f>
        <v>32.447763315903011</v>
      </c>
      <c r="M184" s="39" t="s">
        <v>35</v>
      </c>
      <c r="N184" s="43">
        <v>0.88900000000000001</v>
      </c>
    </row>
    <row r="185" spans="2:14" ht="15" thickBot="1" x14ac:dyDescent="0.35">
      <c r="B185" s="35">
        <f t="shared" si="44"/>
        <v>1200</v>
      </c>
      <c r="C185" s="100">
        <f t="shared" si="41"/>
        <v>14966.0496</v>
      </c>
      <c r="D185" s="100">
        <f t="shared" si="40"/>
        <v>14966.0496</v>
      </c>
      <c r="E185" s="100" cm="1">
        <f t="array" ref="E185">$D$2*SUM( ($B$12:$B$20)/(EXP($B$12:$B$20/B185)-1) + 0.5*$B$12:$B$20)</f>
        <v>140021.73700681882</v>
      </c>
      <c r="H185" s="35">
        <f t="shared" si="45"/>
        <v>1200</v>
      </c>
      <c r="I185" s="100">
        <f t="shared" si="42"/>
        <v>3.5769717017208413</v>
      </c>
      <c r="J185" s="100">
        <f t="shared" si="43"/>
        <v>3.5769717017208413</v>
      </c>
      <c r="K185" s="100" cm="1">
        <f t="array" ref="K185">$D$2*SUM( ($B$12:$B$20)/(EXP($B$12:$B$20/H185)-1) + 0.5*$B$12:$B$20) / 4184</f>
        <v>33.465998328589585</v>
      </c>
      <c r="M185" s="44" t="s">
        <v>36</v>
      </c>
      <c r="N185" s="46">
        <v>28.135000000000002</v>
      </c>
    </row>
    <row r="186" spans="2:14" x14ac:dyDescent="0.3">
      <c r="B186" s="35">
        <f t="shared" si="44"/>
        <v>1300</v>
      </c>
      <c r="C186" s="100">
        <f t="shared" si="41"/>
        <v>16213.2204</v>
      </c>
      <c r="D186" s="100">
        <f t="shared" si="40"/>
        <v>16213.2204</v>
      </c>
      <c r="E186" s="100" cm="1">
        <f t="array" ref="E186">$D$2*SUM( ($B$12:$B$20)/(EXP($B$12:$B$20/B186)-1) + 0.5*$B$12:$B$20)</f>
        <v>144595.66972630969</v>
      </c>
      <c r="H186" s="35">
        <f t="shared" si="45"/>
        <v>1300</v>
      </c>
      <c r="I186" s="100">
        <f t="shared" si="42"/>
        <v>3.8750526768642448</v>
      </c>
      <c r="J186" s="100">
        <f t="shared" si="43"/>
        <v>3.8750526768642448</v>
      </c>
      <c r="K186" s="100" cm="1">
        <f t="array" ref="K186">$D$2*SUM( ($B$12:$B$20)/(EXP($B$12:$B$20/H186)-1) + 0.5*$B$12:$B$20) / 4184</f>
        <v>34.559194485255659</v>
      </c>
      <c r="N186" s="47"/>
    </row>
    <row r="187" spans="2:14" x14ac:dyDescent="0.3">
      <c r="B187" s="35">
        <f t="shared" si="44"/>
        <v>1400</v>
      </c>
      <c r="C187" s="100">
        <f t="shared" si="41"/>
        <v>17460.391199999998</v>
      </c>
      <c r="D187" s="100">
        <f t="shared" si="40"/>
        <v>17460.391199999998</v>
      </c>
      <c r="E187" s="100" cm="1">
        <f t="array" ref="E187">$D$2*SUM( ($B$12:$B$20)/(EXP($B$12:$B$20/B187)-1) + 0.5*$B$12:$B$20)</f>
        <v>149447.54951988708</v>
      </c>
      <c r="H187" s="35">
        <f t="shared" si="45"/>
        <v>1400</v>
      </c>
      <c r="I187" s="100">
        <f t="shared" si="42"/>
        <v>4.1731336520076479</v>
      </c>
      <c r="J187" s="100">
        <f t="shared" si="43"/>
        <v>4.1731336520076479</v>
      </c>
      <c r="K187" s="100" cm="1">
        <f t="array" ref="K187">$D$2*SUM( ($B$12:$B$20)/(EXP($B$12:$B$20/H187)-1) + 0.5*$B$12:$B$20) / 4184</f>
        <v>35.718821586971096</v>
      </c>
    </row>
    <row r="188" spans="2:14" ht="15" thickBot="1" x14ac:dyDescent="0.35">
      <c r="B188" s="35">
        <f t="shared" si="44"/>
        <v>1500</v>
      </c>
      <c r="C188" s="100">
        <f t="shared" si="41"/>
        <v>18707.561999999998</v>
      </c>
      <c r="D188" s="100">
        <f t="shared" si="40"/>
        <v>18707.561999999998</v>
      </c>
      <c r="E188" s="100" cm="1">
        <f t="array" ref="E188">$D$2*SUM( ($B$12:$B$20)/(EXP($B$12:$B$20/B188)-1) + 0.5*$B$12:$B$20)</f>
        <v>154545.29403174605</v>
      </c>
      <c r="H188" s="35">
        <f t="shared" si="45"/>
        <v>1500</v>
      </c>
      <c r="I188" s="100">
        <f t="shared" si="42"/>
        <v>4.4712146271510509</v>
      </c>
      <c r="J188" s="100">
        <f t="shared" si="43"/>
        <v>4.4712146271510509</v>
      </c>
      <c r="K188" s="100" cm="1">
        <f t="array" ref="K188">$D$2*SUM( ($B$12:$B$20)/(EXP($B$12:$B$20/H188)-1) + 0.5*$B$12:$B$20) / 4184</f>
        <v>36.937211766669705</v>
      </c>
    </row>
    <row r="189" spans="2:14" ht="15" thickBot="1" x14ac:dyDescent="0.35">
      <c r="B189" s="35">
        <f t="shared" si="44"/>
        <v>1600</v>
      </c>
      <c r="C189" s="100">
        <f t="shared" si="41"/>
        <v>19954.732799999998</v>
      </c>
      <c r="D189" s="100">
        <f t="shared" si="40"/>
        <v>19954.732799999998</v>
      </c>
      <c r="E189" s="100" cm="1">
        <f t="array" ref="E189">$D$2*SUM( ($B$12:$B$20)/(EXP($B$12:$B$20/B189)-1) + 0.5*$B$12:$B$20)</f>
        <v>159860.4144584701</v>
      </c>
      <c r="H189" s="35">
        <f t="shared" si="45"/>
        <v>1600</v>
      </c>
      <c r="I189" s="100">
        <f t="shared" si="42"/>
        <v>4.7692956022944548</v>
      </c>
      <c r="J189" s="100">
        <f t="shared" si="43"/>
        <v>4.7692956022944548</v>
      </c>
      <c r="K189" s="100" cm="1">
        <f t="array" ref="K189">$D$2*SUM( ($B$12:$B$20)/(EXP($B$12:$B$20/H189)-1) + 0.5*$B$12:$B$20) / 4184</f>
        <v>38.207556036919243</v>
      </c>
      <c r="M189" s="30" t="s">
        <v>90</v>
      </c>
      <c r="N189" s="104">
        <f>SUM(I176:L176)</f>
        <v>29.912009708496761</v>
      </c>
    </row>
    <row r="190" spans="2:14" x14ac:dyDescent="0.3">
      <c r="B190" s="35">
        <f t="shared" si="44"/>
        <v>1700</v>
      </c>
      <c r="C190" s="100">
        <f t="shared" si="41"/>
        <v>21201.903599999998</v>
      </c>
      <c r="D190" s="100">
        <f t="shared" si="40"/>
        <v>21201.903599999998</v>
      </c>
      <c r="E190" s="100" cm="1">
        <f t="array" ref="E190">$D$2*SUM( ($B$12:$B$20)/(EXP($B$12:$B$20/B190)-1) + 0.5*$B$12:$B$20)</f>
        <v>165367.822324129</v>
      </c>
      <c r="H190" s="35">
        <f t="shared" si="45"/>
        <v>1700</v>
      </c>
      <c r="I190" s="100">
        <f t="shared" si="42"/>
        <v>5.0673765774378579</v>
      </c>
      <c r="J190" s="100">
        <f t="shared" si="43"/>
        <v>5.0673765774378579</v>
      </c>
      <c r="K190" s="100" cm="1">
        <f t="array" ref="K190">$D$2*SUM( ($B$12:$B$20)/(EXP($B$12:$B$20/H190)-1) + 0.5*$B$12:$B$20) / 4184</f>
        <v>39.523858108061425</v>
      </c>
    </row>
    <row r="191" spans="2:14" x14ac:dyDescent="0.3">
      <c r="B191" s="35">
        <f t="shared" si="44"/>
        <v>1800</v>
      </c>
      <c r="C191" s="100">
        <f t="shared" si="41"/>
        <v>22449.074399999998</v>
      </c>
      <c r="D191" s="100">
        <f t="shared" si="40"/>
        <v>22449.074399999998</v>
      </c>
      <c r="E191" s="100" cm="1">
        <f t="array" ref="E191">$D$2*SUM( ($B$12:$B$20)/(EXP($B$12:$B$20/B191)-1) + 0.5*$B$12:$B$20)</f>
        <v>171045.54065451201</v>
      </c>
      <c r="H191" s="35">
        <f t="shared" si="45"/>
        <v>1800</v>
      </c>
      <c r="I191" s="100">
        <f t="shared" si="42"/>
        <v>5.3654575525812618</v>
      </c>
      <c r="J191" s="100">
        <f t="shared" si="43"/>
        <v>5.3654575525812618</v>
      </c>
      <c r="K191" s="100" cm="1">
        <f t="array" ref="K191">$D$2*SUM( ($B$12:$B$20)/(EXP($B$12:$B$20/H191)-1) + 0.5*$B$12:$B$20) / 4184</f>
        <v>40.880865357196939</v>
      </c>
    </row>
    <row r="192" spans="2:14" x14ac:dyDescent="0.3">
      <c r="B192" s="35">
        <f t="shared" si="44"/>
        <v>1900</v>
      </c>
      <c r="C192" s="100">
        <f t="shared" si="41"/>
        <v>23696.245199999998</v>
      </c>
      <c r="D192" s="100">
        <f t="shared" si="40"/>
        <v>23696.245199999998</v>
      </c>
      <c r="E192" s="100" cm="1">
        <f t="array" ref="E192">$D$2*SUM( ($B$12:$B$20)/(EXP($B$12:$B$20/B192)-1) + 0.5*$B$12:$B$20)</f>
        <v>176874.37697589083</v>
      </c>
      <c r="H192" s="35">
        <f t="shared" si="45"/>
        <v>1900</v>
      </c>
      <c r="I192" s="100">
        <f t="shared" si="42"/>
        <v>5.6635385277246648</v>
      </c>
      <c r="J192" s="100">
        <f t="shared" si="43"/>
        <v>5.6635385277246648</v>
      </c>
      <c r="K192" s="100" cm="1">
        <f t="array" ref="K192">$D$2*SUM( ($B$12:$B$20)/(EXP($B$12:$B$20/H192)-1) + 0.5*$B$12:$B$20) / 4184</f>
        <v>42.273990673014062</v>
      </c>
    </row>
    <row r="193" spans="1:15" x14ac:dyDescent="0.3">
      <c r="B193" s="35">
        <f t="shared" si="44"/>
        <v>2000</v>
      </c>
      <c r="C193" s="100">
        <f t="shared" si="41"/>
        <v>24943.415999999997</v>
      </c>
      <c r="D193" s="100">
        <f t="shared" si="40"/>
        <v>24943.415999999997</v>
      </c>
      <c r="E193" s="100" cm="1">
        <f t="array" ref="E193">$D$2*SUM( ($B$12:$B$20)/(EXP($B$12:$B$20/B193)-1) + 0.5*$B$12:$B$20)</f>
        <v>182837.59396477503</v>
      </c>
      <c r="H193" s="35">
        <f t="shared" si="45"/>
        <v>2000</v>
      </c>
      <c r="I193" s="100">
        <f t="shared" si="42"/>
        <v>5.9616195028680679</v>
      </c>
      <c r="J193" s="100">
        <f t="shared" si="43"/>
        <v>5.9616195028680679</v>
      </c>
      <c r="K193" s="100" cm="1">
        <f t="array" ref="K193">$D$2*SUM( ($B$12:$B$20)/(EXP($B$12:$B$20/H193)-1) + 0.5*$B$12:$B$20) / 4184</f>
        <v>43.699233739190973</v>
      </c>
    </row>
    <row r="194" spans="1:15" ht="15" thickBot="1" x14ac:dyDescent="0.35">
      <c r="B194" s="26">
        <f t="shared" si="44"/>
        <v>2100</v>
      </c>
      <c r="C194" s="101">
        <f t="shared" si="41"/>
        <v>26190.586799999997</v>
      </c>
      <c r="D194" s="101">
        <f t="shared" si="40"/>
        <v>26190.586799999997</v>
      </c>
      <c r="E194" s="101" cm="1">
        <f t="array" ref="E194">$D$2*SUM( ($B$12:$B$20)/(EXP($B$12:$B$20/B194)-1) + 0.5*$B$12:$B$20)</f>
        <v>188920.59799599141</v>
      </c>
      <c r="F194" s="53"/>
      <c r="H194" s="26">
        <f t="shared" si="45"/>
        <v>2100</v>
      </c>
      <c r="I194" s="101">
        <f t="shared" si="42"/>
        <v>6.2597004780114718</v>
      </c>
      <c r="J194" s="101">
        <f t="shared" si="43"/>
        <v>6.2597004780114718</v>
      </c>
      <c r="K194" s="101" cm="1">
        <f t="array" ref="K194">$D$2*SUM( ($B$12:$B$20)/(EXP($B$12:$B$20/H194)-1) + 0.5*$B$12:$B$20) / 4184</f>
        <v>45.153106595600242</v>
      </c>
      <c r="L194" s="53"/>
    </row>
    <row r="196" spans="1:15" ht="15" thickBot="1" x14ac:dyDescent="0.35"/>
    <row r="197" spans="1:15" ht="15" thickBot="1" x14ac:dyDescent="0.35">
      <c r="F197" s="17"/>
      <c r="G197" s="18"/>
      <c r="H197" s="18"/>
      <c r="I197" s="19"/>
      <c r="K197" s="52" t="s">
        <v>91</v>
      </c>
    </row>
    <row r="198" spans="1:15" ht="16.8" thickBot="1" x14ac:dyDescent="0.35">
      <c r="B198" s="105" t="s">
        <v>92</v>
      </c>
      <c r="C198" s="106">
        <f xml:space="preserve"> ($C$2*$C$2) /(8*$B$2*$B$2*$A$2*$H$198)</f>
        <v>1.222890457844473</v>
      </c>
      <c r="F198" s="35"/>
      <c r="H198" s="5">
        <f>SQRT(E6*E6+F6*F6+G6*G6)</f>
        <v>3.2935734495583509E-46</v>
      </c>
      <c r="I198" s="36" t="s">
        <v>93</v>
      </c>
      <c r="K198" s="25">
        <v>1</v>
      </c>
    </row>
    <row r="199" spans="1:15" ht="15" thickBot="1" x14ac:dyDescent="0.35">
      <c r="F199" s="26"/>
      <c r="G199" s="27"/>
      <c r="H199" s="27"/>
      <c r="I199" s="28"/>
    </row>
    <row r="200" spans="1:15" ht="15" thickBot="1" x14ac:dyDescent="0.35">
      <c r="A200" s="5" t="s">
        <v>94</v>
      </c>
      <c r="B200" s="170" t="s">
        <v>95</v>
      </c>
      <c r="C200" s="170"/>
      <c r="D200" s="170"/>
      <c r="E200" s="170"/>
      <c r="F200" s="170"/>
      <c r="H200" s="170" t="s">
        <v>96</v>
      </c>
      <c r="I200" s="170"/>
      <c r="J200" s="170"/>
      <c r="K200" s="170"/>
      <c r="L200" s="170"/>
    </row>
    <row r="201" spans="1:15" ht="18" x14ac:dyDescent="0.3">
      <c r="A201" s="5" t="s">
        <v>95</v>
      </c>
      <c r="B201" s="89" t="s">
        <v>45</v>
      </c>
      <c r="C201" s="16" t="s">
        <v>97</v>
      </c>
      <c r="D201" s="16" t="s">
        <v>85</v>
      </c>
      <c r="E201" s="16" t="s">
        <v>35</v>
      </c>
      <c r="F201" s="16" t="s">
        <v>36</v>
      </c>
      <c r="G201" s="16" t="s">
        <v>86</v>
      </c>
      <c r="H201" s="89" t="s">
        <v>45</v>
      </c>
      <c r="I201" s="16" t="s">
        <v>85</v>
      </c>
      <c r="J201" s="16" t="s">
        <v>35</v>
      </c>
      <c r="K201" s="16" t="s">
        <v>36</v>
      </c>
      <c r="L201" s="16" t="s">
        <v>86</v>
      </c>
      <c r="O201" s="78"/>
    </row>
    <row r="202" spans="1:15" ht="15" thickBot="1" x14ac:dyDescent="0.35">
      <c r="B202" s="54">
        <v>298.14999999999998</v>
      </c>
      <c r="C202" s="100">
        <f>($A$2*B202)/$J$2</f>
        <v>4.062431680236861E-26</v>
      </c>
      <c r="D202" s="107">
        <f xml:space="preserve"> $D$2 *( 5/2  +   LN(  ((2*$B$2*$E$2*$A$2*B202)/($C$2*$C$2) )^1.5  * ($D$2*B202 )/($F$2*$J$2)  ) )</f>
        <v>143.34884975463808</v>
      </c>
      <c r="E202" s="100">
        <f t="shared" ref="E202:E220" si="46">$D$2 *LN( (EXP(1)*B202) / ($B$6 * $C$198))</f>
        <v>33.353278120456324</v>
      </c>
      <c r="F202" s="100" cm="1">
        <f t="array" ref="F202">$D$2*SUM( (($B$12:$B$20)/B202)/(EXP($B$12:$B$20/B176)-1) - LN( 1 - EXP( (-1 * $B$12:$B$20)/B202 ) ) )</f>
        <v>0.35701628967636756</v>
      </c>
      <c r="G202" s="101">
        <f>$D$2*LN(K198)</f>
        <v>0</v>
      </c>
      <c r="H202" s="108">
        <v>298.14999999999998</v>
      </c>
      <c r="I202" s="102">
        <f xml:space="preserve"> $D$2 *( 5/2  +   LN(  ((2*$B$2*$E$2*$A$2*B202)/($C$2*$C$2) )^1.5  * ($D$2*B202 )/($F$2*$J$2)  ) ) / 4.184</f>
        <v>34.261197360095146</v>
      </c>
      <c r="J202" s="102">
        <f>$D$2 *LN( (EXP(1)*H202) / ($B$6 * $C$198)) / 4.184</f>
        <v>7.9716247897840162</v>
      </c>
      <c r="K202" s="102" cm="1">
        <f t="array" ref="K202">$D$2*SUM( (($B$12:$B$20)/B202)/(EXP($B$12:$B$20/B176)-1) - LN( 1 - EXP( (-1 * $B$12:$B$20)/B202 ) ) ) / 4.184</f>
        <v>8.5328941127238891E-2</v>
      </c>
      <c r="L202" s="109">
        <f>$D$2*LN(K198)</f>
        <v>0</v>
      </c>
      <c r="O202" s="78"/>
    </row>
    <row r="203" spans="1:15" x14ac:dyDescent="0.3">
      <c r="B203" s="54">
        <f>300+100</f>
        <v>400</v>
      </c>
      <c r="C203" s="100">
        <f t="shared" ref="C203:C220" si="47">($A$2*B203)/$J$2</f>
        <v>5.4501850481125095E-26</v>
      </c>
      <c r="D203" s="107">
        <f t="shared" ref="D203:D220" si="48" xml:space="preserve"> $D$2 *( 5/2  +   LN(  ((2*$B$2*$E$2*$A$2*B203)/($C$2*$C$2) )^1.5  * ($D$2*B203 )/($F$2*$J$2)  ) )</f>
        <v>149.45723939721475</v>
      </c>
      <c r="E203" s="100">
        <f t="shared" si="46"/>
        <v>35.796633977486948</v>
      </c>
      <c r="F203" s="100" cm="1">
        <f t="array" ref="F203">$D$2*SUM( (($B$12:$B$20)/B203)/(EXP($B$12:$B$20/B177)-1) - LN( 1 - EXP( (-1 * $B$12:$B$20)/B203 ) ) )</f>
        <v>1.560004028961764</v>
      </c>
      <c r="H203" s="54">
        <f>300+100</f>
        <v>400</v>
      </c>
      <c r="I203" s="107">
        <f xml:space="preserve"> $D$2 *( 5/2  +   LN(  ((2*$B$2*$E$2*$A$2*B203)/($C$2*$C$2) )^1.5  * ($D$2*B203 )/($F$2*$J$2)  ) )/ 4.184</f>
        <v>35.72113752323488</v>
      </c>
      <c r="J203" s="100">
        <f t="shared" ref="J203:J220" si="49">$D$2 *LN( (EXP(1)*H203) / ($B$6 * $C$198)) / 4.184</f>
        <v>8.5556008550399021</v>
      </c>
      <c r="K203" s="100" cm="1">
        <f t="array" ref="K203">$D$2*SUM( (($B$12:$B$20)/H203)/(EXP($B$12:$B$20/B176)-1) - LN( 1 - EXP( (-1 * $B$12:$B$20)/H203 ) ) ) / 4.184</f>
        <v>0.11692689530096986</v>
      </c>
      <c r="O203" s="47"/>
    </row>
    <row r="204" spans="1:15" ht="18" x14ac:dyDescent="0.3">
      <c r="B204" s="54">
        <f t="shared" ref="B204:B220" si="50">B203+100</f>
        <v>500</v>
      </c>
      <c r="C204" s="100">
        <f t="shared" si="47"/>
        <v>6.8127313101406362E-26</v>
      </c>
      <c r="D204" s="107">
        <f t="shared" si="48"/>
        <v>154.09554142067111</v>
      </c>
      <c r="E204" s="100">
        <f t="shared" si="46"/>
        <v>37.65195478686951</v>
      </c>
      <c r="F204" s="100" cm="1">
        <f t="array" ref="F204">$D$2*SUM( (($B$12:$B$20)/B204)/(EXP($B$12:$B$20/B178)-1) - LN( 1 - EXP( (-1 * $B$12:$B$20)/B204 ) ) )</f>
        <v>3.6387659068906228</v>
      </c>
      <c r="H204" s="54">
        <f t="shared" ref="H204:H220" si="51">H203+100</f>
        <v>500</v>
      </c>
      <c r="I204" s="107">
        <f t="shared" ref="I204:I220" si="52" xml:space="preserve"> $D$2 *( 5/2  +   LN(  ((2*$B$2*$E$2*$A$2*B204)/($C$2*$C$2) )^1.5  * ($D$2*B204 )/($F$2*$J$2)  ) )/ 4.184</f>
        <v>36.829718312779903</v>
      </c>
      <c r="J204" s="100">
        <f t="shared" si="49"/>
        <v>8.9990331708579134</v>
      </c>
      <c r="K204" s="100" cm="1">
        <f t="array" ref="K204">$D$2*SUM( (($B$12:$B$20)/H204)/(EXP($B$12:$B$20/B177)-1) - LN( 1 - EXP( (-1 * $B$12:$B$20)/H204 ) ) ) / 4.184</f>
        <v>0.4193782908200705</v>
      </c>
      <c r="M204" s="176"/>
      <c r="N204" s="176"/>
      <c r="O204" s="47"/>
    </row>
    <row r="205" spans="1:15" ht="18.600000000000001" thickBot="1" x14ac:dyDescent="0.35">
      <c r="B205" s="54">
        <f t="shared" si="50"/>
        <v>600</v>
      </c>
      <c r="C205" s="100">
        <f t="shared" si="47"/>
        <v>8.175277572168763E-26</v>
      </c>
      <c r="D205" s="107">
        <f t="shared" si="48"/>
        <v>157.88531011807049</v>
      </c>
      <c r="E205" s="100">
        <f t="shared" si="46"/>
        <v>39.167862265829257</v>
      </c>
      <c r="F205" s="100" cm="1">
        <f t="array" ref="F205">$D$2*SUM( (($B$12:$B$20)/B205)/(EXP($B$12:$B$20/B179)-1) - LN( 1 - EXP( (-1 * $B$12:$B$20)/B205 ) ) )</f>
        <v>6.3825836837645937</v>
      </c>
      <c r="H205" s="54">
        <f t="shared" si="51"/>
        <v>600</v>
      </c>
      <c r="I205" s="107">
        <f t="shared" si="52"/>
        <v>37.735494770093325</v>
      </c>
      <c r="J205" s="100">
        <f t="shared" si="49"/>
        <v>9.3613437537832827</v>
      </c>
      <c r="K205" s="100" cm="1">
        <f t="array" ref="K205">$D$2*SUM( (($B$12:$B$20)/H205)/(EXP($B$12:$B$20/B178)-1) - LN( 1 - EXP( (-1 * $B$12:$B$20)/H205 ) ) ) / 4.184</f>
        <v>0.92253757316845475</v>
      </c>
      <c r="M205" s="176" t="s">
        <v>89</v>
      </c>
      <c r="N205" s="176"/>
      <c r="O205" s="47"/>
    </row>
    <row r="206" spans="1:15" x14ac:dyDescent="0.3">
      <c r="B206" s="54">
        <f t="shared" si="50"/>
        <v>700</v>
      </c>
      <c r="C206" s="100">
        <f t="shared" si="47"/>
        <v>9.5378238341968898E-26</v>
      </c>
      <c r="D206" s="107">
        <f t="shared" si="48"/>
        <v>161.08951389608222</v>
      </c>
      <c r="E206" s="100">
        <f t="shared" si="46"/>
        <v>40.449543777033959</v>
      </c>
      <c r="F206" s="100" cm="1">
        <f t="array" ref="F206">$D$2*SUM( (($B$12:$B$20)/B206)/(EXP($B$12:$B$20/B180)-1) - LN( 1 - EXP( (-1 * $B$12:$B$20)/B206 ) ) )</f>
        <v>9.5653320981532737</v>
      </c>
      <c r="H206" s="54">
        <f t="shared" si="51"/>
        <v>700</v>
      </c>
      <c r="I206" s="107">
        <f t="shared" si="52"/>
        <v>38.50131785279212</v>
      </c>
      <c r="J206" s="100">
        <f t="shared" si="49"/>
        <v>9.6676729868628009</v>
      </c>
      <c r="K206" s="100" cm="1">
        <f t="array" ref="K206">$D$2*SUM( (($B$12:$B$20)/H206)/(EXP($B$12:$B$20/B179)-1) - LN( 1 - EXP( (-1 * $B$12:$B$20)/H206 ) ) ) / 4.184</f>
        <v>1.5788265813522973</v>
      </c>
      <c r="M206" s="38"/>
      <c r="N206" s="4" t="s">
        <v>28</v>
      </c>
      <c r="O206" s="47"/>
    </row>
    <row r="207" spans="1:15" x14ac:dyDescent="0.3">
      <c r="B207" s="54">
        <f t="shared" si="50"/>
        <v>800</v>
      </c>
      <c r="C207" s="100">
        <f t="shared" si="47"/>
        <v>1.0900370096225019E-25</v>
      </c>
      <c r="D207" s="107">
        <f t="shared" si="48"/>
        <v>163.8651214588262</v>
      </c>
      <c r="E207" s="100">
        <f t="shared" si="46"/>
        <v>41.559786802131562</v>
      </c>
      <c r="F207" s="100" cm="1">
        <f t="array" ref="F207">$D$2*SUM( (($B$12:$B$20)/B207)/(EXP($B$12:$B$20/B181)-1) - LN( 1 - EXP( (-1 * $B$12:$B$20)/B207 ) ) )</f>
        <v>13.022216074356608</v>
      </c>
      <c r="H207" s="54">
        <f t="shared" si="51"/>
        <v>800</v>
      </c>
      <c r="I207" s="107">
        <f t="shared" si="52"/>
        <v>39.164703981555014</v>
      </c>
      <c r="J207" s="100">
        <f t="shared" si="49"/>
        <v>9.9330274383679633</v>
      </c>
      <c r="K207" s="100" cm="1">
        <f t="array" ref="K207">$D$2*SUM( (($B$12:$B$20)/H207)/(EXP($B$12:$B$20/B180)-1) - LN( 1 - EXP( (-1 * $B$12:$B$20)/H207 ) ) ) / 4.184</f>
        <v>2.3372858432768746</v>
      </c>
      <c r="M207" s="39"/>
      <c r="N207" s="41" t="s">
        <v>30</v>
      </c>
      <c r="O207" s="47"/>
    </row>
    <row r="208" spans="1:15" x14ac:dyDescent="0.3">
      <c r="B208" s="54">
        <f t="shared" si="50"/>
        <v>900</v>
      </c>
      <c r="C208" s="100">
        <f t="shared" si="47"/>
        <v>1.2262916358253145E-25</v>
      </c>
      <c r="D208" s="107">
        <f t="shared" si="48"/>
        <v>166.31338083892618</v>
      </c>
      <c r="E208" s="100">
        <f t="shared" si="46"/>
        <v>42.539090554171565</v>
      </c>
      <c r="F208" s="100" cm="1">
        <f t="array" ref="F208">$D$2*SUM( (($B$12:$B$20)/B208)/(EXP($B$12:$B$20/B182)-1) - LN( 1 - EXP( (-1 * $B$12:$B$20)/B208 ) ) )</f>
        <v>16.639382401278986</v>
      </c>
      <c r="H208" s="54">
        <f t="shared" si="51"/>
        <v>900</v>
      </c>
      <c r="I208" s="107">
        <f t="shared" si="52"/>
        <v>39.749852016951763</v>
      </c>
      <c r="J208" s="100">
        <f t="shared" si="49"/>
        <v>10.167086652526665</v>
      </c>
      <c r="K208" s="100" cm="1">
        <f t="array" ref="K208">$D$2*SUM( (($B$12:$B$20)/H208)/(EXP($B$12:$B$20/B181)-1) - LN( 1 - EXP( (-1 * $B$12:$B$20)/H208 ) ) ) / 4.184</f>
        <v>3.1601580349309324</v>
      </c>
      <c r="M208" s="39" t="s">
        <v>31</v>
      </c>
      <c r="N208" s="43">
        <v>47.234999999999999</v>
      </c>
      <c r="O208" s="47"/>
    </row>
    <row r="209" spans="1:14" x14ac:dyDescent="0.3">
      <c r="B209" s="54">
        <f t="shared" si="50"/>
        <v>1000</v>
      </c>
      <c r="C209" s="100">
        <f t="shared" si="47"/>
        <v>1.3625462620281272E-25</v>
      </c>
      <c r="D209" s="107">
        <f t="shared" si="48"/>
        <v>168.50342348228253</v>
      </c>
      <c r="E209" s="100">
        <f t="shared" si="46"/>
        <v>43.415107611514117</v>
      </c>
      <c r="F209" s="100" cm="1">
        <f t="array" ref="F209">$D$2*SUM( (($B$12:$B$20)/B209)/(EXP($B$12:$B$20/B183)-1) - LN( 1 - EXP( (-1 * $B$12:$B$20)/B209 ) ) )</f>
        <v>20.337110722164862</v>
      </c>
      <c r="H209" s="54">
        <f t="shared" si="51"/>
        <v>1000</v>
      </c>
      <c r="I209" s="107">
        <f t="shared" si="52"/>
        <v>40.27328477110003</v>
      </c>
      <c r="J209" s="100">
        <f t="shared" si="49"/>
        <v>10.376459754185975</v>
      </c>
      <c r="K209" s="100" cm="1">
        <f t="array" ref="K209">$D$2*SUM( (($B$12:$B$20)/H209)/(EXP($B$12:$B$20/B182)-1) - LN( 1 - EXP( (-1 * $B$12:$B$20)/H209 ) ) ) / 4.184</f>
        <v>4.0209997257644039</v>
      </c>
      <c r="M209" s="39" t="s">
        <v>32</v>
      </c>
      <c r="N209" s="43" t="s">
        <v>33</v>
      </c>
    </row>
    <row r="210" spans="1:14" x14ac:dyDescent="0.3">
      <c r="B210" s="54">
        <f t="shared" si="50"/>
        <v>1100</v>
      </c>
      <c r="C210" s="100">
        <f t="shared" si="47"/>
        <v>1.4988008882309398E-25</v>
      </c>
      <c r="D210" s="107">
        <f t="shared" si="48"/>
        <v>170.48455803552775</v>
      </c>
      <c r="E210" s="100">
        <f t="shared" si="46"/>
        <v>44.207561432812142</v>
      </c>
      <c r="F210" s="100" cm="1">
        <f t="array" ref="F210">$D$2*SUM( (($B$12:$B$20)/B210)/(EXP($B$12:$B$20/B184)-1) - LN( 1 - EXP( (-1 * $B$12:$B$20)/B210 ) ) )</f>
        <v>24.058653463633391</v>
      </c>
      <c r="H210" s="54">
        <f t="shared" si="51"/>
        <v>1100</v>
      </c>
      <c r="I210" s="107">
        <f t="shared" si="52"/>
        <v>40.74678729338617</v>
      </c>
      <c r="J210" s="100">
        <f t="shared" si="49"/>
        <v>10.565860763100416</v>
      </c>
      <c r="K210" s="100" cm="1">
        <f t="array" ref="K210">$D$2*SUM( (($B$12:$B$20)/H210)/(EXP($B$12:$B$20/B183)-1) - LN( 1 - EXP( (-1 * $B$12:$B$20)/H210 ) ) ) / 4.184</f>
        <v>4.9011146897135784</v>
      </c>
      <c r="M210" s="39" t="s">
        <v>34</v>
      </c>
      <c r="N210" s="43">
        <v>34.261000000000003</v>
      </c>
    </row>
    <row r="211" spans="1:14" x14ac:dyDescent="0.3">
      <c r="A211" s="53"/>
      <c r="B211" s="54">
        <f t="shared" si="50"/>
        <v>1200</v>
      </c>
      <c r="C211" s="100">
        <f t="shared" si="47"/>
        <v>1.6350555144337526E-25</v>
      </c>
      <c r="D211" s="107">
        <f t="shared" si="48"/>
        <v>172.29319217968202</v>
      </c>
      <c r="E211" s="100">
        <f t="shared" si="46"/>
        <v>44.931015090473871</v>
      </c>
      <c r="F211" s="100" cm="1">
        <f t="array" ref="F211">$D$2*SUM( (($B$12:$B$20)/B211)/(EXP($B$12:$B$20/B185)-1) - LN( 1 - EXP( (-1 * $B$12:$B$20)/B211 ) ) )</f>
        <v>27.763496290890867</v>
      </c>
      <c r="H211" s="54">
        <f t="shared" si="51"/>
        <v>1200</v>
      </c>
      <c r="I211" s="107">
        <f t="shared" si="52"/>
        <v>41.179061228413481</v>
      </c>
      <c r="J211" s="100">
        <f t="shared" si="49"/>
        <v>10.738770337111346</v>
      </c>
      <c r="K211" s="100" cm="1">
        <f t="array" ref="K211">$D$2*SUM( (($B$12:$B$20)/H211)/(EXP($B$12:$B$20/B184)-1) - LN( 1 - EXP( (-1 * $B$12:$B$20)/H211 ) ) ) / 4.184</f>
        <v>5.7871056915209502</v>
      </c>
      <c r="M211" s="39" t="s">
        <v>35</v>
      </c>
      <c r="N211" s="43">
        <v>12.888</v>
      </c>
    </row>
    <row r="212" spans="1:14" ht="15" thickBot="1" x14ac:dyDescent="0.35">
      <c r="B212" s="54">
        <f t="shared" si="50"/>
        <v>1300</v>
      </c>
      <c r="C212" s="100">
        <f t="shared" si="47"/>
        <v>1.7713101406365654E-25</v>
      </c>
      <c r="D212" s="107">
        <f t="shared" si="48"/>
        <v>173.95697430907154</v>
      </c>
      <c r="E212" s="100">
        <f t="shared" si="46"/>
        <v>45.59652794222967</v>
      </c>
      <c r="F212" s="100" cm="1">
        <f t="array" ref="F212">$D$2*SUM( (($B$12:$B$20)/B212)/(EXP($B$12:$B$20/B186)-1) - LN( 1 - EXP( (-1 * $B$12:$B$20)/B212 ) ) )</f>
        <v>31.423019771331916</v>
      </c>
      <c r="H212" s="54">
        <f t="shared" si="51"/>
        <v>1300</v>
      </c>
      <c r="I212" s="107">
        <f t="shared" si="52"/>
        <v>41.576714701020919</v>
      </c>
      <c r="J212" s="100">
        <f t="shared" si="49"/>
        <v>10.897831726154319</v>
      </c>
      <c r="K212" s="100" cm="1">
        <f t="array" ref="K212">$D$2*SUM( (($B$12:$B$20)/H212)/(EXP($B$12:$B$20/B185)-1) - LN( 1 - EXP( (-1 * $B$12:$B$20)/H212 ) ) ) / 4.184</f>
        <v>6.6693618516032904</v>
      </c>
      <c r="M212" s="44" t="s">
        <v>36</v>
      </c>
      <c r="N212" s="46">
        <v>8.5000000000000006E-2</v>
      </c>
    </row>
    <row r="213" spans="1:14" x14ac:dyDescent="0.3">
      <c r="B213" s="54">
        <f t="shared" si="50"/>
        <v>1400</v>
      </c>
      <c r="C213" s="100">
        <f t="shared" si="47"/>
        <v>1.907564766839378E-25</v>
      </c>
      <c r="D213" s="107">
        <f t="shared" si="48"/>
        <v>175.49739595769375</v>
      </c>
      <c r="E213" s="100">
        <f t="shared" si="46"/>
        <v>46.212696601678573</v>
      </c>
      <c r="F213" s="100" cm="1">
        <f t="array" ref="F213">$D$2*SUM( (($B$12:$B$20)/B213)/(EXP($B$12:$B$20/B187)-1) - LN( 1 - EXP( (-1 * $B$12:$B$20)/B213 ) ) )</f>
        <v>35.017453651054119</v>
      </c>
      <c r="H213" s="54">
        <f t="shared" si="51"/>
        <v>1400</v>
      </c>
      <c r="I213" s="107">
        <f t="shared" si="52"/>
        <v>41.944884311112276</v>
      </c>
      <c r="J213" s="100">
        <f t="shared" si="49"/>
        <v>11.045099570190864</v>
      </c>
      <c r="K213" s="100" cm="1">
        <f t="array" ref="K213">$D$2*SUM( (($B$12:$B$20)/H213)/(EXP($B$12:$B$20/B186)-1) - LN( 1 - EXP( (-1 * $B$12:$B$20)/H213 ) ) ) / 4.184</f>
        <v>7.5410672148829549</v>
      </c>
    </row>
    <row r="214" spans="1:14" x14ac:dyDescent="0.3">
      <c r="B214" s="54">
        <f t="shared" si="50"/>
        <v>1500</v>
      </c>
      <c r="C214" s="100">
        <f t="shared" si="47"/>
        <v>2.0438193930421908E-25</v>
      </c>
      <c r="D214" s="107">
        <f t="shared" si="48"/>
        <v>176.93149420313833</v>
      </c>
      <c r="E214" s="100">
        <f t="shared" si="46"/>
        <v>46.786335899856425</v>
      </c>
      <c r="F214" s="100" cm="1">
        <f t="array" ref="F214">$D$2*SUM( (($B$12:$B$20)/B214)/(EXP($B$12:$B$20/B188)-1) - LN( 1 - EXP( (-1 * $B$12:$B$20)/B214 ) ) )</f>
        <v>38.533617582917216</v>
      </c>
      <c r="H214" s="54">
        <f t="shared" si="51"/>
        <v>1500</v>
      </c>
      <c r="I214" s="107">
        <f t="shared" si="52"/>
        <v>42.28764201795849</v>
      </c>
      <c r="J214" s="100">
        <f t="shared" si="49"/>
        <v>11.182202652929355</v>
      </c>
      <c r="K214" s="100" cm="1">
        <f t="array" ref="K214">$D$2*SUM( (($B$12:$B$20)/H214)/(EXP($B$12:$B$20/B187)-1) - LN( 1 - EXP( (-1 * $B$12:$B$20)/H214 ) ) ) / 4.184</f>
        <v>8.3974955166534162</v>
      </c>
    </row>
    <row r="215" spans="1:14" x14ac:dyDescent="0.3">
      <c r="B215" s="54">
        <f t="shared" si="50"/>
        <v>1600</v>
      </c>
      <c r="C215" s="100">
        <f t="shared" si="47"/>
        <v>2.1800740192450038E-25</v>
      </c>
      <c r="D215" s="107">
        <f t="shared" si="48"/>
        <v>178.27300352043773</v>
      </c>
      <c r="E215" s="100">
        <f t="shared" si="46"/>
        <v>47.322939626776169</v>
      </c>
      <c r="F215" s="100" cm="1">
        <f t="array" ref="F215">$D$2*SUM( (($B$12:$B$20)/B215)/(EXP($B$12:$B$20/B189)-1) - LN( 1 - EXP( (-1 * $B$12:$B$20)/B215 ) ) )</f>
        <v>41.96320867082553</v>
      </c>
      <c r="H215" s="54">
        <f t="shared" si="51"/>
        <v>1600</v>
      </c>
      <c r="I215" s="107">
        <f t="shared" si="52"/>
        <v>42.60827043987517</v>
      </c>
      <c r="J215" s="100">
        <f t="shared" si="49"/>
        <v>11.310454021696025</v>
      </c>
      <c r="K215" s="100" cm="1">
        <f t="array" ref="K215">$D$2*SUM( (($B$12:$B$20)/H215)/(EXP($B$12:$B$20/B188)-1) - LN( 1 - EXP( (-1 * $B$12:$B$20)/H215 ) ) ) / 4.184</f>
        <v>9.2354824101632431</v>
      </c>
      <c r="M215" s="5" t="s">
        <v>90</v>
      </c>
      <c r="N215" s="110">
        <f>SUM(I202:L202)</f>
        <v>42.318151091006399</v>
      </c>
    </row>
    <row r="216" spans="1:14" x14ac:dyDescent="0.3">
      <c r="B216" s="54">
        <f t="shared" si="50"/>
        <v>1700</v>
      </c>
      <c r="C216" s="100">
        <f t="shared" si="47"/>
        <v>2.3163286454478159E-25</v>
      </c>
      <c r="D216" s="107">
        <f t="shared" si="48"/>
        <v>179.53315782194613</v>
      </c>
      <c r="E216" s="100">
        <f t="shared" si="46"/>
        <v>47.827001347379507</v>
      </c>
      <c r="F216" s="100" cm="1">
        <f t="array" ref="F216">$D$2*SUM( (($B$12:$B$20)/B216)/(EXP($B$12:$B$20/B190)-1) - LN( 1 - EXP( (-1 * $B$12:$B$20)/B216 ) ) )</f>
        <v>45.301500136459033</v>
      </c>
      <c r="H216" s="54">
        <f t="shared" si="51"/>
        <v>1700</v>
      </c>
      <c r="I216" s="107">
        <f t="shared" si="52"/>
        <v>42.90945454635424</v>
      </c>
      <c r="J216" s="100">
        <f t="shared" si="49"/>
        <v>11.430927664287644</v>
      </c>
      <c r="K216" s="100" cm="1">
        <f t="array" ref="K216">$D$2*SUM( (($B$12:$B$20)/H216)/(EXP($B$12:$B$20/B189)-1) - LN( 1 - EXP( (-1 * $B$12:$B$20)/H216 ) ) ) / 4.184</f>
        <v>10.05302305228904</v>
      </c>
    </row>
    <row r="217" spans="1:14" x14ac:dyDescent="0.3">
      <c r="B217" s="54">
        <f t="shared" si="50"/>
        <v>1800</v>
      </c>
      <c r="C217" s="100">
        <f t="shared" si="47"/>
        <v>2.4525832716506289E-25</v>
      </c>
      <c r="D217" s="107">
        <f t="shared" si="48"/>
        <v>180.72126290053774</v>
      </c>
      <c r="E217" s="100">
        <f t="shared" si="46"/>
        <v>48.302243378816172</v>
      </c>
      <c r="F217" s="100" cm="1">
        <f t="array" ref="F217">$D$2*SUM( (($B$12:$B$20)/B217)/(EXP($B$12:$B$20/B191)-1) - LN( 1 - EXP( (-1 * $B$12:$B$20)/B217 ) ) )</f>
        <v>48.546357551577742</v>
      </c>
      <c r="H217" s="54">
        <f t="shared" si="51"/>
        <v>1800</v>
      </c>
      <c r="I217" s="107">
        <f t="shared" si="52"/>
        <v>43.193418475271926</v>
      </c>
      <c r="J217" s="100">
        <f t="shared" si="49"/>
        <v>11.544513235854724</v>
      </c>
      <c r="K217" s="100" cm="1">
        <f t="array" ref="K217">$D$2*SUM( (($B$12:$B$20)/H217)/(EXP($B$12:$B$20/B190)-1) - LN( 1 - EXP( (-1 * $B$12:$B$20)/H217 ) ) ) / 4.184</f>
        <v>10.848965007230843</v>
      </c>
    </row>
    <row r="218" spans="1:14" x14ac:dyDescent="0.3">
      <c r="B218" s="54">
        <f t="shared" si="50"/>
        <v>1900</v>
      </c>
      <c r="C218" s="100">
        <f t="shared" si="47"/>
        <v>2.5888378978534419E-25</v>
      </c>
      <c r="D218" s="107">
        <f t="shared" si="48"/>
        <v>181.84511389396152</v>
      </c>
      <c r="E218" s="100">
        <f t="shared" si="46"/>
        <v>48.75178377618569</v>
      </c>
      <c r="F218" s="100" cm="1">
        <f t="array" ref="F218">$D$2*SUM( (($B$12:$B$20)/B218)/(EXP($B$12:$B$20/B192)-1) - LN( 1 - EXP( (-1 * $B$12:$B$20)/B218 ) ) )</f>
        <v>51.697500606134867</v>
      </c>
      <c r="H218" s="54">
        <f t="shared" si="51"/>
        <v>1900</v>
      </c>
      <c r="I218" s="107">
        <f t="shared" si="52"/>
        <v>43.462025309264227</v>
      </c>
      <c r="J218" s="100">
        <f t="shared" si="49"/>
        <v>11.651955969451647</v>
      </c>
      <c r="K218" s="100" cm="1">
        <f t="array" ref="K218">$D$2*SUM( (($B$12:$B$20)/H218)/(EXP($B$12:$B$20/B191)-1) - LN( 1 - EXP( (-1 * $B$12:$B$20)/H218 ) ) ) / 4.184</f>
        <v>11.622775338416712</v>
      </c>
    </row>
    <row r="219" spans="1:14" x14ac:dyDescent="0.3">
      <c r="B219" s="54">
        <f t="shared" si="50"/>
        <v>2000</v>
      </c>
      <c r="C219" s="100">
        <f t="shared" si="47"/>
        <v>2.7250925240562545E-25</v>
      </c>
      <c r="D219" s="107">
        <f t="shared" si="48"/>
        <v>182.91130554389409</v>
      </c>
      <c r="E219" s="100">
        <f t="shared" si="46"/>
        <v>49.17826043615873</v>
      </c>
      <c r="F219" s="100" cm="1">
        <f t="array" ref="F219">$D$2*SUM( (($B$12:$B$20)/B219)/(EXP($B$12:$B$20/B193)-1) - LN( 1 - EXP( (-1 * $B$12:$B$20)/B219 ) ) )</f>
        <v>54.755953179360219</v>
      </c>
      <c r="H219" s="54">
        <f t="shared" si="51"/>
        <v>2000</v>
      </c>
      <c r="I219" s="107">
        <f t="shared" si="52"/>
        <v>43.716851229420193</v>
      </c>
      <c r="J219" s="100">
        <f t="shared" si="49"/>
        <v>11.753886337514036</v>
      </c>
      <c r="K219" s="100" cm="1">
        <f t="array" ref="K219">$D$2*SUM( (($B$12:$B$20)/H219)/(EXP($B$12:$B$20/B192)-1) - LN( 1 - EXP( (-1 * $B$12:$B$20)/H219 ) ) ) / 4.184</f>
        <v>12.374365364464172</v>
      </c>
    </row>
    <row r="220" spans="1:14" ht="15" thickBot="1" x14ac:dyDescent="0.35">
      <c r="B220" s="25">
        <f t="shared" si="50"/>
        <v>2100</v>
      </c>
      <c r="C220" s="101">
        <f t="shared" si="47"/>
        <v>2.8613471502590675E-25</v>
      </c>
      <c r="D220" s="111">
        <f t="shared" si="48"/>
        <v>183.9254666785495</v>
      </c>
      <c r="E220" s="101">
        <f t="shared" si="46"/>
        <v>49.583924890020874</v>
      </c>
      <c r="F220" s="101" cm="1">
        <f t="array" ref="F220">$D$2*SUM( (($B$12:$B$20)/B220)/(EXP($B$12:$B$20/B194)-1) - LN( 1 - EXP( (-1 * $B$12:$B$20)/B220 ) ) )</f>
        <v>57.723636433158404</v>
      </c>
      <c r="G220" s="53"/>
      <c r="H220" s="25">
        <f t="shared" si="51"/>
        <v>2100</v>
      </c>
      <c r="I220" s="107">
        <f t="shared" si="52"/>
        <v>43.959241557970721</v>
      </c>
      <c r="J220" s="101">
        <f t="shared" si="49"/>
        <v>11.850842468934243</v>
      </c>
      <c r="K220" s="101" cm="1">
        <f t="array" ref="K220">$D$2*SUM( (($B$12:$B$20)/H220)/(EXP($B$12:$B$20/B193)-1) - LN( 1 - EXP( (-1 * $B$12:$B$20)/H220 ) ) ) / 4.184</f>
        <v>13.103959810436152</v>
      </c>
      <c r="L220" s="53"/>
    </row>
    <row r="224" spans="1:14" ht="15" thickBot="1" x14ac:dyDescent="0.35">
      <c r="A224" s="5" t="s">
        <v>98</v>
      </c>
      <c r="B224" s="170" t="s">
        <v>99</v>
      </c>
      <c r="C224" s="170"/>
      <c r="D224" s="170"/>
      <c r="E224" s="170"/>
      <c r="F224" s="170"/>
      <c r="H224" s="170" t="s">
        <v>100</v>
      </c>
      <c r="I224" s="170"/>
      <c r="J224" s="170"/>
      <c r="K224" s="170"/>
      <c r="L224" s="170"/>
    </row>
    <row r="225" spans="1:15" ht="18" x14ac:dyDescent="0.3">
      <c r="A225" s="5" t="s">
        <v>95</v>
      </c>
      <c r="B225" s="89" t="s">
        <v>45</v>
      </c>
      <c r="C225" s="16" t="s">
        <v>85</v>
      </c>
      <c r="D225" s="16" t="s">
        <v>35</v>
      </c>
      <c r="E225" s="16" t="s">
        <v>36</v>
      </c>
      <c r="F225" s="16" t="s">
        <v>86</v>
      </c>
      <c r="H225" s="89" t="s">
        <v>45</v>
      </c>
      <c r="I225" s="16" t="s">
        <v>85</v>
      </c>
      <c r="J225" s="16" t="s">
        <v>35</v>
      </c>
      <c r="K225" s="16" t="s">
        <v>36</v>
      </c>
      <c r="L225" s="16" t="s">
        <v>86</v>
      </c>
    </row>
    <row r="226" spans="1:15" ht="15" thickBot="1" x14ac:dyDescent="0.35">
      <c r="B226" s="54">
        <f>298.15</f>
        <v>298.14999999999998</v>
      </c>
      <c r="C226" s="100">
        <f>3/2*$D$2</f>
        <v>12.471708</v>
      </c>
      <c r="D226" s="100">
        <f>3/2*$D$2</f>
        <v>12.471708</v>
      </c>
      <c r="E226" s="100" cm="1">
        <f t="array" ref="E226">$D$2*SUM( ( ($B$12:$B$20) * ($B$12:$B$20)* EXP($B$12:$B$20/B226) ) / ( B226*B226* ( EXP(( $B$12:$B$20)/B226 )  -1)^2 ) )</f>
        <v>2.0925965860595666</v>
      </c>
      <c r="F226" s="101">
        <v>0</v>
      </c>
      <c r="H226" s="54">
        <f>298.15</f>
        <v>298.14999999999998</v>
      </c>
      <c r="I226" s="102">
        <f>3/2*$D$2 / 4.184</f>
        <v>2.9808097514340344</v>
      </c>
      <c r="J226" s="102">
        <f>3/2*$D$2 / 4.184</f>
        <v>2.9808097514340344</v>
      </c>
      <c r="K226" s="102" cm="1">
        <f t="array" ref="K226">$D$2*SUM( ( ($B$12:$B$20) * ($B$12:$B$20)* EXP($B$12:$B$20/B226) ) / ( B226*B226* ( EXP(( $B$12:$B$20)/B226 )  -1)^2 ) ) / 4.184</f>
        <v>0.50014258749033613</v>
      </c>
      <c r="L226" s="109">
        <v>0</v>
      </c>
    </row>
    <row r="227" spans="1:15" x14ac:dyDescent="0.3">
      <c r="B227" s="54">
        <f>300+100</f>
        <v>400</v>
      </c>
      <c r="C227" s="100">
        <f t="shared" ref="C227:D244" si="53">3/2*$D$2</f>
        <v>12.471708</v>
      </c>
      <c r="D227" s="100">
        <f t="shared" si="53"/>
        <v>12.471708</v>
      </c>
      <c r="E227" s="100" cm="1">
        <f t="array" ref="E227">$D$2*SUM( ( ($B$12:$B$20) * ($B$12:$B$20)* EXP($B$12:$B$20/B227) ) / ( B227*B227* ( EXP(( $B$12:$B$20)/B227 )  -1)^2 ) )</f>
        <v>6.649112547912619</v>
      </c>
      <c r="H227" s="54">
        <f>300+100</f>
        <v>400</v>
      </c>
      <c r="I227" s="100">
        <f t="shared" ref="I227:J244" si="54">3/2*$D$2 / 4.184</f>
        <v>2.9808097514340344</v>
      </c>
      <c r="J227" s="100">
        <f t="shared" si="54"/>
        <v>2.9808097514340344</v>
      </c>
      <c r="K227" s="100" cm="1">
        <f t="array" ref="K227">$D$2*SUM( ( ($B$12:$B$20) * ($B$12:$B$20)* EXP($B$12:$B$20/H227) ) / (H227*H227* ( EXP(( $B$12:$B$20)/H227 )  -1)^2 ) ) / 4.184</f>
        <v>1.5891760391760561</v>
      </c>
    </row>
    <row r="228" spans="1:15" ht="18.600000000000001" thickBot="1" x14ac:dyDescent="0.35">
      <c r="B228" s="54">
        <f t="shared" ref="B228:B244" si="55">B227+100</f>
        <v>500</v>
      </c>
      <c r="C228" s="100">
        <f t="shared" si="53"/>
        <v>12.471708</v>
      </c>
      <c r="D228" s="100">
        <f t="shared" si="53"/>
        <v>12.471708</v>
      </c>
      <c r="E228" s="100" cm="1">
        <f t="array" ref="E228">$D$2*SUM( ( ($B$12:$B$20) * ($B$12:$B$20)* EXP($B$12:$B$20/B228) ) / ( B228*B228* ( EXP(( $B$12:$B$20)/B228 )  -1)^2 ) )</f>
        <v>12.266943077216947</v>
      </c>
      <c r="H228" s="54">
        <f t="shared" ref="H228:H244" si="56">H227+100</f>
        <v>500</v>
      </c>
      <c r="I228" s="100">
        <f t="shared" si="54"/>
        <v>2.9808097514340344</v>
      </c>
      <c r="J228" s="100">
        <f t="shared" si="54"/>
        <v>2.9808097514340344</v>
      </c>
      <c r="K228" s="100" cm="1">
        <f t="array" ref="K228">$D$2*SUM( ( ($B$12:$B$20) * ($B$12:$B$20)* EXP($B$12:$B$20/H228) ) / (H228*H228* ( EXP(( $B$12:$B$20)/H228 )  -1)^2 ) ) / 4.184</f>
        <v>2.9318697603290982</v>
      </c>
      <c r="M228" s="176" t="s">
        <v>89</v>
      </c>
      <c r="N228" s="176"/>
    </row>
    <row r="229" spans="1:15" x14ac:dyDescent="0.3">
      <c r="B229" s="54">
        <f t="shared" si="55"/>
        <v>600</v>
      </c>
      <c r="C229" s="100">
        <f t="shared" si="53"/>
        <v>12.471708</v>
      </c>
      <c r="D229" s="100">
        <f t="shared" si="53"/>
        <v>12.471708</v>
      </c>
      <c r="E229" s="100" cm="1">
        <f t="array" ref="E229">$D$2*SUM( ( ($B$12:$B$20) * ($B$12:$B$20)* EXP($B$12:$B$20/B229) ) / ( B229*B229* ( EXP(( $B$12:$B$20)/B229 )  -1)^2 ) )</f>
        <v>17.97559717841181</v>
      </c>
      <c r="H229" s="54">
        <f t="shared" si="56"/>
        <v>600</v>
      </c>
      <c r="I229" s="100">
        <f t="shared" si="54"/>
        <v>2.9808097514340344</v>
      </c>
      <c r="J229" s="100">
        <f t="shared" si="54"/>
        <v>2.9808097514340344</v>
      </c>
      <c r="K229" s="100" cm="1">
        <f t="array" ref="K229">$D$2*SUM( ( ($B$12:$B$20) * ($B$12:$B$20)* EXP($B$12:$B$20/H229) ) / (H229*H229* ( EXP(( $B$12:$B$20)/H229 )  -1)^2 ) ) / 4.184</f>
        <v>4.29627083614049</v>
      </c>
      <c r="M229" s="38"/>
      <c r="N229" s="4" t="s">
        <v>27</v>
      </c>
      <c r="O229" s="78"/>
    </row>
    <row r="230" spans="1:15" x14ac:dyDescent="0.3">
      <c r="B230" s="54">
        <f t="shared" si="55"/>
        <v>700</v>
      </c>
      <c r="C230" s="100">
        <f t="shared" si="53"/>
        <v>12.471708</v>
      </c>
      <c r="D230" s="100">
        <f t="shared" si="53"/>
        <v>12.471708</v>
      </c>
      <c r="E230" s="100" cm="1">
        <f t="array" ref="E230">$D$2*SUM( ( ($B$12:$B$20) * ($B$12:$B$20)* EXP($B$12:$B$20/B230) ) / ( B230*B230* ( EXP(( $B$12:$B$20)/B230 )  -1)^2 ) )</f>
        <v>23.396792972577316</v>
      </c>
      <c r="H230" s="54">
        <f t="shared" si="56"/>
        <v>700</v>
      </c>
      <c r="I230" s="100">
        <f t="shared" si="54"/>
        <v>2.9808097514340344</v>
      </c>
      <c r="J230" s="100">
        <f t="shared" si="54"/>
        <v>2.9808097514340344</v>
      </c>
      <c r="K230" s="100" cm="1">
        <f t="array" ref="K230">$D$2*SUM( ( ($B$12:$B$20) * ($B$12:$B$20)* EXP($B$12:$B$20/H230) ) / (H230*H230* ( EXP(( $B$12:$B$20)/H230 )  -1)^2 ) ) / 4.184</f>
        <v>5.5919677276714426</v>
      </c>
      <c r="M230" s="39"/>
      <c r="N230" s="41" t="s">
        <v>30</v>
      </c>
      <c r="O230" s="78"/>
    </row>
    <row r="231" spans="1:15" x14ac:dyDescent="0.3">
      <c r="B231" s="54">
        <f t="shared" si="55"/>
        <v>800</v>
      </c>
      <c r="C231" s="100">
        <f t="shared" si="53"/>
        <v>12.471708</v>
      </c>
      <c r="D231" s="100">
        <f t="shared" si="53"/>
        <v>12.471708</v>
      </c>
      <c r="E231" s="100" cm="1">
        <f t="array" ref="E231">$D$2*SUM( ( ($B$12:$B$20) * ($B$12:$B$20)* EXP($B$12:$B$20/B231) ) / ( B231*B231* ( EXP(( $B$12:$B$20)/B231 )  -1)^2 ) )</f>
        <v>28.421493574067181</v>
      </c>
      <c r="H231" s="54">
        <f t="shared" si="56"/>
        <v>800</v>
      </c>
      <c r="I231" s="100">
        <f t="shared" si="54"/>
        <v>2.9808097514340344</v>
      </c>
      <c r="J231" s="100">
        <f t="shared" si="54"/>
        <v>2.9808097514340344</v>
      </c>
      <c r="K231" s="100" cm="1">
        <f t="array" ref="K231">$D$2*SUM( ( ($B$12:$B$20) * ($B$12:$B$20)* EXP($B$12:$B$20/H231) ) / (H231*H231* ( EXP(( $B$12:$B$20)/H231 )  -1)^2 ) ) / 4.184</f>
        <v>6.7928999938019077</v>
      </c>
      <c r="M231" s="39" t="s">
        <v>31</v>
      </c>
      <c r="N231" s="43">
        <v>6.4619999999999997</v>
      </c>
      <c r="O231" s="47"/>
    </row>
    <row r="232" spans="1:15" x14ac:dyDescent="0.3">
      <c r="B232" s="54">
        <f t="shared" si="55"/>
        <v>900</v>
      </c>
      <c r="C232" s="100">
        <f t="shared" si="53"/>
        <v>12.471708</v>
      </c>
      <c r="D232" s="100">
        <f t="shared" si="53"/>
        <v>12.471708</v>
      </c>
      <c r="E232" s="100" cm="1">
        <f t="array" ref="E232">$D$2*SUM( ( ($B$12:$B$20) * ($B$12:$B$20)* EXP($B$12:$B$20/B232) ) / ( B232*B232* ( EXP(( $B$12:$B$20)/B232 )  -1)^2 ) )</f>
        <v>33.016851112390171</v>
      </c>
      <c r="H232" s="54">
        <f t="shared" si="56"/>
        <v>900</v>
      </c>
      <c r="I232" s="100">
        <f t="shared" si="54"/>
        <v>2.9808097514340344</v>
      </c>
      <c r="J232" s="100">
        <f t="shared" si="54"/>
        <v>2.9808097514340344</v>
      </c>
      <c r="K232" s="100" cm="1">
        <f t="array" ref="K232">$D$2*SUM( ( ($B$12:$B$20) * ($B$12:$B$20)* EXP($B$12:$B$20/H232) ) / (H232*H232* ( EXP(( $B$12:$B$20)/H232 )  -1)^2 ) ) / 4.184</f>
        <v>7.8912168050645723</v>
      </c>
      <c r="M232" s="39" t="s">
        <v>32</v>
      </c>
      <c r="N232" s="43" t="s">
        <v>33</v>
      </c>
      <c r="O232" s="47"/>
    </row>
    <row r="233" spans="1:15" x14ac:dyDescent="0.3">
      <c r="B233" s="54">
        <f t="shared" si="55"/>
        <v>1000</v>
      </c>
      <c r="C233" s="100">
        <f t="shared" si="53"/>
        <v>12.471708</v>
      </c>
      <c r="D233" s="100">
        <f t="shared" si="53"/>
        <v>12.471708</v>
      </c>
      <c r="E233" s="100" cm="1">
        <f t="array" ref="E233">$D$2*SUM( ( ($B$12:$B$20) * ($B$12:$B$20)* EXP($B$12:$B$20/B233) ) / ( B233*B233* ( EXP(( $B$12:$B$20)/B233 )  -1)^2 ) )</f>
        <v>37.175670256191985</v>
      </c>
      <c r="H233" s="54">
        <f t="shared" si="56"/>
        <v>1000</v>
      </c>
      <c r="I233" s="100">
        <f t="shared" si="54"/>
        <v>2.9808097514340344</v>
      </c>
      <c r="J233" s="100">
        <f t="shared" si="54"/>
        <v>2.9808097514340344</v>
      </c>
      <c r="K233" s="100" cm="1">
        <f t="array" ref="K233">$D$2*SUM( ( ($B$12:$B$20) * ($B$12:$B$20)* EXP($B$12:$B$20/H233) ) / (H233*H233* ( EXP(( $B$12:$B$20)/H233 )  -1)^2 ) ) / 4.184</f>
        <v>8.885198435992347</v>
      </c>
      <c r="M233" s="39" t="s">
        <v>34</v>
      </c>
      <c r="N233" s="43">
        <v>2.9809999999999999</v>
      </c>
      <c r="O233" s="47"/>
    </row>
    <row r="234" spans="1:15" x14ac:dyDescent="0.3">
      <c r="B234" s="54">
        <f t="shared" si="55"/>
        <v>1100</v>
      </c>
      <c r="C234" s="100">
        <f t="shared" si="53"/>
        <v>12.471708</v>
      </c>
      <c r="D234" s="100">
        <f t="shared" si="53"/>
        <v>12.471708</v>
      </c>
      <c r="E234" s="100" cm="1">
        <f t="array" ref="E234">$D$2*SUM( ( ($B$12:$B$20) * ($B$12:$B$20)* EXP($B$12:$B$20/B234) ) / ( B234*B234* ( EXP(( $B$12:$B$20)/B234 )  -1)^2 ) )</f>
        <v>40.907195329620258</v>
      </c>
      <c r="H234" s="54">
        <f t="shared" si="56"/>
        <v>1100</v>
      </c>
      <c r="I234" s="100">
        <f t="shared" si="54"/>
        <v>2.9808097514340344</v>
      </c>
      <c r="J234" s="100">
        <f t="shared" si="54"/>
        <v>2.9808097514340344</v>
      </c>
      <c r="K234" s="100" cm="1">
        <f t="array" ref="K234">$D$2*SUM( ( ($B$12:$B$20) * ($B$12:$B$20)* EXP($B$12:$B$20/H234) ) / (H234*H234* ( EXP(( $B$12:$B$20)/H234 )  -1)^2 ) ) / 4.184</f>
        <v>9.7770543330832353</v>
      </c>
      <c r="M234" s="39" t="s">
        <v>35</v>
      </c>
      <c r="N234" s="43">
        <v>2.9809999999999999</v>
      </c>
      <c r="O234" s="47"/>
    </row>
    <row r="235" spans="1:15" ht="15" thickBot="1" x14ac:dyDescent="0.35">
      <c r="B235" s="54">
        <f t="shared" si="55"/>
        <v>1200</v>
      </c>
      <c r="C235" s="100">
        <f t="shared" si="53"/>
        <v>12.471708</v>
      </c>
      <c r="D235" s="100">
        <f t="shared" si="53"/>
        <v>12.471708</v>
      </c>
      <c r="E235" s="100" cm="1">
        <f t="array" ref="E235">$D$2*SUM( ( ($B$12:$B$20) * ($B$12:$B$20)* EXP($B$12:$B$20/B235) ) / ( B235*B235* ( EXP(( $B$12:$B$20)/B235 )  -1)^2 ) )</f>
        <v>44.233554008077235</v>
      </c>
      <c r="H235" s="54">
        <f t="shared" si="56"/>
        <v>1200</v>
      </c>
      <c r="I235" s="100">
        <f t="shared" si="54"/>
        <v>2.9808097514340344</v>
      </c>
      <c r="J235" s="100">
        <f t="shared" si="54"/>
        <v>2.9808097514340344</v>
      </c>
      <c r="K235" s="100" cm="1">
        <f t="array" ref="K235">$D$2*SUM( ( ($B$12:$B$20) * ($B$12:$B$20)* EXP($B$12:$B$20/H235) ) / (H235*H235* ( EXP(( $B$12:$B$20)/H235 )  -1)^2 ) ) / 4.184</f>
        <v>10.572073137685763</v>
      </c>
      <c r="M235" s="44" t="s">
        <v>36</v>
      </c>
      <c r="N235" s="46">
        <v>0.5</v>
      </c>
      <c r="O235" s="47"/>
    </row>
    <row r="236" spans="1:15" x14ac:dyDescent="0.3">
      <c r="B236" s="54">
        <f t="shared" si="55"/>
        <v>1300</v>
      </c>
      <c r="C236" s="100">
        <f t="shared" si="53"/>
        <v>12.471708</v>
      </c>
      <c r="D236" s="100">
        <f t="shared" si="53"/>
        <v>12.471708</v>
      </c>
      <c r="E236" s="100" cm="1">
        <f t="array" ref="E236">$D$2*SUM( ( ($B$12:$B$20) * ($B$12:$B$20)* EXP($B$12:$B$20/B236) ) / ( B236*B236* ( EXP(( $B$12:$B$20)/B236 )  -1)^2 ) )</f>
        <v>47.185574268735088</v>
      </c>
      <c r="H236" s="54">
        <f t="shared" si="56"/>
        <v>1300</v>
      </c>
      <c r="I236" s="100">
        <f t="shared" si="54"/>
        <v>2.9808097514340344</v>
      </c>
      <c r="J236" s="100">
        <f t="shared" si="54"/>
        <v>2.9808097514340344</v>
      </c>
      <c r="K236" s="100" cm="1">
        <f t="array" ref="K236">$D$2*SUM( ( ($B$12:$B$20) * ($B$12:$B$20)* EXP($B$12:$B$20/H236) ) / (H236*H236* ( EXP(( $B$12:$B$20)/H236 )  -1)^2 ) ) / 4.184</f>
        <v>11.277622913177602</v>
      </c>
      <c r="N236" s="47"/>
      <c r="O236" s="47"/>
    </row>
    <row r="237" spans="1:15" x14ac:dyDescent="0.3">
      <c r="B237" s="54">
        <f t="shared" si="55"/>
        <v>1400</v>
      </c>
      <c r="C237" s="100">
        <f t="shared" si="53"/>
        <v>12.471708</v>
      </c>
      <c r="D237" s="100">
        <f t="shared" si="53"/>
        <v>12.471708</v>
      </c>
      <c r="E237" s="100" cm="1">
        <f t="array" ref="E237">$D$2*SUM( ( ($B$12:$B$20) * ($B$12:$B$20)* EXP($B$12:$B$20/B237) ) / ( B237*B237* ( EXP(( $B$12:$B$20)/B237 )  -1)^2 ) )</f>
        <v>49.798555995901076</v>
      </c>
      <c r="H237" s="54">
        <f t="shared" si="56"/>
        <v>1400</v>
      </c>
      <c r="I237" s="100">
        <f t="shared" si="54"/>
        <v>2.9808097514340344</v>
      </c>
      <c r="J237" s="100">
        <f t="shared" si="54"/>
        <v>2.9808097514340344</v>
      </c>
      <c r="K237" s="100" cm="1">
        <f t="array" ref="K237">$D$2*SUM( ( ($B$12:$B$20) * ($B$12:$B$20)* EXP($B$12:$B$20/H237) ) / (H237*H237* ( EXP(( $B$12:$B$20)/H237 )  -1)^2 ) ) / 4.184</f>
        <v>11.902140534393181</v>
      </c>
    </row>
    <row r="238" spans="1:15" x14ac:dyDescent="0.3">
      <c r="B238" s="54">
        <f t="shared" si="55"/>
        <v>1500</v>
      </c>
      <c r="C238" s="100">
        <f t="shared" si="53"/>
        <v>12.471708</v>
      </c>
      <c r="D238" s="100">
        <f t="shared" si="53"/>
        <v>12.471708</v>
      </c>
      <c r="E238" s="100" cm="1">
        <f t="array" ref="E238">$D$2*SUM( ( ($B$12:$B$20) * ($B$12:$B$20)* EXP($B$12:$B$20/B238) ) / ( B238*B238* ( EXP(( $B$12:$B$20)/B238 )  -1)^2 ) )</f>
        <v>52.10888709469971</v>
      </c>
      <c r="H238" s="54">
        <f t="shared" si="56"/>
        <v>1500</v>
      </c>
      <c r="I238" s="100">
        <f t="shared" si="54"/>
        <v>2.9808097514340344</v>
      </c>
      <c r="J238" s="100">
        <f t="shared" si="54"/>
        <v>2.9808097514340344</v>
      </c>
      <c r="K238" s="100" cm="1">
        <f t="array" ref="K238">$D$2*SUM( ( ($B$12:$B$20) * ($B$12:$B$20)* EXP($B$12:$B$20/H238) ) / (H238*H238* ( EXP(( $B$12:$B$20)/H238 )  -1)^2 ) ) / 4.184</f>
        <v>12.454322919383296</v>
      </c>
    </row>
    <row r="239" spans="1:15" x14ac:dyDescent="0.3">
      <c r="B239" s="54">
        <f t="shared" si="55"/>
        <v>1600</v>
      </c>
      <c r="C239" s="100">
        <f t="shared" si="53"/>
        <v>12.471708</v>
      </c>
      <c r="D239" s="100">
        <f t="shared" si="53"/>
        <v>12.471708</v>
      </c>
      <c r="E239" s="100" cm="1">
        <f t="array" ref="E239">$D$2*SUM( ( ($B$12:$B$20) * ($B$12:$B$20)* EXP($B$12:$B$20/B239) ) / ( B239*B239* ( EXP(( $B$12:$B$20)/B239 )  -1)^2 ) )</f>
        <v>54.151756797291121</v>
      </c>
      <c r="H239" s="54">
        <f t="shared" si="56"/>
        <v>1600</v>
      </c>
      <c r="I239" s="100">
        <f t="shared" si="54"/>
        <v>2.9808097514340344</v>
      </c>
      <c r="J239" s="100">
        <f t="shared" si="54"/>
        <v>2.9808097514340344</v>
      </c>
      <c r="K239" s="100" cm="1">
        <f t="array" ref="K239">$D$2*SUM( ( ($B$12:$B$20) * ($B$12:$B$20)* EXP($B$12:$B$20/H239) ) / (H239*H239* ( EXP(( $B$12:$B$20)/H239 )  -1)^2 ) ) / 4.184</f>
        <v>12.942580496484492</v>
      </c>
      <c r="M239" s="5" t="s">
        <v>90</v>
      </c>
      <c r="N239" s="112">
        <f>SUM(I226:L226)</f>
        <v>6.4617620903584045</v>
      </c>
    </row>
    <row r="240" spans="1:15" x14ac:dyDescent="0.3">
      <c r="B240" s="54">
        <f t="shared" si="55"/>
        <v>1700</v>
      </c>
      <c r="C240" s="100">
        <f t="shared" si="53"/>
        <v>12.471708</v>
      </c>
      <c r="D240" s="100">
        <f t="shared" si="53"/>
        <v>12.471708</v>
      </c>
      <c r="E240" s="100" cm="1">
        <f t="array" ref="E240">$D$2*SUM( ( ($B$12:$B$20) * ($B$12:$B$20)* EXP($B$12:$B$20/B240) ) / ( B240*B240* ( EXP(( $B$12:$B$20)/B240 )  -1)^2 ) )</f>
        <v>55.959827553294531</v>
      </c>
      <c r="H240" s="54">
        <f t="shared" si="56"/>
        <v>1700</v>
      </c>
      <c r="I240" s="100">
        <f t="shared" si="54"/>
        <v>2.9808097514340344</v>
      </c>
      <c r="J240" s="100">
        <f t="shared" si="54"/>
        <v>2.9808097514340344</v>
      </c>
      <c r="K240" s="100" cm="1">
        <f t="array" ref="K240">$D$2*SUM( ( ($B$12:$B$20) * ($B$12:$B$20)* EXP($B$12:$B$20/H240) ) / (H240*H240* ( EXP(( $B$12:$B$20)/H240 )  -1)^2 ) ) / 4.184</f>
        <v>13.374719778512077</v>
      </c>
    </row>
    <row r="241" spans="1:12" x14ac:dyDescent="0.3">
      <c r="B241" s="54">
        <f t="shared" si="55"/>
        <v>1800</v>
      </c>
      <c r="C241" s="100">
        <f t="shared" si="53"/>
        <v>12.471708</v>
      </c>
      <c r="D241" s="100">
        <f t="shared" si="53"/>
        <v>12.471708</v>
      </c>
      <c r="E241" s="100" cm="1">
        <f t="array" ref="E241">$D$2*SUM( ( ($B$12:$B$20) * ($B$12:$B$20)* EXP($B$12:$B$20/B241) ) / ( B241*B241* ( EXP(( $B$12:$B$20)/B241 )  -1)^2 ) )</f>
        <v>57.562606950583245</v>
      </c>
      <c r="H241" s="54">
        <f t="shared" si="56"/>
        <v>1800</v>
      </c>
      <c r="I241" s="100">
        <f t="shared" si="54"/>
        <v>2.9808097514340344</v>
      </c>
      <c r="J241" s="100">
        <f t="shared" si="54"/>
        <v>2.9808097514340344</v>
      </c>
      <c r="K241" s="100" cm="1">
        <f t="array" ref="K241">$D$2*SUM( ( ($B$12:$B$20) * ($B$12:$B$20)* EXP($B$12:$B$20/H241) ) / (H241*H241* ( EXP(( $B$12:$B$20)/H241 )  -1)^2 ) ) / 4.184</f>
        <v>13.757793248227353</v>
      </c>
    </row>
    <row r="242" spans="1:12" x14ac:dyDescent="0.3">
      <c r="B242" s="54">
        <f t="shared" si="55"/>
        <v>1900</v>
      </c>
      <c r="C242" s="100">
        <f t="shared" si="53"/>
        <v>12.471708</v>
      </c>
      <c r="D242" s="100">
        <f t="shared" si="53"/>
        <v>12.471708</v>
      </c>
      <c r="E242" s="100" cm="1">
        <f t="array" ref="E242">$D$2*SUM( ( ($B$12:$B$20) * ($B$12:$B$20)* EXP($B$12:$B$20/B242) ) / ( B242*B242* ( EXP(( $B$12:$B$20)/B242 )  -1)^2 ) )</f>
        <v>58.986276068410397</v>
      </c>
      <c r="H242" s="54">
        <f t="shared" si="56"/>
        <v>1900</v>
      </c>
      <c r="I242" s="100">
        <f t="shared" si="54"/>
        <v>2.9808097514340344</v>
      </c>
      <c r="J242" s="100">
        <f t="shared" si="54"/>
        <v>2.9808097514340344</v>
      </c>
      <c r="K242" s="100" cm="1">
        <f t="array" ref="K242">$D$2*SUM( ( ($B$12:$B$20) * ($B$12:$B$20)* EXP($B$12:$B$20/H242) ) / (H242*H242* ( EXP(( $B$12:$B$20)/H242 )  -1)^2 ) ) / 4.184</f>
        <v>14.098058333750094</v>
      </c>
    </row>
    <row r="243" spans="1:12" x14ac:dyDescent="0.3">
      <c r="B243" s="54">
        <f t="shared" si="55"/>
        <v>2000</v>
      </c>
      <c r="C243" s="100">
        <f t="shared" si="53"/>
        <v>12.471708</v>
      </c>
      <c r="D243" s="100">
        <f t="shared" si="53"/>
        <v>12.471708</v>
      </c>
      <c r="E243" s="100" cm="1">
        <f t="array" ref="E243">$D$2*SUM( ( ($B$12:$B$20) * ($B$12:$B$20)* EXP($B$12:$B$20/B243) ) / ( B243*B243* ( EXP(( $B$12:$B$20)/B243 )  -1)^2 ) )</f>
        <v>60.253788340549107</v>
      </c>
      <c r="H243" s="54">
        <f t="shared" si="56"/>
        <v>2000</v>
      </c>
      <c r="I243" s="100">
        <f t="shared" si="54"/>
        <v>2.9808097514340344</v>
      </c>
      <c r="J243" s="100">
        <f t="shared" si="54"/>
        <v>2.9808097514340344</v>
      </c>
      <c r="K243" s="100" cm="1">
        <f t="array" ref="K243">$D$2*SUM( ( ($B$12:$B$20) * ($B$12:$B$20)* EXP($B$12:$B$20/H243) ) / (H243*H243* ( EXP(( $B$12:$B$20)/H243 )  -1)^2 ) ) / 4.184</f>
        <v>14.401001037416133</v>
      </c>
    </row>
    <row r="244" spans="1:12" ht="15" thickBot="1" x14ac:dyDescent="0.35">
      <c r="B244" s="25">
        <f t="shared" si="55"/>
        <v>2100</v>
      </c>
      <c r="C244" s="101">
        <f t="shared" si="53"/>
        <v>12.471708</v>
      </c>
      <c r="D244" s="101">
        <f t="shared" si="53"/>
        <v>12.471708</v>
      </c>
      <c r="E244" s="100" cm="1">
        <f t="array" ref="E244">$D$2*SUM( ( ($B$12:$B$20) * ($B$12:$B$20)* EXP($B$12:$B$20/B244) ) / ( B244*B244* ( EXP(( $B$12:$B$20)/B244 )  -1)^2 ) )</f>
        <v>61.385111774140846</v>
      </c>
      <c r="F244" s="53"/>
      <c r="H244" s="25">
        <f t="shared" si="56"/>
        <v>2100</v>
      </c>
      <c r="I244" s="101">
        <f t="shared" si="54"/>
        <v>2.9808097514340344</v>
      </c>
      <c r="J244" s="101">
        <f t="shared" si="54"/>
        <v>2.9808097514340344</v>
      </c>
      <c r="K244" s="101" cm="1">
        <f t="array" ref="K244">$D$2*SUM( ( ($B$12:$B$20) * ($B$12:$B$20)* EXP($B$12:$B$20/H244) ) / (H244*H244* ( EXP(( $B$12:$B$20)/H244 )  -1)^2 ) ) / 4.184</f>
        <v>14.671393827471521</v>
      </c>
      <c r="L244" s="53"/>
    </row>
    <row r="247" spans="1:12" ht="15" thickBot="1" x14ac:dyDescent="0.35">
      <c r="A247" s="5" t="s">
        <v>101</v>
      </c>
    </row>
    <row r="248" spans="1:12" ht="18" x14ac:dyDescent="0.3">
      <c r="A248" s="5" t="s">
        <v>84</v>
      </c>
      <c r="B248" s="89" t="s">
        <v>45</v>
      </c>
      <c r="C248" s="16" t="s">
        <v>85</v>
      </c>
      <c r="D248" s="16" t="s">
        <v>35</v>
      </c>
      <c r="E248" s="16" t="s">
        <v>36</v>
      </c>
      <c r="F248" s="16" t="s">
        <v>86</v>
      </c>
    </row>
    <row r="249" spans="1:12" ht="15" thickBot="1" x14ac:dyDescent="0.35">
      <c r="B249" s="54">
        <f>298.15</f>
        <v>298.14999999999998</v>
      </c>
      <c r="C249" s="100">
        <f xml:space="preserve"> -1 * $D$2 * LN( (($A$2 *B249) / $F$83 ) /$F$2 * EXP(1) * $G$2 )</f>
        <v>324.38124515608746</v>
      </c>
      <c r="D249" s="100">
        <f>$D$2 * B249*LN( (B249) / ($B$6 * $C$198))</f>
        <v>7465.3200448140524</v>
      </c>
      <c r="E249" s="100" cm="1">
        <f t="array" ref="E249">$D$2*SUM( ( 0.5 * ($B$12:$B$20)  - B249 * LN( 1 - EXP( - ($B$12:$B$20) / B249 ) ) ) )</f>
        <v>117636.1573516166</v>
      </c>
      <c r="F249" s="101">
        <f>$F$2*$B$134 + 0.5*$D$2*SUM(B12:B29)</f>
        <v>-105942558.72077109</v>
      </c>
    </row>
    <row r="250" spans="1:12" x14ac:dyDescent="0.3">
      <c r="B250" s="54">
        <f>300+100</f>
        <v>400</v>
      </c>
      <c r="C250" s="100">
        <f t="shared" ref="C250:C267" si="57" xml:space="preserve"> -1 * $D$2 * LN( (($A$2 *B250) / $F$83 ) /$F$2 * EXP(1) * $G$2 )</f>
        <v>321.93788929905679</v>
      </c>
      <c r="D250" s="100">
        <f t="shared" ref="D250:D267" si="58">$D$2 * B250*LN( (B250) / ($B$6 * $C$198))</f>
        <v>10992.864790994781</v>
      </c>
      <c r="E250" s="100" cm="1">
        <f t="array" ref="E250">$D$2*SUM( ( 0.5 * ($B$12:$B$20)  - B250 * LN( 1 - EXP( - ($B$12:$B$20) / B250 ) ) ) )</f>
        <v>117725.40179682529</v>
      </c>
    </row>
    <row r="251" spans="1:12" x14ac:dyDescent="0.3">
      <c r="B251" s="54">
        <f t="shared" ref="B251:B267" si="59">B250+100</f>
        <v>500</v>
      </c>
      <c r="C251" s="100">
        <f t="shared" si="57"/>
        <v>320.08256848967426</v>
      </c>
      <c r="D251" s="100">
        <f t="shared" si="58"/>
        <v>14668.741393434755</v>
      </c>
      <c r="E251" s="100" cm="1">
        <f t="array" ref="E251">$D$2*SUM( ( 0.5 * ($B$12:$B$20)  - B251 * LN( 1 - EXP( - ($B$12:$B$20) / B251 ) ) ) )</f>
        <v>117978.73956963618</v>
      </c>
    </row>
    <row r="252" spans="1:12" x14ac:dyDescent="0.3">
      <c r="B252" s="54">
        <f t="shared" si="59"/>
        <v>600</v>
      </c>
      <c r="C252" s="100">
        <f t="shared" si="57"/>
        <v>318.56666101071448</v>
      </c>
      <c r="D252" s="100">
        <f t="shared" si="58"/>
        <v>18512.034159497554</v>
      </c>
      <c r="E252" s="100" cm="1">
        <f t="array" ref="E252">$D$2*SUM( ( 0.5 * ($B$12:$B$20)  - B252 * LN( 1 - EXP( - ($B$12:$B$20) / B252 ) ) ) )</f>
        <v>118475.29493987294</v>
      </c>
    </row>
    <row r="253" spans="1:12" x14ac:dyDescent="0.3">
      <c r="B253" s="54">
        <f t="shared" si="59"/>
        <v>700</v>
      </c>
      <c r="C253" s="100">
        <f t="shared" si="57"/>
        <v>317.2849794995098</v>
      </c>
      <c r="D253" s="100">
        <f t="shared" si="58"/>
        <v>22494.550243923772</v>
      </c>
      <c r="E253" s="100" cm="1">
        <f t="array" ref="E253">$D$2*SUM( ( 0.5 * ($B$12:$B$20)  - B253 * LN( 1 - EXP( - ($B$12:$B$20) / B253 ) ) ) )</f>
        <v>119269.81202107879</v>
      </c>
    </row>
    <row r="254" spans="1:12" x14ac:dyDescent="0.3">
      <c r="B254" s="54">
        <f t="shared" si="59"/>
        <v>800</v>
      </c>
      <c r="C254" s="100">
        <f t="shared" si="57"/>
        <v>316.17473647441221</v>
      </c>
      <c r="D254" s="100">
        <f t="shared" si="58"/>
        <v>26596.251841705249</v>
      </c>
      <c r="E254" s="100" cm="1">
        <f t="array" ref="E254">$D$2*SUM( ( 0.5 * ($B$12:$B$20)  - B254 * LN( 1 - EXP( - ($B$12:$B$20) / B254 ) ) ) )</f>
        <v>120397.44272698785</v>
      </c>
    </row>
    <row r="255" spans="1:12" x14ac:dyDescent="0.3">
      <c r="B255" s="54">
        <f t="shared" si="59"/>
        <v>900</v>
      </c>
      <c r="C255" s="100">
        <f t="shared" si="57"/>
        <v>315.19543272237223</v>
      </c>
      <c r="D255" s="100">
        <f t="shared" si="58"/>
        <v>30802.156698754407</v>
      </c>
      <c r="E255" s="100" cm="1">
        <f t="array" ref="E255">$D$2*SUM( ( 0.5 * ($B$12:$B$20)  - B255 * LN( 1 - EXP( - ($B$12:$B$20) / B255 ) ) ) )</f>
        <v>121879.56096383849</v>
      </c>
    </row>
    <row r="256" spans="1:12" x14ac:dyDescent="0.3">
      <c r="B256" s="54">
        <f t="shared" si="59"/>
        <v>1000</v>
      </c>
      <c r="C256" s="100">
        <f t="shared" si="57"/>
        <v>314.31941566502962</v>
      </c>
      <c r="D256" s="100">
        <f t="shared" si="58"/>
        <v>35100.635611514117</v>
      </c>
      <c r="E256" s="100" cm="1">
        <f t="array" ref="E256">$D$2*SUM( ( 0.5 * ($B$12:$B$20)  - B256 * LN( 1 - EXP( - ($B$12:$B$20) / B256 ) ) ) )</f>
        <v>123727.97965528566</v>
      </c>
    </row>
    <row r="257" spans="1:12" x14ac:dyDescent="0.3">
      <c r="B257" s="54">
        <f t="shared" si="59"/>
        <v>1100</v>
      </c>
      <c r="C257" s="100">
        <f t="shared" si="57"/>
        <v>313.52696184373161</v>
      </c>
      <c r="D257" s="100">
        <f t="shared" si="58"/>
        <v>39482.398376093355</v>
      </c>
      <c r="E257" s="100" cm="1">
        <f t="array" ref="E257">$D$2*SUM( ( 0.5 * ($B$12:$B$20)  - B257 * LN( 1 - EXP( - ($B$12:$B$20) / B257 ) ) ) )</f>
        <v>125947.75918105859</v>
      </c>
    </row>
    <row r="258" spans="1:12" x14ac:dyDescent="0.3">
      <c r="B258" s="54">
        <f t="shared" si="59"/>
        <v>1200</v>
      </c>
      <c r="C258" s="100">
        <f t="shared" si="57"/>
        <v>312.80350818606991</v>
      </c>
      <c r="D258" s="100">
        <f t="shared" si="58"/>
        <v>43939.85170856864</v>
      </c>
      <c r="E258" s="100" cm="1">
        <f t="array" ref="E258">$D$2*SUM( ( 0.5 * ($B$12:$B$20)  - B258 * LN( 1 - EXP( - ($B$12:$B$20) / B258 ) ) ) )</f>
        <v>128539.14062705025</v>
      </c>
    </row>
    <row r="259" spans="1:12" x14ac:dyDescent="0.3">
      <c r="B259" s="54">
        <f t="shared" si="59"/>
        <v>1300</v>
      </c>
      <c r="C259" s="100">
        <f t="shared" si="57"/>
        <v>312.1379953343141</v>
      </c>
      <c r="D259" s="100">
        <f t="shared" si="58"/>
        <v>48466.67272489857</v>
      </c>
      <c r="E259" s="100" cm="1">
        <f t="array" ref="E259">$D$2*SUM( ( 0.5 * ($B$12:$B$20)  - B259 * LN( 1 - EXP( - ($B$12:$B$20) / B259 ) ) ) )</f>
        <v>131498.93806122182</v>
      </c>
    </row>
    <row r="260" spans="1:12" x14ac:dyDescent="0.3">
      <c r="B260" s="54">
        <f t="shared" si="59"/>
        <v>1400</v>
      </c>
      <c r="C260" s="100">
        <f t="shared" si="57"/>
        <v>311.52182667486522</v>
      </c>
      <c r="D260" s="100">
        <f t="shared" si="58"/>
        <v>53057.514442349995</v>
      </c>
      <c r="E260" s="100" cm="1">
        <f t="array" ref="E260">$D$2*SUM( ( 0.5 * ($B$12:$B$20)  - B260 * LN( 1 - EXP( - ($B$12:$B$20) / B260 ) ) ) )</f>
        <v>134821.56767638872</v>
      </c>
    </row>
    <row r="261" spans="1:12" x14ac:dyDescent="0.3">
      <c r="B261" s="54">
        <f t="shared" si="59"/>
        <v>1500</v>
      </c>
      <c r="C261" s="100">
        <f t="shared" si="57"/>
        <v>310.94818737668737</v>
      </c>
      <c r="D261" s="100">
        <f t="shared" si="58"/>
        <v>57707.795849784641</v>
      </c>
      <c r="E261" s="100" cm="1">
        <f t="array" ref="E261">$D$2*SUM( ( 0.5 * ($B$12:$B$20)  - B261 * LN( 1 - EXP( - ($B$12:$B$20) / B261 ) ) ) )</f>
        <v>138499.81442742978</v>
      </c>
    </row>
    <row r="262" spans="1:12" x14ac:dyDescent="0.3">
      <c r="B262" s="54">
        <f t="shared" si="59"/>
        <v>1600</v>
      </c>
      <c r="C262" s="100">
        <f t="shared" si="57"/>
        <v>310.41158364976764</v>
      </c>
      <c r="D262" s="100">
        <f t="shared" si="58"/>
        <v>62413.548202841877</v>
      </c>
      <c r="E262" s="100" cm="1">
        <f t="array" ref="E262">$D$2*SUM( ( 0.5 * ($B$12:$B$20)  - B262 * LN( 1 - EXP( - ($B$12:$B$20) / B262 ) ) ) )</f>
        <v>142525.40149965076</v>
      </c>
    </row>
    <row r="263" spans="1:12" x14ac:dyDescent="0.3">
      <c r="B263" s="54">
        <f t="shared" si="59"/>
        <v>1700</v>
      </c>
      <c r="C263" s="100">
        <f t="shared" si="57"/>
        <v>309.90752192916426</v>
      </c>
      <c r="D263" s="100">
        <f t="shared" si="58"/>
        <v>67171.299890545153</v>
      </c>
      <c r="E263" s="100" cm="1">
        <f t="array" ref="E263">$D$2*SUM( ( 0.5 * ($B$12:$B$20)  - B263 * LN( 1 - EXP( - ($B$12:$B$20) / B263 ) ) ) )</f>
        <v>146889.4099926514</v>
      </c>
    </row>
    <row r="264" spans="1:12" x14ac:dyDescent="0.3">
      <c r="B264" s="54">
        <f t="shared" si="59"/>
        <v>1800</v>
      </c>
      <c r="C264" s="100">
        <f t="shared" si="57"/>
        <v>309.4322798977276</v>
      </c>
      <c r="D264" s="100">
        <f t="shared" si="58"/>
        <v>71977.988481869121</v>
      </c>
      <c r="E264" s="100" cm="1">
        <f t="array" ref="E264">$D$2*SUM( ( 0.5 * ($B$12:$B$20)  - B264 * LN( 1 - EXP( - ($B$12:$B$20) / B264 ) ) ) )</f>
        <v>151582.58502312796</v>
      </c>
    </row>
    <row r="265" spans="1:12" x14ac:dyDescent="0.3">
      <c r="B265" s="54">
        <f t="shared" si="59"/>
        <v>1900</v>
      </c>
      <c r="C265" s="100">
        <f t="shared" si="57"/>
        <v>308.98273950035809</v>
      </c>
      <c r="D265" s="100">
        <f t="shared" si="58"/>
        <v>76830.892374752802</v>
      </c>
      <c r="E265" s="100" cm="1">
        <f t="array" ref="E265">$D$2*SUM( ( 0.5 * ($B$12:$B$20)  - B265 * LN( 1 - EXP( - ($B$12:$B$20) / B265 ) ) ) )</f>
        <v>156595.5562605655</v>
      </c>
    </row>
    <row r="266" spans="1:12" x14ac:dyDescent="0.3">
      <c r="B266" s="54">
        <f t="shared" si="59"/>
        <v>2000</v>
      </c>
      <c r="C266" s="100">
        <f t="shared" si="57"/>
        <v>308.55626284038505</v>
      </c>
      <c r="D266" s="100">
        <f t="shared" si="58"/>
        <v>81727.576872317455</v>
      </c>
      <c r="E266" s="100" cm="1">
        <f t="array" ref="E266">$D$2*SUM( ( 0.5 * ($B$12:$B$20)  - B266 * LN( 1 - EXP( - ($B$12:$B$20) / B266 ) ) ) )</f>
        <v>161918.99447874542</v>
      </c>
    </row>
    <row r="267" spans="1:12" ht="15" thickBot="1" x14ac:dyDescent="0.35">
      <c r="B267" s="25">
        <f t="shared" si="59"/>
        <v>2100</v>
      </c>
      <c r="C267" s="101">
        <f t="shared" si="57"/>
        <v>308.15059838652286</v>
      </c>
      <c r="D267" s="101">
        <f t="shared" si="58"/>
        <v>86665.851069043842</v>
      </c>
      <c r="E267" s="101" cm="1">
        <f t="array" ref="E267">$D$2*SUM( ( 0.5 * ($B$12:$B$20)  - B267 * LN( 1 - EXP( - ($B$12:$B$20) / B267 ) ) ) )</f>
        <v>167543.7205984412</v>
      </c>
      <c r="F267" s="53"/>
    </row>
    <row r="272" spans="1:12" ht="15" thickBot="1" x14ac:dyDescent="0.35">
      <c r="A272" s="5" t="s">
        <v>102</v>
      </c>
      <c r="B272" s="170" t="s">
        <v>99</v>
      </c>
      <c r="C272" s="170"/>
      <c r="D272" s="170"/>
      <c r="E272" s="170"/>
      <c r="F272" s="170"/>
      <c r="H272" s="170" t="s">
        <v>100</v>
      </c>
      <c r="I272" s="170"/>
      <c r="J272" s="170"/>
      <c r="K272" s="170"/>
      <c r="L272" s="170"/>
    </row>
    <row r="273" spans="1:12" ht="18" x14ac:dyDescent="0.3">
      <c r="A273" s="5" t="s">
        <v>95</v>
      </c>
      <c r="B273" s="89" t="s">
        <v>45</v>
      </c>
      <c r="C273" s="16" t="s">
        <v>85</v>
      </c>
      <c r="D273" s="16" t="s">
        <v>35</v>
      </c>
      <c r="E273" s="16" t="s">
        <v>36</v>
      </c>
      <c r="F273" s="16" t="s">
        <v>86</v>
      </c>
      <c r="H273" s="89" t="s">
        <v>45</v>
      </c>
      <c r="I273" s="113" t="s">
        <v>85</v>
      </c>
      <c r="J273" s="113" t="s">
        <v>35</v>
      </c>
      <c r="K273" s="113" t="s">
        <v>36</v>
      </c>
      <c r="L273" s="16" t="s">
        <v>86</v>
      </c>
    </row>
    <row r="274" spans="1:12" ht="15" thickBot="1" x14ac:dyDescent="0.35">
      <c r="B274" s="54">
        <f>298.15</f>
        <v>298.14999999999998</v>
      </c>
      <c r="C274" s="100">
        <f>3/2*$D$2 + $D$2</f>
        <v>20.786180000000002</v>
      </c>
      <c r="D274" s="100">
        <f>3/2*$D$2  + $D$2</f>
        <v>20.786180000000002</v>
      </c>
      <c r="E274" s="100" cm="1">
        <f t="array" ref="E274">$D$2*SUM( ( ($B$12:$B$20) * ($B$12:$B$20)* EXP($B$12:$B$20/B274) ) / ( B274*B274* ( EXP(( $B$12:$B$20)/B274 )  -1)^2 ) ) +   $D$2</f>
        <v>10.407068586059566</v>
      </c>
      <c r="F274" s="101" t="s">
        <v>103</v>
      </c>
      <c r="H274" s="54">
        <f>298.15</f>
        <v>298.14999999999998</v>
      </c>
      <c r="I274" s="102">
        <f>(3/2*$D$2  + $D$2)/ 4.184</f>
        <v>4.9680162523900577</v>
      </c>
      <c r="J274" s="102">
        <f>(3/2*$D$2 + $D$2) / 4.184</f>
        <v>4.9680162523900577</v>
      </c>
      <c r="K274" s="102" cm="1">
        <f t="array" ref="K274" xml:space="preserve"> ($D$2*SUM( ( ($B$12:$B$20) * ($B$12:$B$20)* EXP($B$12:$B$20/B274) ) / ( B274*B274* ( EXP(( $B$12:$B$20)/B274 )  -1)^2 ) ) +   $D$2 ) / 4.184</f>
        <v>2.4873490884463587</v>
      </c>
      <c r="L274" s="114" t="s">
        <v>103</v>
      </c>
    </row>
    <row r="275" spans="1:12" x14ac:dyDescent="0.3">
      <c r="B275" s="54">
        <f>300+100</f>
        <v>400</v>
      </c>
      <c r="C275" s="100">
        <f t="shared" ref="C275:C292" si="60">3/2*$D$2 + $D$2</f>
        <v>20.786180000000002</v>
      </c>
      <c r="D275" s="100">
        <f t="shared" ref="D275:D292" si="61">3/2*$D$2  + $D$2</f>
        <v>20.786180000000002</v>
      </c>
      <c r="E275" s="100" cm="1">
        <f t="array" ref="E275">$D$2*SUM( ( ($B$12:$B$20) * ($B$12:$B$20)* EXP($B$12:$B$20/B275) ) / ( B275*B275* ( EXP(( $B$12:$B$20)/B275 )  -1)^2 ) ) +   $D$2</f>
        <v>14.963584547912619</v>
      </c>
      <c r="H275" s="54">
        <f>300+100</f>
        <v>400</v>
      </c>
      <c r="I275" s="100">
        <f t="shared" ref="I275:I292" si="62">(3/2*$D$2  + $D$2)/ 4.184</f>
        <v>4.9680162523900577</v>
      </c>
      <c r="J275" s="100">
        <f t="shared" ref="J275:J292" si="63">(3/2*$D$2 + $D$2) / 4.184</f>
        <v>4.9680162523900577</v>
      </c>
      <c r="K275" s="100" cm="1">
        <f t="array" ref="K275" xml:space="preserve"> ($D$2*SUM( ( ($B$12:$B$20) * ($B$12:$B$20)* EXP($B$12:$B$20/B275) ) / ( B275*B275* ( EXP(( $B$12:$B$20)/B275)  -1)^2 ) ) +   $D$2 ) / 4.184</f>
        <v>3.5763825401320792</v>
      </c>
    </row>
    <row r="276" spans="1:12" x14ac:dyDescent="0.3">
      <c r="B276" s="54">
        <f t="shared" ref="B276:B292" si="64">B275+100</f>
        <v>500</v>
      </c>
      <c r="C276" s="100">
        <f t="shared" si="60"/>
        <v>20.786180000000002</v>
      </c>
      <c r="D276" s="100">
        <f t="shared" si="61"/>
        <v>20.786180000000002</v>
      </c>
      <c r="E276" s="100" cm="1">
        <f t="array" ref="E276">$D$2*SUM( ( ($B$12:$B$20) * ($B$12:$B$20)* EXP($B$12:$B$20/B276) ) / ( B276*B276* ( EXP(( $B$12:$B$20)/B276 )  -1)^2 ) ) +   $D$2</f>
        <v>20.581415077216946</v>
      </c>
      <c r="H276" s="54">
        <f t="shared" ref="H276:H292" si="65">H275+100</f>
        <v>500</v>
      </c>
      <c r="I276" s="100">
        <f t="shared" si="62"/>
        <v>4.9680162523900577</v>
      </c>
      <c r="J276" s="100">
        <f t="shared" si="63"/>
        <v>4.9680162523900577</v>
      </c>
      <c r="K276" s="100" cm="1">
        <f t="array" ref="K276" xml:space="preserve"> ($D$2*SUM( ( ($B$12:$B$20) * ($B$12:$B$20)* EXP($B$12:$B$20/B276) ) / ( B276*B276* ( EXP(( $B$12:$B$20)/B276)  -1)^2 ) ) +   $D$2 ) / 4.184</f>
        <v>4.9190762612851202</v>
      </c>
    </row>
    <row r="277" spans="1:12" x14ac:dyDescent="0.3">
      <c r="B277" s="54">
        <f t="shared" si="64"/>
        <v>600</v>
      </c>
      <c r="C277" s="100">
        <f t="shared" si="60"/>
        <v>20.786180000000002</v>
      </c>
      <c r="D277" s="100">
        <f t="shared" si="61"/>
        <v>20.786180000000002</v>
      </c>
      <c r="E277" s="100" cm="1">
        <f t="array" ref="E277">$D$2*SUM( ( ($B$12:$B$20) * ($B$12:$B$20)* EXP($B$12:$B$20/B277) ) / ( B277*B277* ( EXP(( $B$12:$B$20)/B277 )  -1)^2 ) ) +   $D$2</f>
        <v>26.290069178411812</v>
      </c>
      <c r="H277" s="54">
        <f t="shared" si="65"/>
        <v>600</v>
      </c>
      <c r="I277" s="100">
        <f t="shared" si="62"/>
        <v>4.9680162523900577</v>
      </c>
      <c r="J277" s="100">
        <f t="shared" si="63"/>
        <v>4.9680162523900577</v>
      </c>
      <c r="K277" s="100" cm="1">
        <f t="array" ref="K277" xml:space="preserve"> ($D$2*SUM( ( ($B$12:$B$20) * ($B$12:$B$20)* EXP($B$12:$B$20/B277) ) / ( B277*B277* ( EXP(( $B$12:$B$20)/B277)  -1)^2 ) ) +   $D$2 ) / 4.184</f>
        <v>6.2834773370965129</v>
      </c>
    </row>
    <row r="278" spans="1:12" x14ac:dyDescent="0.3">
      <c r="B278" s="54">
        <f t="shared" si="64"/>
        <v>700</v>
      </c>
      <c r="C278" s="100">
        <f t="shared" si="60"/>
        <v>20.786180000000002</v>
      </c>
      <c r="D278" s="100">
        <f t="shared" si="61"/>
        <v>20.786180000000002</v>
      </c>
      <c r="E278" s="100" cm="1">
        <f t="array" ref="E278">$D$2*SUM( ( ($B$12:$B$20) * ($B$12:$B$20)* EXP($B$12:$B$20/B278) ) / ( B278*B278* ( EXP(( $B$12:$B$20)/B278 )  -1)^2 ) ) +   $D$2</f>
        <v>31.711264972577318</v>
      </c>
      <c r="H278" s="54">
        <f t="shared" si="65"/>
        <v>700</v>
      </c>
      <c r="I278" s="100">
        <f t="shared" si="62"/>
        <v>4.9680162523900577</v>
      </c>
      <c r="J278" s="100">
        <f t="shared" si="63"/>
        <v>4.9680162523900577</v>
      </c>
      <c r="K278" s="100" cm="1">
        <f t="array" ref="K278" xml:space="preserve"> ($D$2*SUM( ( ($B$12:$B$20) * ($B$12:$B$20)* EXP($B$12:$B$20/B278) ) / ( B278*B278* ( EXP(( $B$12:$B$20)/B278)  -1)^2 ) ) +   $D$2 ) / 4.184</f>
        <v>7.5791742286274655</v>
      </c>
    </row>
    <row r="279" spans="1:12" x14ac:dyDescent="0.3">
      <c r="B279" s="54">
        <f t="shared" si="64"/>
        <v>800</v>
      </c>
      <c r="C279" s="100">
        <f t="shared" si="60"/>
        <v>20.786180000000002</v>
      </c>
      <c r="D279" s="100">
        <f t="shared" si="61"/>
        <v>20.786180000000002</v>
      </c>
      <c r="E279" s="100" cm="1">
        <f t="array" ref="E279">$D$2*SUM( ( ($B$12:$B$20) * ($B$12:$B$20)* EXP($B$12:$B$20/B279) ) / ( B279*B279* ( EXP(( $B$12:$B$20)/B279 )  -1)^2 ) ) +   $D$2</f>
        <v>36.73596557406718</v>
      </c>
      <c r="H279" s="54">
        <f t="shared" si="65"/>
        <v>800</v>
      </c>
      <c r="I279" s="100">
        <f t="shared" si="62"/>
        <v>4.9680162523900577</v>
      </c>
      <c r="J279" s="100">
        <f t="shared" si="63"/>
        <v>4.9680162523900577</v>
      </c>
      <c r="K279" s="100" cm="1">
        <f t="array" ref="K279" xml:space="preserve"> ($D$2*SUM( ( ($B$12:$B$20) * ($B$12:$B$20)* EXP($B$12:$B$20/B279) ) / ( B279*B279* ( EXP(( $B$12:$B$20)/B279)  -1)^2 ) ) +   $D$2 ) / 4.184</f>
        <v>8.7801064947579306</v>
      </c>
    </row>
    <row r="280" spans="1:12" x14ac:dyDescent="0.3">
      <c r="B280" s="54">
        <f t="shared" si="64"/>
        <v>900</v>
      </c>
      <c r="C280" s="100">
        <f t="shared" si="60"/>
        <v>20.786180000000002</v>
      </c>
      <c r="D280" s="100">
        <f t="shared" si="61"/>
        <v>20.786180000000002</v>
      </c>
      <c r="E280" s="100" cm="1">
        <f t="array" ref="E280">$D$2*SUM( ( ($B$12:$B$20) * ($B$12:$B$20)* EXP($B$12:$B$20/B280) ) / ( B280*B280* ( EXP(( $B$12:$B$20)/B280 )  -1)^2 ) ) +   $D$2</f>
        <v>41.331323112390173</v>
      </c>
      <c r="H280" s="54">
        <f t="shared" si="65"/>
        <v>900</v>
      </c>
      <c r="I280" s="100">
        <f t="shared" si="62"/>
        <v>4.9680162523900577</v>
      </c>
      <c r="J280" s="100">
        <f t="shared" si="63"/>
        <v>4.9680162523900577</v>
      </c>
      <c r="K280" s="100" cm="1">
        <f t="array" ref="K280" xml:space="preserve"> ($D$2*SUM( ( ($B$12:$B$20) * ($B$12:$B$20)* EXP($B$12:$B$20/B280) ) / ( B280*B280* ( EXP(( $B$12:$B$20)/B280)  -1)^2 ) ) +   $D$2 ) / 4.184</f>
        <v>9.8784233060205953</v>
      </c>
    </row>
    <row r="281" spans="1:12" x14ac:dyDescent="0.3">
      <c r="B281" s="54">
        <f t="shared" si="64"/>
        <v>1000</v>
      </c>
      <c r="C281" s="100">
        <f t="shared" si="60"/>
        <v>20.786180000000002</v>
      </c>
      <c r="D281" s="100">
        <f t="shared" si="61"/>
        <v>20.786180000000002</v>
      </c>
      <c r="E281" s="100" cm="1">
        <f t="array" ref="E281">$D$2*SUM( ( ($B$12:$B$20) * ($B$12:$B$20)* EXP($B$12:$B$20/B281) ) / ( B281*B281* ( EXP(( $B$12:$B$20)/B281 )  -1)^2 ) ) +   $D$2</f>
        <v>45.490142256191987</v>
      </c>
      <c r="H281" s="54">
        <f t="shared" si="65"/>
        <v>1000</v>
      </c>
      <c r="I281" s="100">
        <f t="shared" si="62"/>
        <v>4.9680162523900577</v>
      </c>
      <c r="J281" s="100">
        <f t="shared" si="63"/>
        <v>4.9680162523900577</v>
      </c>
      <c r="K281" s="100" cm="1">
        <f t="array" ref="K281" xml:space="preserve"> ($D$2*SUM( ( ($B$12:$B$20) * ($B$12:$B$20)* EXP($B$12:$B$20/B281) ) / ( B281*B281* ( EXP(( $B$12:$B$20)/B281)  -1)^2 ) ) +   $D$2 ) / 4.184</f>
        <v>10.872404936948371</v>
      </c>
    </row>
    <row r="282" spans="1:12" x14ac:dyDescent="0.3">
      <c r="B282" s="54">
        <f t="shared" si="64"/>
        <v>1100</v>
      </c>
      <c r="C282" s="100">
        <f t="shared" si="60"/>
        <v>20.786180000000002</v>
      </c>
      <c r="D282" s="100">
        <f t="shared" si="61"/>
        <v>20.786180000000002</v>
      </c>
      <c r="E282" s="100" cm="1">
        <f t="array" ref="E282">$D$2*SUM( ( ($B$12:$B$20) * ($B$12:$B$20)* EXP($B$12:$B$20/B282) ) / ( B282*B282* ( EXP(( $B$12:$B$20)/B282 )  -1)^2 ) ) +   $D$2</f>
        <v>49.22166732962026</v>
      </c>
      <c r="H282" s="54">
        <f t="shared" si="65"/>
        <v>1100</v>
      </c>
      <c r="I282" s="100">
        <f t="shared" si="62"/>
        <v>4.9680162523900577</v>
      </c>
      <c r="J282" s="100">
        <f t="shared" si="63"/>
        <v>4.9680162523900577</v>
      </c>
      <c r="K282" s="100" cm="1">
        <f t="array" ref="K282" xml:space="preserve"> ($D$2*SUM( ( ($B$12:$B$20) * ($B$12:$B$20)* EXP($B$12:$B$20/B282) ) / ( B282*B282* ( EXP(( $B$12:$B$20)/B282)  -1)^2 ) ) +   $D$2 ) / 4.184</f>
        <v>11.764260834039259</v>
      </c>
    </row>
    <row r="283" spans="1:12" x14ac:dyDescent="0.3">
      <c r="B283" s="54">
        <f t="shared" si="64"/>
        <v>1200</v>
      </c>
      <c r="C283" s="100">
        <f t="shared" si="60"/>
        <v>20.786180000000002</v>
      </c>
      <c r="D283" s="100">
        <f t="shared" si="61"/>
        <v>20.786180000000002</v>
      </c>
      <c r="E283" s="100" cm="1">
        <f t="array" ref="E283">$D$2*SUM( ( ($B$12:$B$20) * ($B$12:$B$20)* EXP($B$12:$B$20/B283) ) / ( B283*B283* ( EXP(( $B$12:$B$20)/B283 )  -1)^2 ) ) +   $D$2</f>
        <v>52.548026008077237</v>
      </c>
      <c r="H283" s="54">
        <f t="shared" si="65"/>
        <v>1200</v>
      </c>
      <c r="I283" s="100">
        <f t="shared" si="62"/>
        <v>4.9680162523900577</v>
      </c>
      <c r="J283" s="100">
        <f t="shared" si="63"/>
        <v>4.9680162523900577</v>
      </c>
      <c r="K283" s="100" cm="1">
        <f t="array" ref="K283" xml:space="preserve"> ($D$2*SUM( ( ($B$12:$B$20) * ($B$12:$B$20)* EXP($B$12:$B$20/B283) ) / ( B283*B283* ( EXP(( $B$12:$B$20)/B283)  -1)^2 ) ) +   $D$2 ) / 4.184</f>
        <v>12.559279638641787</v>
      </c>
    </row>
    <row r="284" spans="1:12" x14ac:dyDescent="0.3">
      <c r="B284" s="54">
        <f t="shared" si="64"/>
        <v>1300</v>
      </c>
      <c r="C284" s="100">
        <f t="shared" si="60"/>
        <v>20.786180000000002</v>
      </c>
      <c r="D284" s="100">
        <f t="shared" si="61"/>
        <v>20.786180000000002</v>
      </c>
      <c r="E284" s="100" cm="1">
        <f t="array" ref="E284">$D$2*SUM( ( ($B$12:$B$20) * ($B$12:$B$20)* EXP($B$12:$B$20/B284) ) / ( B284*B284* ( EXP(( $B$12:$B$20)/B284 )  -1)^2 ) ) +   $D$2</f>
        <v>55.50004626873509</v>
      </c>
      <c r="H284" s="54">
        <f t="shared" si="65"/>
        <v>1300</v>
      </c>
      <c r="I284" s="100">
        <f t="shared" si="62"/>
        <v>4.9680162523900577</v>
      </c>
      <c r="J284" s="100">
        <f t="shared" si="63"/>
        <v>4.9680162523900577</v>
      </c>
      <c r="K284" s="100" cm="1">
        <f t="array" ref="K284" xml:space="preserve"> ($D$2*SUM( ( ($B$12:$B$20) * ($B$12:$B$20)* EXP($B$12:$B$20/B284) ) / ( B284*B284* ( EXP(( $B$12:$B$20)/B284)  -1)^2 ) ) +   $D$2 ) / 4.184</f>
        <v>13.264829414133626</v>
      </c>
    </row>
    <row r="285" spans="1:12" x14ac:dyDescent="0.3">
      <c r="B285" s="54">
        <f t="shared" si="64"/>
        <v>1400</v>
      </c>
      <c r="C285" s="100">
        <f t="shared" si="60"/>
        <v>20.786180000000002</v>
      </c>
      <c r="D285" s="100">
        <f t="shared" si="61"/>
        <v>20.786180000000002</v>
      </c>
      <c r="E285" s="100" cm="1">
        <f t="array" ref="E285">$D$2*SUM( ( ($B$12:$B$20) * ($B$12:$B$20)* EXP($B$12:$B$20/B285) ) / ( B285*B285* ( EXP(( $B$12:$B$20)/B285 )  -1)^2 ) ) +   $D$2</f>
        <v>58.113027995901078</v>
      </c>
      <c r="H285" s="54">
        <f t="shared" si="65"/>
        <v>1400</v>
      </c>
      <c r="I285" s="100">
        <f t="shared" si="62"/>
        <v>4.9680162523900577</v>
      </c>
      <c r="J285" s="100">
        <f t="shared" si="63"/>
        <v>4.9680162523900577</v>
      </c>
      <c r="K285" s="100" cm="1">
        <f t="array" ref="K285" xml:space="preserve"> ($D$2*SUM( ( ($B$12:$B$20) * ($B$12:$B$20)* EXP($B$12:$B$20/B285) ) / ( B285*B285* ( EXP(( $B$12:$B$20)/B285)  -1)^2 ) ) +   $D$2 ) / 4.184</f>
        <v>13.889347035349205</v>
      </c>
    </row>
    <row r="286" spans="1:12" x14ac:dyDescent="0.3">
      <c r="B286" s="54">
        <f t="shared" si="64"/>
        <v>1500</v>
      </c>
      <c r="C286" s="100">
        <f t="shared" si="60"/>
        <v>20.786180000000002</v>
      </c>
      <c r="D286" s="100">
        <f t="shared" si="61"/>
        <v>20.786180000000002</v>
      </c>
      <c r="E286" s="100" cm="1">
        <f t="array" ref="E286">$D$2*SUM( ( ($B$12:$B$20) * ($B$12:$B$20)* EXP($B$12:$B$20/B286) ) / ( B286*B286* ( EXP(( $B$12:$B$20)/B286 )  -1)^2 ) ) +   $D$2</f>
        <v>60.423359094699713</v>
      </c>
      <c r="H286" s="54">
        <f t="shared" si="65"/>
        <v>1500</v>
      </c>
      <c r="I286" s="100">
        <f t="shared" si="62"/>
        <v>4.9680162523900577</v>
      </c>
      <c r="J286" s="100">
        <f t="shared" si="63"/>
        <v>4.9680162523900577</v>
      </c>
      <c r="K286" s="100" cm="1">
        <f t="array" ref="K286" xml:space="preserve"> ($D$2*SUM( ( ($B$12:$B$20) * ($B$12:$B$20)* EXP($B$12:$B$20/B286) ) / ( B286*B286* ( EXP(( $B$12:$B$20)/B286)  -1)^2 ) ) +   $D$2 ) / 4.184</f>
        <v>14.441529420339318</v>
      </c>
    </row>
    <row r="287" spans="1:12" x14ac:dyDescent="0.3">
      <c r="B287" s="54">
        <f t="shared" si="64"/>
        <v>1600</v>
      </c>
      <c r="C287" s="100">
        <f t="shared" si="60"/>
        <v>20.786180000000002</v>
      </c>
      <c r="D287" s="100">
        <f t="shared" si="61"/>
        <v>20.786180000000002</v>
      </c>
      <c r="E287" s="100" cm="1">
        <f t="array" ref="E287">$D$2*SUM( ( ($B$12:$B$20) * ($B$12:$B$20)* EXP($B$12:$B$20/B287) ) / ( B287*B287* ( EXP(( $B$12:$B$20)/B287 )  -1)^2 ) ) +   $D$2</f>
        <v>62.466228797291123</v>
      </c>
      <c r="H287" s="54">
        <f t="shared" si="65"/>
        <v>1600</v>
      </c>
      <c r="I287" s="100">
        <f t="shared" si="62"/>
        <v>4.9680162523900577</v>
      </c>
      <c r="J287" s="100">
        <f t="shared" si="63"/>
        <v>4.9680162523900577</v>
      </c>
      <c r="K287" s="100" cm="1">
        <f t="array" ref="K287" xml:space="preserve"> ($D$2*SUM( ( ($B$12:$B$20) * ($B$12:$B$20)* EXP($B$12:$B$20/B287) ) / ( B287*B287* ( EXP(( $B$12:$B$20)/B287)  -1)^2 ) ) +   $D$2 ) / 4.184</f>
        <v>14.929786997440516</v>
      </c>
    </row>
    <row r="288" spans="1:12" x14ac:dyDescent="0.3">
      <c r="B288" s="54">
        <f t="shared" si="64"/>
        <v>1700</v>
      </c>
      <c r="C288" s="100">
        <f t="shared" si="60"/>
        <v>20.786180000000002</v>
      </c>
      <c r="D288" s="100">
        <f t="shared" si="61"/>
        <v>20.786180000000002</v>
      </c>
      <c r="E288" s="100" cm="1">
        <f t="array" ref="E288">$D$2*SUM( ( ($B$12:$B$20) * ($B$12:$B$20)* EXP($B$12:$B$20/B288) ) / ( B288*B288* ( EXP(( $B$12:$B$20)/B288 )  -1)^2 ) ) +   $D$2</f>
        <v>64.274299553294526</v>
      </c>
      <c r="H288" s="54">
        <f t="shared" si="65"/>
        <v>1700</v>
      </c>
      <c r="I288" s="100">
        <f t="shared" si="62"/>
        <v>4.9680162523900577</v>
      </c>
      <c r="J288" s="100">
        <f t="shared" si="63"/>
        <v>4.9680162523900577</v>
      </c>
      <c r="K288" s="100" cm="1">
        <f t="array" ref="K288" xml:space="preserve"> ($D$2*SUM( ( ($B$12:$B$20) * ($B$12:$B$20)* EXP($B$12:$B$20/B288) ) / ( B288*B288* ( EXP(( $B$12:$B$20)/B288)  -1)^2 ) ) +   $D$2 ) / 4.184</f>
        <v>15.361926279468099</v>
      </c>
    </row>
    <row r="289" spans="2:12" x14ac:dyDescent="0.3">
      <c r="B289" s="54">
        <f t="shared" si="64"/>
        <v>1800</v>
      </c>
      <c r="C289" s="100">
        <f t="shared" si="60"/>
        <v>20.786180000000002</v>
      </c>
      <c r="D289" s="100">
        <f t="shared" si="61"/>
        <v>20.786180000000002</v>
      </c>
      <c r="E289" s="100" cm="1">
        <f t="array" ref="E289">$D$2*SUM( ( ($B$12:$B$20) * ($B$12:$B$20)* EXP($B$12:$B$20/B289) ) / ( B289*B289* ( EXP(( $B$12:$B$20)/B289 )  -1)^2 ) ) +   $D$2</f>
        <v>65.87707895058324</v>
      </c>
      <c r="H289" s="54">
        <f t="shared" si="65"/>
        <v>1800</v>
      </c>
      <c r="I289" s="100">
        <f t="shared" si="62"/>
        <v>4.9680162523900577</v>
      </c>
      <c r="J289" s="100">
        <f t="shared" si="63"/>
        <v>4.9680162523900577</v>
      </c>
      <c r="K289" s="100" cm="1">
        <f t="array" ref="K289" xml:space="preserve"> ($D$2*SUM( ( ($B$12:$B$20) * ($B$12:$B$20)* EXP($B$12:$B$20/B289) ) / ( B289*B289* ( EXP(( $B$12:$B$20)/B289)  -1)^2 ) ) +   $D$2 ) / 4.184</f>
        <v>15.744999749183375</v>
      </c>
    </row>
    <row r="290" spans="2:12" x14ac:dyDescent="0.3">
      <c r="B290" s="54">
        <f t="shared" si="64"/>
        <v>1900</v>
      </c>
      <c r="C290" s="100">
        <f t="shared" si="60"/>
        <v>20.786180000000002</v>
      </c>
      <c r="D290" s="100">
        <f t="shared" si="61"/>
        <v>20.786180000000002</v>
      </c>
      <c r="E290" s="100" cm="1">
        <f t="array" ref="E290">$D$2*SUM( ( ($B$12:$B$20) * ($B$12:$B$20)* EXP($B$12:$B$20/B290) ) / ( B290*B290* ( EXP(( $B$12:$B$20)/B290 )  -1)^2 ) ) +   $D$2</f>
        <v>67.3007480684104</v>
      </c>
      <c r="H290" s="54">
        <f t="shared" si="65"/>
        <v>1900</v>
      </c>
      <c r="I290" s="100">
        <f t="shared" si="62"/>
        <v>4.9680162523900577</v>
      </c>
      <c r="J290" s="100">
        <f t="shared" si="63"/>
        <v>4.9680162523900577</v>
      </c>
      <c r="K290" s="100" cm="1">
        <f t="array" ref="K290" xml:space="preserve"> ($D$2*SUM( ( ($B$12:$B$20) * ($B$12:$B$20)* EXP($B$12:$B$20/B290) ) / ( B290*B290* ( EXP(( $B$12:$B$20)/B290)  -1)^2 ) ) +   $D$2 ) / 4.184</f>
        <v>16.085264834706116</v>
      </c>
    </row>
    <row r="291" spans="2:12" x14ac:dyDescent="0.3">
      <c r="B291" s="54">
        <f t="shared" si="64"/>
        <v>2000</v>
      </c>
      <c r="C291" s="100">
        <f t="shared" si="60"/>
        <v>20.786180000000002</v>
      </c>
      <c r="D291" s="100">
        <f t="shared" si="61"/>
        <v>20.786180000000002</v>
      </c>
      <c r="E291" s="100" cm="1">
        <f t="array" ref="E291">$D$2*SUM( ( ($B$12:$B$20) * ($B$12:$B$20)* EXP($B$12:$B$20/B291) ) / ( B291*B291* ( EXP(( $B$12:$B$20)/B291 )  -1)^2 ) ) +   $D$2</f>
        <v>68.568260340549102</v>
      </c>
      <c r="H291" s="54">
        <f t="shared" si="65"/>
        <v>2000</v>
      </c>
      <c r="I291" s="100">
        <f t="shared" si="62"/>
        <v>4.9680162523900577</v>
      </c>
      <c r="J291" s="100">
        <f t="shared" si="63"/>
        <v>4.9680162523900577</v>
      </c>
      <c r="K291" s="100" cm="1">
        <f t="array" ref="K291" xml:space="preserve"> ($D$2*SUM( ( ($B$12:$B$20) * ($B$12:$B$20)* EXP($B$12:$B$20/B291) ) / ( B291*B291* ( EXP(( $B$12:$B$20)/B291)  -1)^2 ) ) +   $D$2 ) / 4.184</f>
        <v>16.388207538372157</v>
      </c>
    </row>
    <row r="292" spans="2:12" ht="15" thickBot="1" x14ac:dyDescent="0.35">
      <c r="B292" s="25">
        <f t="shared" si="64"/>
        <v>2100</v>
      </c>
      <c r="C292" s="101">
        <f t="shared" si="60"/>
        <v>20.786180000000002</v>
      </c>
      <c r="D292" s="101">
        <f t="shared" si="61"/>
        <v>20.786180000000002</v>
      </c>
      <c r="E292" s="101" cm="1">
        <f t="array" ref="E292">$D$2*SUM( ( ($B$12:$B$20) * ($B$12:$B$20)* EXP($B$12:$B$20/B292) ) / ( B292*B292* ( EXP(( $B$12:$B$20)/B292 )  -1)^2 ) ) +   $D$2</f>
        <v>69.699583774140848</v>
      </c>
      <c r="F292" s="53"/>
      <c r="H292" s="25">
        <f t="shared" si="65"/>
        <v>2100</v>
      </c>
      <c r="I292" s="101">
        <f t="shared" si="62"/>
        <v>4.9680162523900577</v>
      </c>
      <c r="J292" s="101">
        <f t="shared" si="63"/>
        <v>4.9680162523900577</v>
      </c>
      <c r="K292" s="101" cm="1">
        <f t="array" ref="K292" xml:space="preserve"> ($D$2*SUM( ( ($B$12:$B$20) * ($B$12:$B$20)* EXP($B$12:$B$20/B292) ) / ( B292*B292* ( EXP(( $B$12:$B$20)/B292)  -1)^2 ) ) +   $D$2 ) / 4.184</f>
        <v>16.658600328427543</v>
      </c>
      <c r="L292" s="53"/>
    </row>
  </sheetData>
  <mergeCells count="14">
    <mergeCell ref="B272:F272"/>
    <mergeCell ref="H272:L272"/>
    <mergeCell ref="D52:W52"/>
    <mergeCell ref="B174:F174"/>
    <mergeCell ref="H174:K174"/>
    <mergeCell ref="M177:N177"/>
    <mergeCell ref="M178:N178"/>
    <mergeCell ref="B200:F200"/>
    <mergeCell ref="H200:L200"/>
    <mergeCell ref="M204:N204"/>
    <mergeCell ref="M205:N205"/>
    <mergeCell ref="B224:F224"/>
    <mergeCell ref="H224:L224"/>
    <mergeCell ref="M228:N2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DFA5-6D74-4873-A154-9F6FEC42894B}">
  <dimension ref="A1:W292"/>
  <sheetViews>
    <sheetView workbookViewId="0">
      <selection activeCell="A10" sqref="A10"/>
    </sheetView>
  </sheetViews>
  <sheetFormatPr defaultRowHeight="14.4" x14ac:dyDescent="0.3"/>
  <cols>
    <col min="1" max="1" width="29.88671875" style="5" bestFit="1" customWidth="1"/>
    <col min="2" max="2" width="16.5546875" style="5" bestFit="1" customWidth="1"/>
    <col min="3" max="3" width="14.6640625" style="5" bestFit="1" customWidth="1"/>
    <col min="4" max="4" width="29.88671875" style="5" bestFit="1" customWidth="1"/>
    <col min="5" max="5" width="14.6640625" style="5" bestFit="1" customWidth="1"/>
    <col min="6" max="6" width="19.44140625" style="5" bestFit="1" customWidth="1"/>
    <col min="7" max="7" width="16" style="5" bestFit="1" customWidth="1"/>
    <col min="8" max="8" width="19.21875" style="5" bestFit="1" customWidth="1"/>
    <col min="9" max="9" width="16.77734375" style="5" bestFit="1" customWidth="1"/>
    <col min="10" max="10" width="20.33203125" style="5" bestFit="1" customWidth="1"/>
    <col min="11" max="11" width="21.109375" style="5" bestFit="1" customWidth="1"/>
    <col min="12" max="12" width="15.21875" style="5" bestFit="1" customWidth="1"/>
    <col min="13" max="14" width="20.33203125" style="5" bestFit="1" customWidth="1"/>
    <col min="15" max="15" width="14.77734375" style="5" bestFit="1" customWidth="1"/>
    <col min="16" max="16" width="8.88671875" style="5"/>
    <col min="17" max="17" width="12.33203125" style="5" customWidth="1"/>
    <col min="18" max="18" width="12.77734375" style="5" bestFit="1" customWidth="1"/>
    <col min="19" max="19" width="16" style="5" bestFit="1" customWidth="1"/>
    <col min="20" max="16384" width="8.88671875" style="5"/>
  </cols>
  <sheetData>
    <row r="1" spans="1:2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114</v>
      </c>
      <c r="L1" s="4" t="s">
        <v>115</v>
      </c>
    </row>
    <row r="2" spans="1:21" ht="15" thickBot="1" x14ac:dyDescent="0.35">
      <c r="A2" s="6">
        <v>1.3805999999999999E-23</v>
      </c>
      <c r="B2" s="7">
        <v>3.1415899999999999</v>
      </c>
      <c r="C2" s="7">
        <v>6.626068E-34</v>
      </c>
      <c r="D2" s="7">
        <v>8.3144720000000003</v>
      </c>
      <c r="E2" s="8">
        <f>15.02348*1.66E-27</f>
        <v>2.4938976799999998E-26</v>
      </c>
      <c r="F2" s="7">
        <v>6.0221407599999999E+23</v>
      </c>
      <c r="G2" s="7">
        <f>((2*$E$2*$B$2*$A$2*$H$2)/($C$2*$C$2))^1.5</f>
        <v>5.6308448049818318E+31</v>
      </c>
      <c r="H2" s="8">
        <f>298.15</f>
        <v>298.14999999999998</v>
      </c>
      <c r="I2" s="9">
        <v>29979300000</v>
      </c>
      <c r="J2" s="10">
        <v>101325</v>
      </c>
      <c r="K2" s="9">
        <f>(E2*1000)/15.02348</f>
        <v>1.6600000000000001E-24</v>
      </c>
      <c r="L2" s="10">
        <f>F2*K2</f>
        <v>0.99967536616000008</v>
      </c>
    </row>
    <row r="3" spans="1:21" ht="15" thickBot="1" x14ac:dyDescent="0.35"/>
    <row r="4" spans="1:21" ht="15" thickBot="1" x14ac:dyDescent="0.35">
      <c r="E4" s="11" t="s">
        <v>10</v>
      </c>
      <c r="F4" s="12" t="s">
        <v>11</v>
      </c>
      <c r="G4" s="13" t="s">
        <v>12</v>
      </c>
      <c r="I4" s="11" t="s">
        <v>13</v>
      </c>
      <c r="J4" s="12" t="s">
        <v>14</v>
      </c>
      <c r="K4" s="12" t="s">
        <v>15</v>
      </c>
      <c r="L4" s="14" t="s">
        <v>16</v>
      </c>
    </row>
    <row r="5" spans="1:21" ht="16.8" thickBot="1" x14ac:dyDescent="0.35">
      <c r="B5" s="15" t="s">
        <v>17</v>
      </c>
      <c r="D5" s="16" t="s">
        <v>18</v>
      </c>
      <c r="E5" s="17">
        <v>6.3258400000000004</v>
      </c>
      <c r="F5" s="18">
        <v>6.3322599999999998</v>
      </c>
      <c r="G5" s="19">
        <v>12.65809</v>
      </c>
      <c r="I5" s="20">
        <v>2.9814E-2</v>
      </c>
      <c r="J5" s="21">
        <f>I5*627.509474</f>
        <v>18.708567457835997</v>
      </c>
      <c r="K5" s="21">
        <f>I5*4.35974E-18</f>
        <v>1.2998128835999999E-19</v>
      </c>
      <c r="L5" s="22">
        <f>(2*K5)/(C2)</f>
        <v>392333095162923.13</v>
      </c>
    </row>
    <row r="6" spans="1:21" ht="16.8" thickBot="1" x14ac:dyDescent="0.35">
      <c r="A6" s="23" t="s">
        <v>19</v>
      </c>
      <c r="B6" s="24">
        <v>6</v>
      </c>
      <c r="D6" s="25" t="s">
        <v>20</v>
      </c>
      <c r="E6" s="26">
        <f>E5*1.66E-47</f>
        <v>1.0500894400000001E-46</v>
      </c>
      <c r="F6" s="27">
        <f t="shared" ref="F6:G6" si="0">F5*1.66E-47</f>
        <v>1.05115516E-46</v>
      </c>
      <c r="G6" s="28">
        <f t="shared" si="0"/>
        <v>2.1012429399999999E-46</v>
      </c>
      <c r="U6" s="29"/>
    </row>
    <row r="7" spans="1:21" ht="15" thickBot="1" x14ac:dyDescent="0.35">
      <c r="U7" s="29"/>
    </row>
    <row r="8" spans="1:21" ht="15" thickBot="1" x14ac:dyDescent="0.35">
      <c r="A8" s="5" t="s">
        <v>21</v>
      </c>
      <c r="D8" s="23" t="s">
        <v>22</v>
      </c>
      <c r="E8" s="17">
        <v>285.29685000000001</v>
      </c>
      <c r="F8" s="18">
        <v>285.00763000000001</v>
      </c>
      <c r="G8" s="19">
        <v>142.5761</v>
      </c>
      <c r="I8" s="29"/>
      <c r="U8" s="29"/>
    </row>
    <row r="9" spans="1:21" ht="15" thickBot="1" x14ac:dyDescent="0.35">
      <c r="E9" s="26">
        <f>E8*1000000000</f>
        <v>285296850000</v>
      </c>
      <c r="F9" s="27">
        <f>F8*1000000000</f>
        <v>285007630000</v>
      </c>
      <c r="G9" s="28">
        <f>G8*1000000000</f>
        <v>142576100000</v>
      </c>
    </row>
    <row r="10" spans="1:21" ht="15" customHeight="1" thickBot="1" x14ac:dyDescent="0.35"/>
    <row r="11" spans="1:21" ht="15" customHeight="1" thickBot="1" x14ac:dyDescent="0.35">
      <c r="D11" s="30" t="s">
        <v>23</v>
      </c>
      <c r="E11" s="31">
        <v>13.692069999999999</v>
      </c>
      <c r="F11" s="31">
        <v>13.678190000000001</v>
      </c>
      <c r="G11" s="32">
        <v>6.8425700000000003</v>
      </c>
    </row>
    <row r="12" spans="1:21" ht="27" customHeight="1" x14ac:dyDescent="0.3">
      <c r="A12" s="33" t="s">
        <v>24</v>
      </c>
      <c r="B12" s="34">
        <v>757.54</v>
      </c>
    </row>
    <row r="13" spans="1:21" ht="15" thickBot="1" x14ac:dyDescent="0.35">
      <c r="A13" s="35"/>
      <c r="B13" s="36">
        <v>2032.42</v>
      </c>
      <c r="S13" s="29"/>
      <c r="T13" s="29"/>
    </row>
    <row r="14" spans="1:21" ht="15.6" x14ac:dyDescent="0.3">
      <c r="A14" s="35"/>
      <c r="B14" s="36">
        <v>2032.7</v>
      </c>
      <c r="D14" s="37" t="s">
        <v>25</v>
      </c>
      <c r="E14" s="136"/>
      <c r="F14" s="137" t="s">
        <v>26</v>
      </c>
      <c r="G14" s="137" t="s">
        <v>27</v>
      </c>
      <c r="H14" s="138" t="s">
        <v>28</v>
      </c>
    </row>
    <row r="15" spans="1:21" x14ac:dyDescent="0.3">
      <c r="A15" s="35"/>
      <c r="B15" s="36">
        <v>4495.1099999999997</v>
      </c>
      <c r="E15" s="139"/>
      <c r="F15" s="147" t="s">
        <v>29</v>
      </c>
      <c r="G15" s="147" t="s">
        <v>30</v>
      </c>
      <c r="H15" s="140" t="s">
        <v>30</v>
      </c>
    </row>
    <row r="16" spans="1:21" x14ac:dyDescent="0.3">
      <c r="A16" s="35"/>
      <c r="B16" s="36">
        <v>4754.21</v>
      </c>
      <c r="E16" s="139" t="s">
        <v>31</v>
      </c>
      <c r="F16" s="148">
        <v>20.623999999999999</v>
      </c>
      <c r="G16" s="148">
        <v>7.3559999999999999</v>
      </c>
      <c r="H16" s="141">
        <v>50.066000000000003</v>
      </c>
    </row>
    <row r="17" spans="1:10" ht="15" thickBot="1" x14ac:dyDescent="0.35">
      <c r="A17" s="26"/>
      <c r="B17" s="28">
        <v>4757.18</v>
      </c>
      <c r="E17" s="139" t="s">
        <v>32</v>
      </c>
      <c r="F17" s="148">
        <v>0</v>
      </c>
      <c r="G17" s="148">
        <v>0</v>
      </c>
      <c r="H17" s="141">
        <v>1.377</v>
      </c>
    </row>
    <row r="18" spans="1:10" x14ac:dyDescent="0.3">
      <c r="E18" s="139" t="s">
        <v>34</v>
      </c>
      <c r="F18" s="148">
        <v>0.88900000000000001</v>
      </c>
      <c r="G18" s="148">
        <v>2.9809999999999999</v>
      </c>
      <c r="H18" s="141">
        <v>34.067999999999998</v>
      </c>
    </row>
    <row r="19" spans="1:10" x14ac:dyDescent="0.3">
      <c r="A19" s="29"/>
      <c r="E19" s="139" t="s">
        <v>35</v>
      </c>
      <c r="F19" s="148">
        <v>0.88900000000000001</v>
      </c>
      <c r="G19" s="148">
        <v>2.9809999999999999</v>
      </c>
      <c r="H19" s="141">
        <v>13.992000000000001</v>
      </c>
    </row>
    <row r="20" spans="1:10" x14ac:dyDescent="0.3">
      <c r="E20" s="139" t="s">
        <v>36</v>
      </c>
      <c r="F20" s="148">
        <v>18.846</v>
      </c>
      <c r="G20" s="148">
        <v>1.3939999999999999</v>
      </c>
      <c r="H20" s="141">
        <v>0.629</v>
      </c>
    </row>
    <row r="21" spans="1:10" ht="15" thickBot="1" x14ac:dyDescent="0.35">
      <c r="E21" s="145" t="s">
        <v>104</v>
      </c>
      <c r="F21" s="142">
        <v>0.88100000000000001</v>
      </c>
      <c r="G21" s="142">
        <v>1.1910000000000001</v>
      </c>
      <c r="H21" s="143">
        <v>0.59499999999999997</v>
      </c>
    </row>
    <row r="22" spans="1:10" x14ac:dyDescent="0.3">
      <c r="G22" s="139"/>
      <c r="H22" s="140" t="s">
        <v>37</v>
      </c>
    </row>
    <row r="23" spans="1:10" x14ac:dyDescent="0.3">
      <c r="G23" s="139" t="s">
        <v>105</v>
      </c>
      <c r="H23" s="144">
        <v>2.45499E-5</v>
      </c>
      <c r="J23"/>
    </row>
    <row r="24" spans="1:10" x14ac:dyDescent="0.3">
      <c r="G24" s="139" t="s">
        <v>106</v>
      </c>
      <c r="H24" s="144">
        <v>1269430000</v>
      </c>
    </row>
    <row r="25" spans="1:10" x14ac:dyDescent="0.3">
      <c r="G25" s="139" t="s">
        <v>107</v>
      </c>
      <c r="H25" s="144">
        <v>2.1039700000000001E-14</v>
      </c>
    </row>
    <row r="26" spans="1:10" x14ac:dyDescent="0.3">
      <c r="G26" s="139" t="s">
        <v>108</v>
      </c>
      <c r="H26" s="144">
        <v>0.30473299999999998</v>
      </c>
      <c r="I26" s="5" t="s">
        <v>42</v>
      </c>
    </row>
    <row r="27" spans="1:10" x14ac:dyDescent="0.3">
      <c r="G27" s="139" t="s">
        <v>109</v>
      </c>
      <c r="H27" s="144">
        <v>1.0879300000000001</v>
      </c>
      <c r="I27" s="50"/>
    </row>
    <row r="28" spans="1:10" x14ac:dyDescent="0.3">
      <c r="G28" s="139" t="s">
        <v>110</v>
      </c>
      <c r="H28" s="144">
        <v>1.0855399999999999</v>
      </c>
      <c r="I28" s="50"/>
    </row>
    <row r="29" spans="1:10" x14ac:dyDescent="0.3">
      <c r="G29" s="139" t="s">
        <v>111</v>
      </c>
      <c r="H29" s="144">
        <v>2</v>
      </c>
      <c r="I29" s="50"/>
    </row>
    <row r="30" spans="1:10" ht="15" thickBot="1" x14ac:dyDescent="0.35">
      <c r="G30" s="139" t="s">
        <v>112</v>
      </c>
      <c r="H30" s="144">
        <v>2288820</v>
      </c>
    </row>
    <row r="31" spans="1:10" ht="16.8" thickBot="1" x14ac:dyDescent="0.35">
      <c r="A31" s="17" t="s">
        <v>43</v>
      </c>
      <c r="B31" s="18" t="s">
        <v>44</v>
      </c>
      <c r="C31" s="52" t="s">
        <v>45</v>
      </c>
      <c r="D31" s="52" t="s">
        <v>116</v>
      </c>
      <c r="E31" s="16" t="s">
        <v>117</v>
      </c>
      <c r="G31" s="145" t="s">
        <v>113</v>
      </c>
      <c r="H31" s="146">
        <v>254.899</v>
      </c>
    </row>
    <row r="32" spans="1:10" ht="15" x14ac:dyDescent="0.35">
      <c r="A32" s="35">
        <v>526.5172</v>
      </c>
      <c r="B32" s="53">
        <f t="shared" ref="B32:B37" si="1">A32*$I$2</f>
        <v>15784617093960</v>
      </c>
      <c r="C32" s="54">
        <f>298.15</f>
        <v>298.14999999999998</v>
      </c>
      <c r="D32" s="100">
        <f>($A$2*C32)/$J$2</f>
        <v>4.062431680236861E-26</v>
      </c>
      <c r="E32" s="134">
        <f>$F$2*($F$83*D32)/($D$2*C32)</f>
        <v>0.99996338110898686</v>
      </c>
      <c r="G32" s="130"/>
    </row>
    <row r="33" spans="1:6" ht="15" x14ac:dyDescent="0.35">
      <c r="A33" s="35">
        <v>1412.6034</v>
      </c>
      <c r="B33" s="53">
        <f t="shared" si="1"/>
        <v>42348861109620</v>
      </c>
      <c r="C33" s="54">
        <f>300+100</f>
        <v>400</v>
      </c>
      <c r="D33" s="100">
        <f t="shared" ref="D33:D50" si="2">($A$2*C33)/$J$2</f>
        <v>5.4501850481125095E-26</v>
      </c>
      <c r="E33" s="134">
        <f>$F$2*($F$83*D33)/($D$2*C33)</f>
        <v>0.99996338110898686</v>
      </c>
      <c r="F33" s="130"/>
    </row>
    <row r="34" spans="1:6" x14ac:dyDescent="0.3">
      <c r="A34" s="35">
        <v>1412.7972</v>
      </c>
      <c r="B34" s="53">
        <f t="shared" si="1"/>
        <v>42354671097960</v>
      </c>
      <c r="C34" s="54">
        <f t="shared" ref="C34:C50" si="3">C33+100</f>
        <v>500</v>
      </c>
      <c r="D34" s="100">
        <f t="shared" si="2"/>
        <v>6.8127313101406362E-26</v>
      </c>
      <c r="E34" s="134">
        <f t="shared" ref="E34:E50" si="4">$F$2*($F$83*D34)/($D$2*C34)</f>
        <v>0.99996338110898675</v>
      </c>
    </row>
    <row r="35" spans="1:6" x14ac:dyDescent="0.3">
      <c r="A35" s="35">
        <v>3124.2599</v>
      </c>
      <c r="B35" s="53">
        <f t="shared" si="1"/>
        <v>93663124820070</v>
      </c>
      <c r="C35" s="54">
        <f t="shared" si="3"/>
        <v>600</v>
      </c>
      <c r="D35" s="100">
        <f t="shared" si="2"/>
        <v>8.175277572168763E-26</v>
      </c>
      <c r="E35" s="134">
        <f t="shared" si="4"/>
        <v>0.99996338110898653</v>
      </c>
    </row>
    <row r="36" spans="1:6" x14ac:dyDescent="0.3">
      <c r="A36" s="35">
        <v>3304.3447000000001</v>
      </c>
      <c r="B36" s="53">
        <f t="shared" si="1"/>
        <v>99061941064710</v>
      </c>
      <c r="C36" s="54">
        <f t="shared" si="3"/>
        <v>700</v>
      </c>
      <c r="D36" s="100">
        <f t="shared" si="2"/>
        <v>9.5378238341968898E-26</v>
      </c>
      <c r="E36" s="134">
        <f t="shared" si="4"/>
        <v>0.99996338110898653</v>
      </c>
    </row>
    <row r="37" spans="1:6" ht="15" thickBot="1" x14ac:dyDescent="0.35">
      <c r="A37" s="26">
        <v>3306.4068000000002</v>
      </c>
      <c r="B37" s="55">
        <f t="shared" si="1"/>
        <v>99123761379240</v>
      </c>
      <c r="C37" s="54">
        <f t="shared" si="3"/>
        <v>800</v>
      </c>
      <c r="D37" s="100">
        <f t="shared" si="2"/>
        <v>1.0900370096225019E-25</v>
      </c>
      <c r="E37" s="134">
        <f t="shared" si="4"/>
        <v>0.99996338110898686</v>
      </c>
    </row>
    <row r="38" spans="1:6" x14ac:dyDescent="0.3">
      <c r="B38" s="53"/>
      <c r="C38" s="54">
        <f t="shared" si="3"/>
        <v>900</v>
      </c>
      <c r="D38" s="100">
        <f t="shared" si="2"/>
        <v>1.2262916358253145E-25</v>
      </c>
      <c r="E38" s="134">
        <f t="shared" si="4"/>
        <v>0.99996338110898675</v>
      </c>
    </row>
    <row r="39" spans="1:6" x14ac:dyDescent="0.3">
      <c r="B39" s="53"/>
      <c r="C39" s="54">
        <f t="shared" si="3"/>
        <v>1000</v>
      </c>
      <c r="D39" s="100">
        <f t="shared" si="2"/>
        <v>1.3625462620281272E-25</v>
      </c>
      <c r="E39" s="134">
        <f t="shared" si="4"/>
        <v>0.99996338110898675</v>
      </c>
    </row>
    <row r="40" spans="1:6" x14ac:dyDescent="0.3">
      <c r="B40" s="53"/>
      <c r="C40" s="54">
        <f t="shared" si="3"/>
        <v>1100</v>
      </c>
      <c r="D40" s="100">
        <f t="shared" si="2"/>
        <v>1.4988008882309398E-25</v>
      </c>
      <c r="E40" s="134">
        <f t="shared" si="4"/>
        <v>0.99996338110898653</v>
      </c>
    </row>
    <row r="41" spans="1:6" x14ac:dyDescent="0.3">
      <c r="B41" s="53"/>
      <c r="C41" s="54">
        <f t="shared" si="3"/>
        <v>1200</v>
      </c>
      <c r="D41" s="100">
        <f t="shared" si="2"/>
        <v>1.6350555144337526E-25</v>
      </c>
      <c r="E41" s="134">
        <f t="shared" si="4"/>
        <v>0.99996338110898653</v>
      </c>
    </row>
    <row r="42" spans="1:6" x14ac:dyDescent="0.3">
      <c r="B42" s="53"/>
      <c r="C42" s="54">
        <f t="shared" si="3"/>
        <v>1300</v>
      </c>
      <c r="D42" s="100">
        <f t="shared" si="2"/>
        <v>1.7713101406365654E-25</v>
      </c>
      <c r="E42" s="134">
        <f t="shared" si="4"/>
        <v>0.99996338110898675</v>
      </c>
    </row>
    <row r="43" spans="1:6" x14ac:dyDescent="0.3">
      <c r="B43" s="53"/>
      <c r="C43" s="54">
        <f t="shared" si="3"/>
        <v>1400</v>
      </c>
      <c r="D43" s="100">
        <f t="shared" si="2"/>
        <v>1.907564766839378E-25</v>
      </c>
      <c r="E43" s="134">
        <f t="shared" si="4"/>
        <v>0.99996338110898653</v>
      </c>
    </row>
    <row r="44" spans="1:6" x14ac:dyDescent="0.3">
      <c r="B44" s="53"/>
      <c r="C44" s="54">
        <f t="shared" si="3"/>
        <v>1500</v>
      </c>
      <c r="D44" s="100">
        <f t="shared" si="2"/>
        <v>2.0438193930421908E-25</v>
      </c>
      <c r="E44" s="134">
        <f t="shared" si="4"/>
        <v>0.99996338110898675</v>
      </c>
    </row>
    <row r="45" spans="1:6" x14ac:dyDescent="0.3">
      <c r="B45" s="53"/>
      <c r="C45" s="54">
        <f t="shared" si="3"/>
        <v>1600</v>
      </c>
      <c r="D45" s="100">
        <f t="shared" si="2"/>
        <v>2.1800740192450038E-25</v>
      </c>
      <c r="E45" s="134">
        <f t="shared" si="4"/>
        <v>0.99996338110898686</v>
      </c>
    </row>
    <row r="46" spans="1:6" x14ac:dyDescent="0.3">
      <c r="B46" s="53"/>
      <c r="C46" s="54">
        <f t="shared" si="3"/>
        <v>1700</v>
      </c>
      <c r="D46" s="100">
        <f t="shared" si="2"/>
        <v>2.3163286454478159E-25</v>
      </c>
      <c r="E46" s="134">
        <f t="shared" si="4"/>
        <v>0.99996338110898664</v>
      </c>
    </row>
    <row r="47" spans="1:6" x14ac:dyDescent="0.3">
      <c r="B47" s="53"/>
      <c r="C47" s="54">
        <f t="shared" si="3"/>
        <v>1800</v>
      </c>
      <c r="D47" s="100">
        <f t="shared" si="2"/>
        <v>2.4525832716506289E-25</v>
      </c>
      <c r="E47" s="134">
        <f t="shared" si="4"/>
        <v>0.99996338110898675</v>
      </c>
    </row>
    <row r="48" spans="1:6" x14ac:dyDescent="0.3">
      <c r="B48" s="53"/>
      <c r="C48" s="54">
        <f t="shared" si="3"/>
        <v>1900</v>
      </c>
      <c r="D48" s="100">
        <f t="shared" si="2"/>
        <v>2.5888378978534419E-25</v>
      </c>
      <c r="E48" s="134">
        <f t="shared" si="4"/>
        <v>0.99996338110898686</v>
      </c>
    </row>
    <row r="49" spans="1:23" x14ac:dyDescent="0.3">
      <c r="B49" s="53"/>
      <c r="C49" s="54">
        <f t="shared" si="3"/>
        <v>2000</v>
      </c>
      <c r="D49" s="100">
        <f t="shared" si="2"/>
        <v>2.7250925240562545E-25</v>
      </c>
      <c r="E49" s="134">
        <f t="shared" si="4"/>
        <v>0.99996338110898675</v>
      </c>
    </row>
    <row r="50" spans="1:23" ht="15" thickBot="1" x14ac:dyDescent="0.35">
      <c r="C50" s="25">
        <f t="shared" si="3"/>
        <v>2100</v>
      </c>
      <c r="D50" s="101">
        <f t="shared" si="2"/>
        <v>2.8613471502590675E-25</v>
      </c>
      <c r="E50" s="135">
        <f t="shared" si="4"/>
        <v>0.99996338110898664</v>
      </c>
    </row>
    <row r="51" spans="1:23" ht="15" thickBot="1" x14ac:dyDescent="0.35"/>
    <row r="52" spans="1:23" ht="18.600000000000001" thickBot="1" x14ac:dyDescent="0.35">
      <c r="D52" s="171" t="s">
        <v>46</v>
      </c>
      <c r="E52" s="172"/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3"/>
    </row>
    <row r="53" spans="1:23" x14ac:dyDescent="0.3">
      <c r="A53" s="11" t="s">
        <v>47</v>
      </c>
      <c r="B53" s="57">
        <f>(EXP((-$C$2*D54)/(2*$A$2*$E$53))/(1 - EXP((-$C$2*D54)/($A$2*$E$53))))</f>
        <v>0.30471579925522529</v>
      </c>
      <c r="D53" s="58" t="s">
        <v>48</v>
      </c>
      <c r="E53" s="59">
        <v>298.14999999999998</v>
      </c>
      <c r="F53" s="59">
        <f>300+100</f>
        <v>400</v>
      </c>
      <c r="G53" s="59">
        <f t="shared" ref="G53:W53" si="5">F53+100</f>
        <v>500</v>
      </c>
      <c r="H53" s="59">
        <f t="shared" si="5"/>
        <v>600</v>
      </c>
      <c r="I53" s="59">
        <f t="shared" si="5"/>
        <v>700</v>
      </c>
      <c r="J53" s="59">
        <f t="shared" si="5"/>
        <v>800</v>
      </c>
      <c r="K53" s="59">
        <f t="shared" si="5"/>
        <v>900</v>
      </c>
      <c r="L53" s="59">
        <f t="shared" si="5"/>
        <v>1000</v>
      </c>
      <c r="M53" s="59">
        <f t="shared" si="5"/>
        <v>1100</v>
      </c>
      <c r="N53" s="59">
        <f t="shared" si="5"/>
        <v>1200</v>
      </c>
      <c r="O53" s="59">
        <f t="shared" si="5"/>
        <v>1300</v>
      </c>
      <c r="P53" s="59">
        <f t="shared" si="5"/>
        <v>1400</v>
      </c>
      <c r="Q53" s="59">
        <f t="shared" si="5"/>
        <v>1500</v>
      </c>
      <c r="R53" s="59">
        <f t="shared" si="5"/>
        <v>1600</v>
      </c>
      <c r="S53" s="59">
        <f t="shared" si="5"/>
        <v>1700</v>
      </c>
      <c r="T53" s="59">
        <f t="shared" si="5"/>
        <v>1800</v>
      </c>
      <c r="U53" s="59">
        <f t="shared" si="5"/>
        <v>1900</v>
      </c>
      <c r="V53" s="59">
        <f t="shared" si="5"/>
        <v>2000</v>
      </c>
      <c r="W53" s="60">
        <f t="shared" si="5"/>
        <v>2100</v>
      </c>
    </row>
    <row r="54" spans="1:23" x14ac:dyDescent="0.3">
      <c r="A54" s="35"/>
      <c r="B54" s="61">
        <f t="shared" ref="B54:B58" si="6">(EXP((-$C$2*D55)/(2*$A$2*$E$53))/(1 - EXP((-$C$2*D55)/($A$2*$E$53))))</f>
        <v>3.3126644373651537E-2</v>
      </c>
      <c r="D54" s="62">
        <f t="shared" ref="D54:D59" si="7">A32*$I$2</f>
        <v>15784617093960</v>
      </c>
      <c r="E54" s="53">
        <f>(EXP((-$C$2*D54)/(2*$A$2*$E$53))/(1 - EXP((-$C$2*D54)/($A$2*$E$53))))</f>
        <v>0.30471579925522529</v>
      </c>
      <c r="F54" s="53">
        <f t="shared" ref="F54:F59" si="8">(EXP((-$C$2*D54)/(2*$A$2*$F$53))/(1 - EXP((-$C$2*D54)/($A$2*$F$53))))</f>
        <v>0.45663238146066665</v>
      </c>
      <c r="G54" s="53">
        <f t="shared" ref="G54:G59" si="9">(EXP((-$C$2*D54)/(2*$A$2*$G$53))/(1 - EXP((-$C$2*D54)/($A$2*$G$53))))</f>
        <v>0.60086075229470437</v>
      </c>
      <c r="H54" s="53">
        <f t="shared" ref="H54:H59" si="10">(EXP((-$C$2*D54)/(2*$A$2*$H$53))/(1 - EXP((-$C$2*D54)/($A$2*$H$53))))</f>
        <v>0.7417457607286736</v>
      </c>
      <c r="I54" s="53">
        <f t="shared" ref="I54:I59" si="11">(EXP((-$C$2*D54)/(2*$A$2*$I$53))/(1 - EXP((-$C$2*D54)/($A$2*$I$53))))</f>
        <v>0.88040940090559683</v>
      </c>
      <c r="J54" s="53">
        <f t="shared" ref="J54:J59" si="12">(EXP((-$C$2*D54)/(2*$A$2*$J$53))/(1 - EXP((-$C$2*D54)/($A$2*$J$53))))</f>
        <v>1.0175611487282816</v>
      </c>
      <c r="K54" s="53">
        <f>(EXP((-$C$2*D54)/(2*$A$2*$K$53))/(1 - EXP((-$C$2*D54)/($A$2*$K$53))))</f>
        <v>1.1536498055680657</v>
      </c>
      <c r="L54" s="53">
        <f t="shared" ref="L54:L59" si="13">(EXP((-$C$2*D54)/(2*$A$2*$L$53))/(1 - EXP((-$C$2*D54)/($A$2*$L$53))))</f>
        <v>1.2889672827857226</v>
      </c>
      <c r="M54" s="53">
        <f t="shared" ref="M54:M59" si="14">(EXP((-$C$2*D54)/(2*$A$2*$M$53))/(1 - EXP((-$C$2*D54)/($A$2*$M$53))))</f>
        <v>1.4237096518030921</v>
      </c>
      <c r="N54" s="53">
        <f t="shared" ref="N54:N59" si="15">(EXP((-$C$2*D54)/(2*$A$2*$N$53))/(1 - EXP((-$C$2*D54)/($A$2*$N$53))))</f>
        <v>1.5580127031685567</v>
      </c>
      <c r="O54" s="53">
        <f t="shared" ref="O54:O59" si="16">(EXP((-$C$2*D54)/(2*$A$2*$O$53))/(1 - EXP((-$C$2*D54)/($A$2*$O$53))))</f>
        <v>1.6919731108300224</v>
      </c>
      <c r="P54" s="53">
        <f t="shared" ref="P54:P59" si="17">(EXP((-$C$2*D54)/(2*$A$2*$P$53))/(1 - EXP((-$C$2*D54)/($A$2*$P$53))))</f>
        <v>1.8256614040670682</v>
      </c>
      <c r="Q54" s="53">
        <f t="shared" ref="Q54:Q59" si="18">(EXP((-$C$2*D54)/(2*$A$2*$Q$53))/(1 - EXP((-$C$2*D54)/($A$2*$Q$53))))</f>
        <v>1.9591301604535742</v>
      </c>
      <c r="R54" s="53">
        <f t="shared" ref="R54:R59" si="19">(EXP((-$C$2*D54)/(2*$A$2*$R$53))/(1 - EXP((-$C$2*D54)/($A$2*$R$53))))</f>
        <v>2.0924193293729982</v>
      </c>
      <c r="S54" s="53">
        <f t="shared" ref="S54:S59" si="20">(EXP((-$C$2*D54)/(2*$A$2*$S$53))/(1 - EXP((-$C$2*D54)/($A$2*$S$53))))</f>
        <v>2.2255597823491011</v>
      </c>
      <c r="T54" s="53">
        <f t="shared" ref="T54:T59" si="21">(EXP((-$C$2*D54)/(2*$A$2*$T$53))/(1 - EXP((-$C$2*D54)/($A$2*$T$53))))</f>
        <v>2.358575737472707</v>
      </c>
      <c r="U54" s="53">
        <f t="shared" ref="U54:U59" si="22">(EXP((-$C$2*D54)/(2*$A$2*$U$53))/(1 - EXP((-$C$2*D54)/($A$2*$U$53))))</f>
        <v>2.4914864507698957</v>
      </c>
      <c r="V54" s="53">
        <f t="shared" ref="V54:V59" si="23">(EXP((-$C$2*D54)/(2*$A$2*$V$53))/(1 - EXP((-$C$2*D54)/($A$2*$V$53))))</f>
        <v>2.6243074192081237</v>
      </c>
      <c r="W54" s="61">
        <f t="shared" ref="W54:W59" si="24">(EXP((-$C$2*D54)/(2*$A$2*$W$53))/(1 - EXP((-$C$2*D54)/($A$2*$W$53))))</f>
        <v>2.7570512514742611</v>
      </c>
    </row>
    <row r="55" spans="1:23" x14ac:dyDescent="0.3">
      <c r="A55" s="35"/>
      <c r="B55" s="61">
        <f t="shared" si="6"/>
        <v>3.3111123191662872E-2</v>
      </c>
      <c r="D55" s="62">
        <f t="shared" si="7"/>
        <v>42348861109620</v>
      </c>
      <c r="E55" s="53">
        <f t="shared" ref="E55:E59" si="25">(EXP((-$C$2*D55)/(2*$A$2*$E$53))/(1 - EXP((-$C$2*D55)/($A$2*$E$53))))</f>
        <v>3.3126644373651537E-2</v>
      </c>
      <c r="F55" s="53">
        <f t="shared" si="8"/>
        <v>7.9310182806882776E-2</v>
      </c>
      <c r="G55" s="53">
        <f t="shared" si="9"/>
        <v>0.13329585505639766</v>
      </c>
      <c r="H55" s="53">
        <f t="shared" si="10"/>
        <v>0.19025891461298369</v>
      </c>
      <c r="I55" s="53">
        <f t="shared" si="11"/>
        <v>0.24773507005715248</v>
      </c>
      <c r="J55" s="53">
        <f t="shared" si="12"/>
        <v>0.30476537470803305</v>
      </c>
      <c r="K55" s="53">
        <f t="shared" ref="K55:K59" si="26">(EXP((-$C$2*D55)/(2*$A$2*$K$53))/(1 - EXP((-$C$2*D55)/($A$2*$K$53))))</f>
        <v>0.36104104353614819</v>
      </c>
      <c r="L55" s="53">
        <f t="shared" si="13"/>
        <v>0.41651755291986159</v>
      </c>
      <c r="M55" s="53">
        <f t="shared" si="14"/>
        <v>0.47124978344594404</v>
      </c>
      <c r="N55" s="53">
        <f t="shared" si="15"/>
        <v>0.52532324087911308</v>
      </c>
      <c r="O55" s="53">
        <f t="shared" si="16"/>
        <v>0.57882628421691584</v>
      </c>
      <c r="P55" s="53">
        <f t="shared" si="17"/>
        <v>0.63183978586208678</v>
      </c>
      <c r="Q55" s="53">
        <f t="shared" si="18"/>
        <v>0.6844341235648157</v>
      </c>
      <c r="R55" s="53">
        <f t="shared" si="19"/>
        <v>0.73666914686644502</v>
      </c>
      <c r="S55" s="53">
        <f t="shared" si="20"/>
        <v>0.78859523583356439</v>
      </c>
      <c r="T55" s="53">
        <f t="shared" si="21"/>
        <v>0.8402546505772992</v>
      </c>
      <c r="U55" s="53">
        <f t="shared" si="22"/>
        <v>0.89168284583145874</v>
      </c>
      <c r="V55" s="53">
        <f t="shared" si="23"/>
        <v>0.94290963380380577</v>
      </c>
      <c r="W55" s="61">
        <f t="shared" si="24"/>
        <v>0.99396016829084877</v>
      </c>
    </row>
    <row r="56" spans="1:23" x14ac:dyDescent="0.3">
      <c r="A56" s="35"/>
      <c r="B56" s="61">
        <f t="shared" si="6"/>
        <v>5.3213160241112037E-4</v>
      </c>
      <c r="D56" s="62">
        <f t="shared" si="7"/>
        <v>42354671097960</v>
      </c>
      <c r="E56" s="53">
        <f t="shared" si="25"/>
        <v>3.3111123191662872E-2</v>
      </c>
      <c r="F56" s="53">
        <f t="shared" si="8"/>
        <v>7.9282198171854099E-2</v>
      </c>
      <c r="G56" s="53">
        <f t="shared" si="9"/>
        <v>0.13325739390660304</v>
      </c>
      <c r="H56" s="53">
        <f t="shared" si="10"/>
        <v>0.19021161801828432</v>
      </c>
      <c r="I56" s="53">
        <f t="shared" si="11"/>
        <v>0.24768001018554403</v>
      </c>
      <c r="J56" s="53">
        <f t="shared" si="12"/>
        <v>0.30470317979047995</v>
      </c>
      <c r="K56" s="53">
        <f t="shared" si="26"/>
        <v>0.36097206504171658</v>
      </c>
      <c r="L56" s="53">
        <f t="shared" si="13"/>
        <v>0.41644198090139051</v>
      </c>
      <c r="M56" s="53">
        <f t="shared" si="14"/>
        <v>0.47116771574340988</v>
      </c>
      <c r="N56" s="53">
        <f t="shared" si="15"/>
        <v>0.52523472298415996</v>
      </c>
      <c r="O56" s="53">
        <f t="shared" si="16"/>
        <v>0.57873133205036964</v>
      </c>
      <c r="P56" s="53">
        <f t="shared" si="17"/>
        <v>0.63173839883428728</v>
      </c>
      <c r="Q56" s="53">
        <f t="shared" si="18"/>
        <v>0.68432629211376439</v>
      </c>
      <c r="R56" s="53">
        <f t="shared" si="19"/>
        <v>0.73655485683171185</v>
      </c>
      <c r="S56" s="53">
        <f t="shared" si="20"/>
        <v>0.78847447099672241</v>
      </c>
      <c r="T56" s="53">
        <f t="shared" si="21"/>
        <v>0.84012739412817472</v>
      </c>
      <c r="U56" s="53">
        <f t="shared" si="22"/>
        <v>0.89154908119920406</v>
      </c>
      <c r="V56" s="53">
        <f t="shared" si="23"/>
        <v>0.94276934511008204</v>
      </c>
      <c r="W56" s="61">
        <f t="shared" si="24"/>
        <v>0.99381334057778703</v>
      </c>
    </row>
    <row r="57" spans="1:23" x14ac:dyDescent="0.3">
      <c r="A57" s="35"/>
      <c r="B57" s="61">
        <f t="shared" si="6"/>
        <v>3.4459116166520742E-4</v>
      </c>
      <c r="D57" s="62">
        <f t="shared" si="7"/>
        <v>93663124820070</v>
      </c>
      <c r="E57" s="53">
        <f t="shared" si="25"/>
        <v>5.3213160241112037E-4</v>
      </c>
      <c r="F57" s="53">
        <f t="shared" si="8"/>
        <v>3.6279565332390821E-3</v>
      </c>
      <c r="G57" s="53">
        <f t="shared" si="9"/>
        <v>1.1162955544784069E-2</v>
      </c>
      <c r="H57" s="53">
        <f t="shared" si="10"/>
        <v>2.3623617693770839E-2</v>
      </c>
      <c r="I57" s="53">
        <f t="shared" si="11"/>
        <v>4.0385412118585096E-2</v>
      </c>
      <c r="J57" s="53">
        <f t="shared" si="12"/>
        <v>6.0451436476082455E-2</v>
      </c>
      <c r="K57" s="53">
        <f t="shared" si="26"/>
        <v>8.2861821686416287E-2</v>
      </c>
      <c r="L57" s="53">
        <f t="shared" si="13"/>
        <v>0.10684081812752978</v>
      </c>
      <c r="M57" s="53">
        <f t="shared" si="14"/>
        <v>0.1318131244249488</v>
      </c>
      <c r="N57" s="53">
        <f t="shared" si="15"/>
        <v>0.15737255522062932</v>
      </c>
      <c r="O57" s="53">
        <f t="shared" si="16"/>
        <v>0.1832413325401635</v>
      </c>
      <c r="P57" s="53">
        <f t="shared" si="17"/>
        <v>0.20923407156362037</v>
      </c>
      <c r="Q57" s="53">
        <f t="shared" si="18"/>
        <v>0.23522988396253813</v>
      </c>
      <c r="R57" s="53">
        <f t="shared" si="19"/>
        <v>0.26115208308360133</v>
      </c>
      <c r="S57" s="53">
        <f t="shared" si="20"/>
        <v>0.28695390112242203</v>
      </c>
      <c r="T57" s="53">
        <f t="shared" si="21"/>
        <v>0.31260862027473096</v>
      </c>
      <c r="U57" s="53">
        <f t="shared" si="22"/>
        <v>0.33810282422530002</v>
      </c>
      <c r="V57" s="53">
        <f t="shared" si="23"/>
        <v>0.36343181129124058</v>
      </c>
      <c r="W57" s="61">
        <f t="shared" si="24"/>
        <v>0.38859648910719097</v>
      </c>
    </row>
    <row r="58" spans="1:23" ht="15" thickBot="1" x14ac:dyDescent="0.35">
      <c r="A58" s="26"/>
      <c r="B58" s="63">
        <f t="shared" si="6"/>
        <v>3.4288083666138682E-4</v>
      </c>
      <c r="D58" s="62">
        <f t="shared" si="7"/>
        <v>99061941064710</v>
      </c>
      <c r="E58" s="53">
        <f t="shared" si="25"/>
        <v>3.4459116166520742E-4</v>
      </c>
      <c r="F58" s="53">
        <f t="shared" si="8"/>
        <v>2.624194501893014E-3</v>
      </c>
      <c r="G58" s="53">
        <f t="shared" si="9"/>
        <v>8.6144320400591574E-3</v>
      </c>
      <c r="H58" s="53">
        <f t="shared" si="10"/>
        <v>1.903206496866507E-2</v>
      </c>
      <c r="I58" s="53">
        <f t="shared" si="11"/>
        <v>3.3544918934657608E-2</v>
      </c>
      <c r="J58" s="53">
        <f t="shared" si="12"/>
        <v>5.1361497619333611E-2</v>
      </c>
      <c r="K58" s="53">
        <f t="shared" si="26"/>
        <v>7.1630364282001424E-2</v>
      </c>
      <c r="L58" s="53">
        <f t="shared" si="13"/>
        <v>9.3616918081385711E-2</v>
      </c>
      <c r="M58" s="53">
        <f t="shared" si="14"/>
        <v>0.11674925657987559</v>
      </c>
      <c r="N58" s="53">
        <f t="shared" si="15"/>
        <v>0.14060685097851597</v>
      </c>
      <c r="O58" s="53">
        <f t="shared" si="16"/>
        <v>0.16489128157309296</v>
      </c>
      <c r="P58" s="53">
        <f t="shared" si="17"/>
        <v>0.18939601623394572</v>
      </c>
      <c r="Q58" s="53">
        <f t="shared" si="18"/>
        <v>0.21398106033924127</v>
      </c>
      <c r="R58" s="53">
        <f t="shared" si="19"/>
        <v>0.23855350972159525</v>
      </c>
      <c r="S58" s="53">
        <f t="shared" si="20"/>
        <v>0.26305330341497063</v>
      </c>
      <c r="T58" s="53">
        <f t="shared" si="21"/>
        <v>0.28744304988802583</v>
      </c>
      <c r="U58" s="53">
        <f t="shared" si="22"/>
        <v>0.31170086831964983</v>
      </c>
      <c r="V58" s="53">
        <f t="shared" si="23"/>
        <v>0.33581539458544635</v>
      </c>
      <c r="W58" s="61">
        <f t="shared" si="24"/>
        <v>0.35978231543795652</v>
      </c>
    </row>
    <row r="59" spans="1:23" ht="15" thickBot="1" x14ac:dyDescent="0.35">
      <c r="B59" s="53"/>
      <c r="D59" s="64">
        <f t="shared" si="7"/>
        <v>99123761379240</v>
      </c>
      <c r="E59" s="55">
        <f t="shared" si="25"/>
        <v>3.4288083666138682E-4</v>
      </c>
      <c r="F59" s="55">
        <f t="shared" si="8"/>
        <v>2.6144798752736099E-3</v>
      </c>
      <c r="G59" s="55">
        <f t="shared" si="9"/>
        <v>8.588907030062232E-3</v>
      </c>
      <c r="H59" s="55">
        <f t="shared" si="10"/>
        <v>1.8985032222664698E-2</v>
      </c>
      <c r="I59" s="55">
        <f t="shared" si="11"/>
        <v>3.3473743533397791E-2</v>
      </c>
      <c r="J59" s="55">
        <f t="shared" si="12"/>
        <v>5.126584269907529E-2</v>
      </c>
      <c r="K59" s="55">
        <f t="shared" si="26"/>
        <v>7.1511188880421392E-2</v>
      </c>
      <c r="L59" s="55">
        <f t="shared" si="13"/>
        <v>9.3475733643916745E-2</v>
      </c>
      <c r="M59" s="55">
        <f t="shared" si="14"/>
        <v>0.11658768603735108</v>
      </c>
      <c r="N59" s="55">
        <f t="shared" si="15"/>
        <v>0.14042640704587403</v>
      </c>
      <c r="O59" s="55">
        <f t="shared" si="16"/>
        <v>0.16469327700353065</v>
      </c>
      <c r="P59" s="55">
        <f t="shared" si="17"/>
        <v>0.18918154447904295</v>
      </c>
      <c r="Q59" s="55">
        <f t="shared" si="18"/>
        <v>0.21375100950763315</v>
      </c>
      <c r="R59" s="55">
        <f t="shared" si="19"/>
        <v>0.23830858950839082</v>
      </c>
      <c r="S59" s="55">
        <f t="shared" si="20"/>
        <v>0.2627940747466373</v>
      </c>
      <c r="T59" s="55">
        <f t="shared" si="21"/>
        <v>0.28716995261329115</v>
      </c>
      <c r="U59" s="55">
        <f t="shared" si="22"/>
        <v>0.31141424518859484</v>
      </c>
      <c r="V59" s="55">
        <f t="shared" si="23"/>
        <v>0.33551551117982048</v>
      </c>
      <c r="W59" s="63">
        <f t="shared" si="24"/>
        <v>0.35946937634536608</v>
      </c>
    </row>
    <row r="60" spans="1:23" x14ac:dyDescent="0.3">
      <c r="B60" s="53"/>
      <c r="D60" s="65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</row>
    <row r="61" spans="1:23" x14ac:dyDescent="0.3">
      <c r="B61" s="53"/>
      <c r="D61" s="65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</row>
    <row r="62" spans="1:23" x14ac:dyDescent="0.3">
      <c r="B62" s="53"/>
      <c r="D62" s="65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</row>
    <row r="63" spans="1:23" x14ac:dyDescent="0.3">
      <c r="B63" s="53"/>
      <c r="D63" s="65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</row>
    <row r="64" spans="1:23" ht="15" thickBot="1" x14ac:dyDescent="0.35">
      <c r="B64" s="53"/>
      <c r="D64" s="65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</row>
    <row r="65" spans="1:23" x14ac:dyDescent="0.3">
      <c r="B65" s="53"/>
      <c r="D65" s="66" t="s">
        <v>49</v>
      </c>
      <c r="E65" s="67">
        <v>298.14999999999998</v>
      </c>
      <c r="F65" s="67">
        <f>300+100</f>
        <v>400</v>
      </c>
      <c r="G65" s="67">
        <f t="shared" ref="G65:W65" si="27">F65+100</f>
        <v>500</v>
      </c>
      <c r="H65" s="67">
        <f t="shared" si="27"/>
        <v>600</v>
      </c>
      <c r="I65" s="67">
        <f t="shared" si="27"/>
        <v>700</v>
      </c>
      <c r="J65" s="67">
        <f t="shared" si="27"/>
        <v>800</v>
      </c>
      <c r="K65" s="67">
        <f t="shared" si="27"/>
        <v>900</v>
      </c>
      <c r="L65" s="67">
        <f t="shared" si="27"/>
        <v>1000</v>
      </c>
      <c r="M65" s="67">
        <f t="shared" si="27"/>
        <v>1100</v>
      </c>
      <c r="N65" s="67">
        <f t="shared" si="27"/>
        <v>1200</v>
      </c>
      <c r="O65" s="67">
        <f t="shared" si="27"/>
        <v>1300</v>
      </c>
      <c r="P65" s="67">
        <f t="shared" si="27"/>
        <v>1400</v>
      </c>
      <c r="Q65" s="67">
        <f t="shared" si="27"/>
        <v>1500</v>
      </c>
      <c r="R65" s="67">
        <f t="shared" si="27"/>
        <v>1600</v>
      </c>
      <c r="S65" s="67">
        <f t="shared" si="27"/>
        <v>1700</v>
      </c>
      <c r="T65" s="67">
        <f t="shared" si="27"/>
        <v>1800</v>
      </c>
      <c r="U65" s="67">
        <f t="shared" si="27"/>
        <v>1900</v>
      </c>
      <c r="V65" s="67">
        <f t="shared" si="27"/>
        <v>2000</v>
      </c>
      <c r="W65" s="68">
        <f t="shared" si="27"/>
        <v>2100</v>
      </c>
    </row>
    <row r="66" spans="1:23" ht="15" thickBot="1" x14ac:dyDescent="0.35">
      <c r="B66" s="53"/>
      <c r="D66" s="64" t="s">
        <v>50</v>
      </c>
      <c r="E66" s="55">
        <f>PRODUCT(E54:E62)</f>
        <v>2.1014193666828275E-14</v>
      </c>
      <c r="F66" s="55">
        <f>PRODUCT(F54:F62)</f>
        <v>7.1468511830908883E-11</v>
      </c>
      <c r="G66" s="55">
        <f t="shared" ref="G66:W66" si="28">PRODUCT(G54:G62)</f>
        <v>8.8150655035830743E-9</v>
      </c>
      <c r="H66" s="55">
        <f t="shared" si="28"/>
        <v>2.291293818717221E-7</v>
      </c>
      <c r="I66" s="55">
        <f t="shared" si="28"/>
        <v>2.449732529168068E-6</v>
      </c>
      <c r="J66" s="55">
        <f t="shared" si="28"/>
        <v>1.5040959150566815E-5</v>
      </c>
      <c r="K66" s="55">
        <f t="shared" si="28"/>
        <v>6.3816032749841427E-5</v>
      </c>
      <c r="L66" s="55">
        <f t="shared" si="28"/>
        <v>2.0903554112751803E-4</v>
      </c>
      <c r="M66" s="55">
        <f t="shared" si="28"/>
        <v>5.6717042819323671E-4</v>
      </c>
      <c r="N66" s="55">
        <f t="shared" si="28"/>
        <v>1.3357811206151278E-3</v>
      </c>
      <c r="O66" s="55">
        <f t="shared" si="28"/>
        <v>2.8204324455918528E-3</v>
      </c>
      <c r="P66" s="55">
        <f t="shared" si="28"/>
        <v>5.4631923505143011E-3</v>
      </c>
      <c r="Q66" s="55">
        <f t="shared" si="28"/>
        <v>9.87265985905382E-3</v>
      </c>
      <c r="R66" s="55">
        <f t="shared" si="28"/>
        <v>1.6855642171721044E-2</v>
      </c>
      <c r="S66" s="55">
        <f t="shared" si="28"/>
        <v>2.7450642407464382E-2</v>
      </c>
      <c r="T66" s="55">
        <f t="shared" si="28"/>
        <v>4.2963302368832924E-2</v>
      </c>
      <c r="U66" s="55">
        <f t="shared" si="28"/>
        <v>6.5003910510914878E-2</v>
      </c>
      <c r="V66" s="55">
        <f t="shared" si="28"/>
        <v>9.5527052247113178E-2</v>
      </c>
      <c r="W66" s="63">
        <f t="shared" si="28"/>
        <v>0.13687345365789397</v>
      </c>
    </row>
    <row r="67" spans="1:23" x14ac:dyDescent="0.3">
      <c r="B67" s="53"/>
      <c r="D67" s="65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</row>
    <row r="68" spans="1:23" x14ac:dyDescent="0.3">
      <c r="B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</row>
    <row r="69" spans="1:23" x14ac:dyDescent="0.3">
      <c r="B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</row>
    <row r="70" spans="1:23" x14ac:dyDescent="0.3">
      <c r="B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</row>
    <row r="71" spans="1:23" ht="15" thickBot="1" x14ac:dyDescent="0.35"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</row>
    <row r="72" spans="1:23" x14ac:dyDescent="0.3">
      <c r="A72" s="17" t="s">
        <v>51</v>
      </c>
      <c r="B72" s="19">
        <f>COUNT(B53:B70)</f>
        <v>6</v>
      </c>
    </row>
    <row r="73" spans="1:23" ht="21" thickBot="1" x14ac:dyDescent="0.35">
      <c r="A73" s="69" t="s">
        <v>52</v>
      </c>
      <c r="B73" s="70">
        <f>PRODUCT(B53:B61)</f>
        <v>2.1014193666828275E-14</v>
      </c>
    </row>
    <row r="76" spans="1:23" ht="15" thickBot="1" x14ac:dyDescent="0.35"/>
    <row r="77" spans="1:23" x14ac:dyDescent="0.3">
      <c r="A77" s="16" t="s">
        <v>53</v>
      </c>
    </row>
    <row r="78" spans="1:23" x14ac:dyDescent="0.3">
      <c r="A78" s="71">
        <v>2.1039700000000001E-14</v>
      </c>
    </row>
    <row r="79" spans="1:23" x14ac:dyDescent="0.3">
      <c r="A79" s="72" t="s">
        <v>54</v>
      </c>
    </row>
    <row r="80" spans="1:23" ht="15" thickBot="1" x14ac:dyDescent="0.35">
      <c r="A80" s="73">
        <f>ABS(B73-A78)/B73</f>
        <v>1.2137669223058988E-3</v>
      </c>
    </row>
    <row r="81" spans="2:10" ht="15" thickBot="1" x14ac:dyDescent="0.35"/>
    <row r="82" spans="2:10" ht="18" x14ac:dyDescent="0.3">
      <c r="D82" s="11" t="s">
        <v>45</v>
      </c>
      <c r="E82" s="56" t="s">
        <v>55</v>
      </c>
      <c r="F82" s="52" t="s">
        <v>9</v>
      </c>
    </row>
    <row r="83" spans="2:10" ht="18.600000000000001" thickBot="1" x14ac:dyDescent="0.35">
      <c r="B83" s="74"/>
      <c r="D83" s="35">
        <f>298.15</f>
        <v>298.14999999999998</v>
      </c>
      <c r="E83" s="61">
        <f xml:space="preserve"> ( (2*$B$2*$E$2*$A$2*D83)/($C$2*$C$2) )^(1.5) * ($A$2*D83) /$F$83</f>
        <v>2287492.2322255345</v>
      </c>
      <c r="F83" s="25">
        <v>101325</v>
      </c>
      <c r="H83" s="5" t="s">
        <v>56</v>
      </c>
    </row>
    <row r="84" spans="2:10" ht="15" thickBot="1" x14ac:dyDescent="0.35">
      <c r="D84" s="35">
        <f>300+100</f>
        <v>400</v>
      </c>
      <c r="E84" s="61">
        <f t="shared" ref="E84:E101" si="29" xml:space="preserve"> ( (2*$B$2*$E$2*$A$2*D84)/($C$2*$C$2) )^(1.5) * ($A$2*D84) /$F$83</f>
        <v>4768947.8366983775</v>
      </c>
    </row>
    <row r="85" spans="2:10" ht="15" thickBot="1" x14ac:dyDescent="0.35">
      <c r="D85" s="35">
        <f t="shared" ref="D85:D101" si="30">D84+100</f>
        <v>500</v>
      </c>
      <c r="E85" s="61">
        <f t="shared" si="29"/>
        <v>8331009.018756289</v>
      </c>
      <c r="J85" s="16" t="s">
        <v>57</v>
      </c>
    </row>
    <row r="86" spans="2:10" x14ac:dyDescent="0.3">
      <c r="D86" s="35">
        <f t="shared" si="30"/>
        <v>600</v>
      </c>
      <c r="E86" s="61">
        <f t="shared" si="29"/>
        <v>13141674.911093393</v>
      </c>
      <c r="H86" s="75" t="s">
        <v>58</v>
      </c>
      <c r="I86" s="17" t="s">
        <v>59</v>
      </c>
      <c r="J86" s="76">
        <f xml:space="preserve"> ( (2*$B$2*$E$2*$A$2*298.15)/($C$2*$C$2) )^(1.5) * ($A$2*D83) /$F$83</f>
        <v>2287492.2322255345</v>
      </c>
    </row>
    <row r="87" spans="2:10" ht="15" thickBot="1" x14ac:dyDescent="0.35">
      <c r="D87" s="35">
        <f t="shared" si="30"/>
        <v>700</v>
      </c>
      <c r="E87" s="61">
        <f t="shared" si="29"/>
        <v>19320470.299244694</v>
      </c>
      <c r="H87" s="59" t="s">
        <v>60</v>
      </c>
      <c r="I87" s="26" t="s">
        <v>59</v>
      </c>
      <c r="J87" s="77">
        <v>2288820</v>
      </c>
    </row>
    <row r="88" spans="2:10" x14ac:dyDescent="0.3">
      <c r="D88" s="35">
        <f t="shared" si="30"/>
        <v>800</v>
      </c>
      <c r="E88" s="61">
        <f t="shared" si="29"/>
        <v>26977242.835634787</v>
      </c>
      <c r="J88" s="78" t="s">
        <v>54</v>
      </c>
    </row>
    <row r="89" spans="2:10" x14ac:dyDescent="0.3">
      <c r="D89" s="35">
        <f t="shared" si="30"/>
        <v>900</v>
      </c>
      <c r="E89" s="61">
        <f t="shared" si="29"/>
        <v>36214197.634928361</v>
      </c>
      <c r="J89" s="79">
        <f>(J86-J87)/J87</f>
        <v>-5.8011017662616281E-4</v>
      </c>
    </row>
    <row r="90" spans="2:10" x14ac:dyDescent="0.3">
      <c r="D90" s="35">
        <f t="shared" si="30"/>
        <v>1000</v>
      </c>
      <c r="E90" s="61">
        <f t="shared" si="29"/>
        <v>47127303.770310991</v>
      </c>
    </row>
    <row r="91" spans="2:10" x14ac:dyDescent="0.3">
      <c r="D91" s="35">
        <f t="shared" si="30"/>
        <v>1100</v>
      </c>
      <c r="E91" s="61">
        <f t="shared" si="29"/>
        <v>59807315.153493918</v>
      </c>
    </row>
    <row r="92" spans="2:10" x14ac:dyDescent="0.3">
      <c r="D92" s="35">
        <f t="shared" si="30"/>
        <v>1200</v>
      </c>
      <c r="E92" s="61">
        <f t="shared" si="29"/>
        <v>74340539.566266268</v>
      </c>
    </row>
    <row r="93" spans="2:10" x14ac:dyDescent="0.3">
      <c r="D93" s="35">
        <f t="shared" si="30"/>
        <v>1300</v>
      </c>
      <c r="E93" s="61">
        <f t="shared" si="29"/>
        <v>90809435.201054558</v>
      </c>
    </row>
    <row r="94" spans="2:10" x14ac:dyDescent="0.3">
      <c r="D94" s="35">
        <f t="shared" si="30"/>
        <v>1400</v>
      </c>
      <c r="E94" s="61">
        <f t="shared" si="29"/>
        <v>109293084.51447242</v>
      </c>
    </row>
    <row r="95" spans="2:10" x14ac:dyDescent="0.3">
      <c r="D95" s="35">
        <f t="shared" si="30"/>
        <v>1500</v>
      </c>
      <c r="E95" s="61">
        <f t="shared" si="29"/>
        <v>129867578.08920522</v>
      </c>
    </row>
    <row r="96" spans="2:10" x14ac:dyDescent="0.3">
      <c r="D96" s="35">
        <f t="shared" si="30"/>
        <v>1600</v>
      </c>
      <c r="E96" s="61">
        <f t="shared" si="29"/>
        <v>152606330.77434894</v>
      </c>
    </row>
    <row r="97" spans="1:10" x14ac:dyDescent="0.3">
      <c r="D97" s="35">
        <f t="shared" si="30"/>
        <v>1700</v>
      </c>
      <c r="E97" s="61">
        <f t="shared" si="29"/>
        <v>177580345.74809426</v>
      </c>
    </row>
    <row r="98" spans="1:10" x14ac:dyDescent="0.3">
      <c r="D98" s="35">
        <f t="shared" si="30"/>
        <v>1800</v>
      </c>
      <c r="E98" s="61">
        <f t="shared" si="29"/>
        <v>204858437.78310198</v>
      </c>
    </row>
    <row r="99" spans="1:10" x14ac:dyDescent="0.3">
      <c r="D99" s="35">
        <f t="shared" si="30"/>
        <v>1900</v>
      </c>
      <c r="E99" s="61">
        <f t="shared" si="29"/>
        <v>234507424.03355908</v>
      </c>
    </row>
    <row r="100" spans="1:10" x14ac:dyDescent="0.3">
      <c r="D100" s="35">
        <f t="shared" si="30"/>
        <v>2000</v>
      </c>
      <c r="E100" s="61">
        <f t="shared" si="29"/>
        <v>266592288.60020271</v>
      </c>
    </row>
    <row r="101" spans="1:10" ht="15" thickBot="1" x14ac:dyDescent="0.35">
      <c r="D101" s="26">
        <f t="shared" si="30"/>
        <v>2100</v>
      </c>
      <c r="E101" s="63">
        <f t="shared" si="29"/>
        <v>301176325.65975451</v>
      </c>
    </row>
    <row r="104" spans="1:10" ht="15" thickBot="1" x14ac:dyDescent="0.35"/>
    <row r="105" spans="1:10" ht="18" x14ac:dyDescent="0.3">
      <c r="D105" s="11" t="s">
        <v>45</v>
      </c>
      <c r="E105" s="56" t="s">
        <v>61</v>
      </c>
    </row>
    <row r="106" spans="1:10" x14ac:dyDescent="0.3">
      <c r="D106" s="35">
        <f>298.15</f>
        <v>298.14999999999998</v>
      </c>
      <c r="E106" s="61">
        <f xml:space="preserve"> ( SQRT($B$2)/$B$6) * SQRT(  (D106*D106*D106) / ($E$11 * $F$11 * $G$11 ) )</f>
        <v>42.483200497515185</v>
      </c>
    </row>
    <row r="107" spans="1:10" x14ac:dyDescent="0.3">
      <c r="D107" s="35">
        <f>300+100</f>
        <v>400</v>
      </c>
      <c r="E107" s="61">
        <f t="shared" ref="E107:E124" si="31" xml:space="preserve"> ( SQRT($B$2)/$B$6) * SQRT(  (D107*D107*D107) / ($E$11 * $F$11 * $G$11 ) )</f>
        <v>66.016879721460853</v>
      </c>
    </row>
    <row r="108" spans="1:10" x14ac:dyDescent="0.3">
      <c r="D108" s="35">
        <f t="shared" ref="D108:D124" si="32">D107+100</f>
        <v>500</v>
      </c>
      <c r="E108" s="61">
        <f t="shared" si="31"/>
        <v>92.261394199758641</v>
      </c>
      <c r="H108" s="5" t="s">
        <v>56</v>
      </c>
    </row>
    <row r="109" spans="1:10" ht="15" thickBot="1" x14ac:dyDescent="0.35">
      <c r="D109" s="35">
        <f t="shared" si="32"/>
        <v>600</v>
      </c>
      <c r="E109" s="61">
        <f t="shared" si="31"/>
        <v>121.28075229620185</v>
      </c>
    </row>
    <row r="110" spans="1:10" ht="18.600000000000001" thickBot="1" x14ac:dyDescent="0.35">
      <c r="A110" s="80"/>
      <c r="B110" s="74"/>
      <c r="D110" s="35">
        <f t="shared" si="32"/>
        <v>700</v>
      </c>
      <c r="E110" s="61">
        <f t="shared" si="31"/>
        <v>152.83121531601736</v>
      </c>
      <c r="J110" s="16" t="s">
        <v>57</v>
      </c>
    </row>
    <row r="111" spans="1:10" x14ac:dyDescent="0.3">
      <c r="D111" s="35">
        <f t="shared" si="32"/>
        <v>800</v>
      </c>
      <c r="E111" s="61">
        <f t="shared" si="31"/>
        <v>186.72393329528654</v>
      </c>
      <c r="H111" s="75" t="s">
        <v>58</v>
      </c>
      <c r="I111" s="17" t="s">
        <v>62</v>
      </c>
      <c r="J111" s="76">
        <f>E106</f>
        <v>42.483200497515185</v>
      </c>
    </row>
    <row r="112" spans="1:10" ht="15" thickBot="1" x14ac:dyDescent="0.35">
      <c r="D112" s="35">
        <f t="shared" si="32"/>
        <v>900</v>
      </c>
      <c r="E112" s="61">
        <f t="shared" si="31"/>
        <v>222.80696905993037</v>
      </c>
      <c r="H112" s="59" t="s">
        <v>60</v>
      </c>
      <c r="I112" s="26" t="s">
        <v>62</v>
      </c>
      <c r="J112" s="77">
        <v>254.899</v>
      </c>
    </row>
    <row r="113" spans="4:10" x14ac:dyDescent="0.3">
      <c r="D113" s="35">
        <f t="shared" si="32"/>
        <v>1000</v>
      </c>
      <c r="E113" s="61">
        <f t="shared" si="31"/>
        <v>260.95462992149822</v>
      </c>
      <c r="J113" s="78" t="s">
        <v>54</v>
      </c>
    </row>
    <row r="114" spans="4:10" x14ac:dyDescent="0.3">
      <c r="D114" s="35">
        <f t="shared" si="32"/>
        <v>1100</v>
      </c>
      <c r="E114" s="61">
        <f t="shared" si="31"/>
        <v>301.06067731589815</v>
      </c>
      <c r="J114" s="79">
        <f>(J111-J112)/J112</f>
        <v>-0.83333320061077065</v>
      </c>
    </row>
    <row r="115" spans="4:10" x14ac:dyDescent="0.3">
      <c r="D115" s="35">
        <f t="shared" si="32"/>
        <v>1200</v>
      </c>
      <c r="E115" s="61">
        <f t="shared" si="31"/>
        <v>343.03376950420113</v>
      </c>
    </row>
    <row r="116" spans="4:10" x14ac:dyDescent="0.3">
      <c r="D116" s="35">
        <f t="shared" si="32"/>
        <v>1300</v>
      </c>
      <c r="E116" s="61">
        <f t="shared" si="31"/>
        <v>386.79427293303218</v>
      </c>
      <c r="H116" s="81"/>
    </row>
    <row r="117" spans="4:10" x14ac:dyDescent="0.3">
      <c r="D117" s="35">
        <f t="shared" si="32"/>
        <v>1400</v>
      </c>
      <c r="E117" s="61">
        <f t="shared" si="31"/>
        <v>432.27195490774886</v>
      </c>
    </row>
    <row r="118" spans="4:10" x14ac:dyDescent="0.3">
      <c r="D118" s="35">
        <f t="shared" si="32"/>
        <v>1500</v>
      </c>
      <c r="E118" s="61">
        <f t="shared" si="31"/>
        <v>479.40426699336751</v>
      </c>
    </row>
    <row r="119" spans="4:10" x14ac:dyDescent="0.3">
      <c r="D119" s="35">
        <f t="shared" si="32"/>
        <v>1600</v>
      </c>
      <c r="E119" s="61">
        <f t="shared" si="31"/>
        <v>528.13503777168683</v>
      </c>
    </row>
    <row r="120" spans="4:10" x14ac:dyDescent="0.3">
      <c r="D120" s="35">
        <f t="shared" si="32"/>
        <v>1700</v>
      </c>
      <c r="E120" s="61">
        <f t="shared" si="31"/>
        <v>578.41345735121934</v>
      </c>
    </row>
    <row r="121" spans="4:10" x14ac:dyDescent="0.3">
      <c r="D121" s="35">
        <f t="shared" si="32"/>
        <v>1800</v>
      </c>
      <c r="E121" s="61">
        <f t="shared" si="31"/>
        <v>630.19327487159228</v>
      </c>
    </row>
    <row r="122" spans="4:10" x14ac:dyDescent="0.3">
      <c r="D122" s="35">
        <f t="shared" si="32"/>
        <v>1900</v>
      </c>
      <c r="E122" s="61">
        <f t="shared" si="31"/>
        <v>683.4321547751025</v>
      </c>
    </row>
    <row r="123" spans="4:10" x14ac:dyDescent="0.3">
      <c r="D123" s="35">
        <f t="shared" si="32"/>
        <v>2000</v>
      </c>
      <c r="E123" s="61">
        <f t="shared" si="31"/>
        <v>738.09115359806913</v>
      </c>
    </row>
    <row r="124" spans="4:10" ht="15" thickBot="1" x14ac:dyDescent="0.35">
      <c r="D124" s="26">
        <f t="shared" si="32"/>
        <v>2100</v>
      </c>
      <c r="E124" s="63">
        <f t="shared" si="31"/>
        <v>794.13428972952261</v>
      </c>
    </row>
    <row r="126" spans="4:10" ht="15" thickBot="1" x14ac:dyDescent="0.35"/>
    <row r="127" spans="4:10" ht="18" x14ac:dyDescent="0.3">
      <c r="D127" s="11" t="s">
        <v>45</v>
      </c>
      <c r="E127" s="13" t="s">
        <v>63</v>
      </c>
      <c r="F127" s="52" t="s">
        <v>64</v>
      </c>
    </row>
    <row r="128" spans="4:10" ht="15.6" x14ac:dyDescent="0.3">
      <c r="D128" s="35">
        <f>298.15</f>
        <v>298.14999999999998</v>
      </c>
      <c r="E128" s="82">
        <f>$B$135*EXP($B$134/($A$2*D128) )</f>
        <v>0</v>
      </c>
      <c r="F128" s="54">
        <f>$B$135</f>
        <v>2</v>
      </c>
      <c r="G128" s="5" t="s">
        <v>65</v>
      </c>
      <c r="H128" s="83">
        <f>$B$135*EXP($B$134/($A$2*298.15) )</f>
        <v>0</v>
      </c>
    </row>
    <row r="129" spans="1:6" ht="15.6" x14ac:dyDescent="0.2">
      <c r="A129" s="84"/>
      <c r="D129" s="35">
        <f>300+100</f>
        <v>400</v>
      </c>
      <c r="E129" s="82">
        <f t="shared" ref="E129:E146" si="33">$B$135*EXP($B$134/($A$2*D129) )</f>
        <v>0</v>
      </c>
      <c r="F129" s="54">
        <f t="shared" ref="F129:F146" si="34">$B$135</f>
        <v>2</v>
      </c>
    </row>
    <row r="130" spans="1:6" ht="15.6" x14ac:dyDescent="0.3">
      <c r="D130" s="35">
        <f t="shared" ref="D130:D146" si="35">D129+100</f>
        <v>500</v>
      </c>
      <c r="E130" s="82">
        <f t="shared" si="33"/>
        <v>0</v>
      </c>
      <c r="F130" s="54">
        <f t="shared" si="34"/>
        <v>2</v>
      </c>
    </row>
    <row r="131" spans="1:6" ht="15.6" x14ac:dyDescent="0.3">
      <c r="A131" s="85" t="s">
        <v>66</v>
      </c>
      <c r="B131" s="86">
        <v>-39.847333660700002</v>
      </c>
      <c r="D131" s="35">
        <f t="shared" si="35"/>
        <v>600</v>
      </c>
      <c r="E131" s="82">
        <f t="shared" si="33"/>
        <v>0</v>
      </c>
      <c r="F131" s="54">
        <f t="shared" si="34"/>
        <v>2</v>
      </c>
    </row>
    <row r="132" spans="1:6" ht="15.6" x14ac:dyDescent="0.3">
      <c r="A132" s="85" t="s">
        <v>67</v>
      </c>
      <c r="B132" s="87">
        <f>B131/(229400000000000000)</f>
        <v>-1.7370241351656497E-16</v>
      </c>
      <c r="D132" s="35">
        <f t="shared" si="35"/>
        <v>700</v>
      </c>
      <c r="E132" s="82">
        <f t="shared" si="33"/>
        <v>0</v>
      </c>
      <c r="F132" s="54">
        <f t="shared" si="34"/>
        <v>2</v>
      </c>
    </row>
    <row r="133" spans="1:6" ht="15.6" x14ac:dyDescent="0.3">
      <c r="A133" s="85" t="s">
        <v>68</v>
      </c>
      <c r="B133" s="85">
        <f>3.25263E-19</f>
        <v>3.2526300000000002E-19</v>
      </c>
      <c r="D133" s="35">
        <f t="shared" si="35"/>
        <v>800</v>
      </c>
      <c r="E133" s="82">
        <f t="shared" si="33"/>
        <v>0</v>
      </c>
      <c r="F133" s="54">
        <f t="shared" si="34"/>
        <v>2</v>
      </c>
    </row>
    <row r="134" spans="1:6" ht="18" x14ac:dyDescent="0.3">
      <c r="A134" s="85" t="s">
        <v>69</v>
      </c>
      <c r="B134" s="87">
        <f>B132+B133</f>
        <v>-1.7337715051656497E-16</v>
      </c>
      <c r="D134" s="35">
        <f t="shared" si="35"/>
        <v>900</v>
      </c>
      <c r="E134" s="82">
        <f t="shared" si="33"/>
        <v>0</v>
      </c>
      <c r="F134" s="54">
        <f t="shared" si="34"/>
        <v>2</v>
      </c>
    </row>
    <row r="135" spans="1:6" ht="18" x14ac:dyDescent="0.3">
      <c r="A135" s="85" t="s">
        <v>70</v>
      </c>
      <c r="B135" s="85">
        <v>2</v>
      </c>
      <c r="D135" s="35">
        <f t="shared" si="35"/>
        <v>1000</v>
      </c>
      <c r="E135" s="82">
        <f t="shared" si="33"/>
        <v>0</v>
      </c>
      <c r="F135" s="54">
        <f t="shared" si="34"/>
        <v>2</v>
      </c>
    </row>
    <row r="136" spans="1:6" ht="15.6" x14ac:dyDescent="0.3">
      <c r="A136" s="5" t="s">
        <v>71</v>
      </c>
      <c r="B136" s="53">
        <f>A2*D128</f>
        <v>4.1162588999999997E-21</v>
      </c>
      <c r="D136" s="35">
        <f t="shared" si="35"/>
        <v>1100</v>
      </c>
      <c r="E136" s="82">
        <f t="shared" si="33"/>
        <v>0</v>
      </c>
      <c r="F136" s="54">
        <f t="shared" si="34"/>
        <v>2</v>
      </c>
    </row>
    <row r="137" spans="1:6" ht="15.6" x14ac:dyDescent="0.3">
      <c r="D137" s="35">
        <f t="shared" si="35"/>
        <v>1200</v>
      </c>
      <c r="E137" s="82">
        <f t="shared" si="33"/>
        <v>0</v>
      </c>
      <c r="F137" s="54">
        <f t="shared" si="34"/>
        <v>2</v>
      </c>
    </row>
    <row r="138" spans="1:6" ht="15.6" x14ac:dyDescent="0.3">
      <c r="D138" s="35">
        <f t="shared" si="35"/>
        <v>1300</v>
      </c>
      <c r="E138" s="82">
        <f t="shared" si="33"/>
        <v>0</v>
      </c>
      <c r="F138" s="54">
        <f t="shared" si="34"/>
        <v>2</v>
      </c>
    </row>
    <row r="139" spans="1:6" ht="15.6" x14ac:dyDescent="0.3">
      <c r="D139" s="35">
        <f t="shared" si="35"/>
        <v>1400</v>
      </c>
      <c r="E139" s="82">
        <f t="shared" si="33"/>
        <v>0</v>
      </c>
      <c r="F139" s="54">
        <f t="shared" si="34"/>
        <v>2</v>
      </c>
    </row>
    <row r="140" spans="1:6" ht="15.6" x14ac:dyDescent="0.3">
      <c r="D140" s="35">
        <f t="shared" si="35"/>
        <v>1500</v>
      </c>
      <c r="E140" s="82">
        <f t="shared" si="33"/>
        <v>0</v>
      </c>
      <c r="F140" s="54">
        <f t="shared" si="34"/>
        <v>2</v>
      </c>
    </row>
    <row r="141" spans="1:6" ht="15.6" x14ac:dyDescent="0.3">
      <c r="D141" s="35">
        <f t="shared" si="35"/>
        <v>1600</v>
      </c>
      <c r="E141" s="82">
        <f t="shared" si="33"/>
        <v>0</v>
      </c>
      <c r="F141" s="54">
        <f t="shared" si="34"/>
        <v>2</v>
      </c>
    </row>
    <row r="142" spans="1:6" ht="15.6" x14ac:dyDescent="0.3">
      <c r="D142" s="35">
        <f t="shared" si="35"/>
        <v>1700</v>
      </c>
      <c r="E142" s="82">
        <f t="shared" si="33"/>
        <v>0</v>
      </c>
      <c r="F142" s="54">
        <f t="shared" si="34"/>
        <v>2</v>
      </c>
    </row>
    <row r="143" spans="1:6" ht="15.6" x14ac:dyDescent="0.3">
      <c r="D143" s="35">
        <f t="shared" si="35"/>
        <v>1800</v>
      </c>
      <c r="E143" s="82">
        <f t="shared" si="33"/>
        <v>0</v>
      </c>
      <c r="F143" s="54">
        <f t="shared" si="34"/>
        <v>2</v>
      </c>
    </row>
    <row r="144" spans="1:6" ht="15.6" x14ac:dyDescent="0.3">
      <c r="D144" s="35">
        <f t="shared" si="35"/>
        <v>1900</v>
      </c>
      <c r="E144" s="82">
        <f t="shared" si="33"/>
        <v>0</v>
      </c>
      <c r="F144" s="54">
        <f t="shared" si="34"/>
        <v>2</v>
      </c>
    </row>
    <row r="145" spans="4:13" ht="15.6" x14ac:dyDescent="0.3">
      <c r="D145" s="35">
        <f t="shared" si="35"/>
        <v>2000</v>
      </c>
      <c r="E145" s="82">
        <f t="shared" si="33"/>
        <v>0</v>
      </c>
      <c r="F145" s="54">
        <f t="shared" si="34"/>
        <v>2</v>
      </c>
    </row>
    <row r="146" spans="4:13" ht="16.2" thickBot="1" x14ac:dyDescent="0.35">
      <c r="D146" s="26">
        <f t="shared" si="35"/>
        <v>2100</v>
      </c>
      <c r="E146" s="88">
        <f t="shared" si="33"/>
        <v>0</v>
      </c>
      <c r="F146" s="25">
        <f t="shared" si="34"/>
        <v>2</v>
      </c>
    </row>
    <row r="151" spans="4:13" ht="15" thickBot="1" x14ac:dyDescent="0.35">
      <c r="H151" s="5" t="s">
        <v>72</v>
      </c>
    </row>
    <row r="152" spans="4:13" ht="20.399999999999999" x14ac:dyDescent="0.3">
      <c r="D152" s="89" t="s">
        <v>45</v>
      </c>
      <c r="E152" s="90" t="s">
        <v>73</v>
      </c>
      <c r="F152" s="91" t="s">
        <v>74</v>
      </c>
      <c r="G152" s="91" t="s">
        <v>75</v>
      </c>
      <c r="H152" s="91" t="s">
        <v>76</v>
      </c>
      <c r="I152" s="92" t="s">
        <v>77</v>
      </c>
    </row>
    <row r="153" spans="4:13" ht="15.6" x14ac:dyDescent="0.3">
      <c r="D153" s="35">
        <f>298.15</f>
        <v>298.14999999999998</v>
      </c>
      <c r="E153" s="93">
        <f xml:space="preserve"> ( SQRT($B$2)/$B$6) * SQRT(  (D153*D153*D153) / ($E$11 * $F$11 * $G$11 ) )</f>
        <v>42.483200497515185</v>
      </c>
      <c r="F153" s="87">
        <f>2</f>
        <v>2</v>
      </c>
      <c r="G153" s="53">
        <f xml:space="preserve"> ( (2*$B$2*$E$2*$A$2*D153)/($C$2*$C$2) )^(1.5) * ($A$2*D153) /$F$83</f>
        <v>2287492.2322255345</v>
      </c>
      <c r="H153" s="53">
        <f>PRODUCT(E54:E59)</f>
        <v>2.1014193666828275E-14</v>
      </c>
      <c r="I153" s="94">
        <f>PRODUCT(E153:H153)</f>
        <v>4.0843183086353094E-6</v>
      </c>
      <c r="J153" s="59"/>
      <c r="K153" s="81"/>
      <c r="M153" s="53"/>
    </row>
    <row r="154" spans="4:13" ht="15.6" x14ac:dyDescent="0.3">
      <c r="D154" s="35">
        <f>300+100</f>
        <v>400</v>
      </c>
      <c r="E154" s="93">
        <f t="shared" ref="E154:E171" si="36" xml:space="preserve"> ( SQRT($B$2)/$B$6) * SQRT(  (D154*D154*D154) / ($E$11 * $F$11 * $G$11 ) )</f>
        <v>66.016879721460853</v>
      </c>
      <c r="F154" s="87">
        <f>2</f>
        <v>2</v>
      </c>
      <c r="G154" s="53">
        <f t="shared" ref="G154:G171" si="37" xml:space="preserve"> ( (2*$B$2*$E$2*$A$2*D154)/($C$2*$C$2) )^(1.5) * ($A$2*D154) /$F$83</f>
        <v>4768947.8366983775</v>
      </c>
      <c r="H154" s="53">
        <f>PRODUCT(F54:F59)</f>
        <v>7.1468511830908883E-11</v>
      </c>
      <c r="I154" s="61">
        <f>PRODUCT(E154:H154)</f>
        <v>4.5001014062816869E-2</v>
      </c>
      <c r="M154" s="95"/>
    </row>
    <row r="155" spans="4:13" ht="15.6" x14ac:dyDescent="0.3">
      <c r="D155" s="35">
        <f t="shared" ref="D155:D171" si="38">D154+100</f>
        <v>500</v>
      </c>
      <c r="E155" s="93">
        <f t="shared" si="36"/>
        <v>92.261394199758641</v>
      </c>
      <c r="F155" s="87">
        <f>2</f>
        <v>2</v>
      </c>
      <c r="G155" s="53">
        <f t="shared" si="37"/>
        <v>8331009.018756289</v>
      </c>
      <c r="H155" s="53">
        <f>PRODUCT(G54:G59)</f>
        <v>8.8150655035830743E-9</v>
      </c>
      <c r="I155" s="61">
        <f>PRODUCT(E155:H155)</f>
        <v>13.551056537356839</v>
      </c>
      <c r="J155" s="5" t="s">
        <v>78</v>
      </c>
    </row>
    <row r="156" spans="4:13" ht="16.2" thickBot="1" x14ac:dyDescent="0.35">
      <c r="D156" s="35">
        <f t="shared" si="38"/>
        <v>600</v>
      </c>
      <c r="E156" s="93">
        <f t="shared" si="36"/>
        <v>121.28075229620185</v>
      </c>
      <c r="F156" s="87">
        <f>2</f>
        <v>2</v>
      </c>
      <c r="G156" s="53">
        <f t="shared" si="37"/>
        <v>13141674.911093393</v>
      </c>
      <c r="H156" s="53">
        <f>PRODUCT(H54:H59)</f>
        <v>2.291293818717221E-7</v>
      </c>
      <c r="I156" s="61">
        <f t="shared" ref="I156:I171" si="39">PRODUCT(E156:H156)</f>
        <v>730.38758259106248</v>
      </c>
    </row>
    <row r="157" spans="4:13" ht="16.2" thickBot="1" x14ac:dyDescent="0.35">
      <c r="D157" s="35">
        <f t="shared" si="38"/>
        <v>700</v>
      </c>
      <c r="E157" s="93">
        <f t="shared" si="36"/>
        <v>152.83121531601736</v>
      </c>
      <c r="F157" s="87">
        <f>2</f>
        <v>2</v>
      </c>
      <c r="G157" s="53">
        <f t="shared" si="37"/>
        <v>19320470.299244694</v>
      </c>
      <c r="H157" s="53">
        <f>PRODUCT(I54:I59)</f>
        <v>2.449732529168068E-6</v>
      </c>
      <c r="I157" s="61">
        <f t="shared" si="39"/>
        <v>14466.998125713486</v>
      </c>
      <c r="L157" s="16" t="s">
        <v>57</v>
      </c>
    </row>
    <row r="158" spans="4:13" ht="15.6" x14ac:dyDescent="0.3">
      <c r="D158" s="35">
        <f t="shared" si="38"/>
        <v>800</v>
      </c>
      <c r="E158" s="93">
        <f t="shared" si="36"/>
        <v>186.72393329528654</v>
      </c>
      <c r="F158" s="87">
        <f>2</f>
        <v>2</v>
      </c>
      <c r="G158" s="53">
        <f t="shared" si="37"/>
        <v>26977242.835634787</v>
      </c>
      <c r="H158" s="53">
        <f>PRODUCT(J54:J59)</f>
        <v>1.5040959150566815E-5</v>
      </c>
      <c r="I158" s="61">
        <f t="shared" si="39"/>
        <v>151531.55355563088</v>
      </c>
      <c r="J158" s="75" t="s">
        <v>58</v>
      </c>
      <c r="K158" s="17" t="s">
        <v>79</v>
      </c>
      <c r="L158" s="76">
        <f>I153</f>
        <v>4.0843183086353094E-6</v>
      </c>
    </row>
    <row r="159" spans="4:13" ht="16.2" thickBot="1" x14ac:dyDescent="0.35">
      <c r="D159" s="35">
        <f t="shared" si="38"/>
        <v>900</v>
      </c>
      <c r="E159" s="93">
        <f t="shared" si="36"/>
        <v>222.80696905993037</v>
      </c>
      <c r="F159" s="87">
        <f>2</f>
        <v>2</v>
      </c>
      <c r="G159" s="53">
        <f t="shared" si="37"/>
        <v>36214197.634928361</v>
      </c>
      <c r="H159" s="53">
        <f>PRODUCT(K54:K59)</f>
        <v>6.3816032749841427E-5</v>
      </c>
      <c r="I159" s="61">
        <f t="shared" si="39"/>
        <v>1029834.4974099245</v>
      </c>
      <c r="J159" s="59" t="s">
        <v>60</v>
      </c>
      <c r="K159" s="26" t="s">
        <v>79</v>
      </c>
      <c r="L159" s="77">
        <v>2.45499E-5</v>
      </c>
    </row>
    <row r="160" spans="4:13" ht="15.6" x14ac:dyDescent="0.3">
      <c r="D160" s="35">
        <f t="shared" si="38"/>
        <v>1000</v>
      </c>
      <c r="E160" s="93">
        <f t="shared" si="36"/>
        <v>260.95462992149822</v>
      </c>
      <c r="F160" s="87">
        <f>2</f>
        <v>2</v>
      </c>
      <c r="G160" s="53">
        <f t="shared" si="37"/>
        <v>47127303.770310991</v>
      </c>
      <c r="H160" s="53">
        <f>PRODUCT(L54:L59)</f>
        <v>2.0903554112751803E-4</v>
      </c>
      <c r="I160" s="61">
        <f t="shared" si="39"/>
        <v>5141475.0077300612</v>
      </c>
      <c r="L160" s="78" t="s">
        <v>54</v>
      </c>
    </row>
    <row r="161" spans="1:12" ht="15.6" x14ac:dyDescent="0.3">
      <c r="D161" s="35">
        <f t="shared" si="38"/>
        <v>1100</v>
      </c>
      <c r="E161" s="93">
        <f t="shared" si="36"/>
        <v>301.06067731589815</v>
      </c>
      <c r="F161" s="87">
        <f>2</f>
        <v>2</v>
      </c>
      <c r="G161" s="53">
        <f t="shared" si="37"/>
        <v>59807315.153493918</v>
      </c>
      <c r="H161" s="53">
        <f>PRODUCT(M54:M59)</f>
        <v>5.6717042819323671E-4</v>
      </c>
      <c r="I161" s="61">
        <f t="shared" si="39"/>
        <v>20424522.671156377</v>
      </c>
      <c r="L161" s="96">
        <f>ABS(L158-L159)/L159</f>
        <v>0.83363197778258524</v>
      </c>
    </row>
    <row r="162" spans="1:12" ht="15.6" x14ac:dyDescent="0.3">
      <c r="D162" s="35">
        <f t="shared" si="38"/>
        <v>1200</v>
      </c>
      <c r="E162" s="93">
        <f t="shared" si="36"/>
        <v>343.03376950420113</v>
      </c>
      <c r="F162" s="87">
        <f>2</f>
        <v>2</v>
      </c>
      <c r="G162" s="53">
        <f t="shared" si="37"/>
        <v>74340539.566266268</v>
      </c>
      <c r="H162" s="53">
        <f>PRODUCT(N54:N59)</f>
        <v>1.3357811206151278E-3</v>
      </c>
      <c r="I162" s="61">
        <f t="shared" si="39"/>
        <v>68128351.629950389</v>
      </c>
      <c r="J162" s="5" t="s">
        <v>80</v>
      </c>
    </row>
    <row r="163" spans="1:12" ht="15.6" x14ac:dyDescent="0.3">
      <c r="D163" s="35">
        <f t="shared" si="38"/>
        <v>1300</v>
      </c>
      <c r="E163" s="93">
        <f t="shared" si="36"/>
        <v>386.79427293303218</v>
      </c>
      <c r="F163" s="87">
        <f>2</f>
        <v>2</v>
      </c>
      <c r="G163" s="53">
        <f t="shared" si="37"/>
        <v>90809435.201054558</v>
      </c>
      <c r="H163" s="53">
        <f>PRODUCT(O54:O59)</f>
        <v>2.8204324455918528E-3</v>
      </c>
      <c r="I163" s="61">
        <f t="shared" si="39"/>
        <v>198132950.70770964</v>
      </c>
      <c r="J163" s="81">
        <f>L158/L159</f>
        <v>0.1663680222174147</v>
      </c>
    </row>
    <row r="164" spans="1:12" ht="15.6" x14ac:dyDescent="0.3">
      <c r="D164" s="35">
        <f t="shared" si="38"/>
        <v>1400</v>
      </c>
      <c r="E164" s="93">
        <f t="shared" si="36"/>
        <v>432.27195490774886</v>
      </c>
      <c r="F164" s="87">
        <f>2</f>
        <v>2</v>
      </c>
      <c r="G164" s="53">
        <f t="shared" si="37"/>
        <v>109293084.51447242</v>
      </c>
      <c r="H164" s="53">
        <f>PRODUCT(P54:P59)</f>
        <v>5.4631923505143011E-3</v>
      </c>
      <c r="I164" s="61">
        <f t="shared" si="39"/>
        <v>516209782.44277114</v>
      </c>
    </row>
    <row r="165" spans="1:12" ht="15.6" x14ac:dyDescent="0.3">
      <c r="D165" s="35">
        <f t="shared" si="38"/>
        <v>1500</v>
      </c>
      <c r="E165" s="93">
        <f t="shared" si="36"/>
        <v>479.40426699336751</v>
      </c>
      <c r="F165" s="87">
        <f>2</f>
        <v>2</v>
      </c>
      <c r="G165" s="53">
        <f t="shared" si="37"/>
        <v>129867578.08920522</v>
      </c>
      <c r="H165" s="53">
        <f>PRODUCT(Q54:Q59)</f>
        <v>9.87265985905382E-3</v>
      </c>
      <c r="I165" s="61">
        <f t="shared" si="39"/>
        <v>1229325263.8281608</v>
      </c>
    </row>
    <row r="166" spans="1:12" ht="15.6" x14ac:dyDescent="0.3">
      <c r="D166" s="35">
        <f t="shared" si="38"/>
        <v>1600</v>
      </c>
      <c r="E166" s="93">
        <f t="shared" si="36"/>
        <v>528.13503777168683</v>
      </c>
      <c r="F166" s="87">
        <f>2</f>
        <v>2</v>
      </c>
      <c r="G166" s="53">
        <f t="shared" si="37"/>
        <v>152606330.77434894</v>
      </c>
      <c r="H166" s="53">
        <f>PRODUCT(R54:R59)</f>
        <v>1.6855642171721044E-2</v>
      </c>
      <c r="I166" s="61">
        <f t="shared" si="39"/>
        <v>2717019965.4321413</v>
      </c>
    </row>
    <row r="167" spans="1:12" ht="15.6" x14ac:dyDescent="0.3">
      <c r="D167" s="35">
        <f t="shared" si="38"/>
        <v>1700</v>
      </c>
      <c r="E167" s="93">
        <f t="shared" si="36"/>
        <v>578.41345735121934</v>
      </c>
      <c r="F167" s="87">
        <f>2</f>
        <v>2</v>
      </c>
      <c r="G167" s="53">
        <f t="shared" si="37"/>
        <v>177580345.74809426</v>
      </c>
      <c r="H167" s="53">
        <f>PRODUCT(S54:S59)</f>
        <v>2.7450642407464382E-2</v>
      </c>
      <c r="I167" s="61">
        <f t="shared" si="39"/>
        <v>5639177879.2114992</v>
      </c>
    </row>
    <row r="168" spans="1:12" ht="15.6" x14ac:dyDescent="0.3">
      <c r="D168" s="35">
        <f t="shared" si="38"/>
        <v>1800</v>
      </c>
      <c r="E168" s="93">
        <f t="shared" si="36"/>
        <v>630.19327487159228</v>
      </c>
      <c r="F168" s="87">
        <f>2</f>
        <v>2</v>
      </c>
      <c r="G168" s="53">
        <f t="shared" si="37"/>
        <v>204858437.78310198</v>
      </c>
      <c r="H168" s="53">
        <f>PRODUCT(T54:T59)</f>
        <v>4.2963302368832924E-2</v>
      </c>
      <c r="I168" s="61">
        <f t="shared" si="39"/>
        <v>11093159883.634476</v>
      </c>
    </row>
    <row r="169" spans="1:12" ht="15.6" x14ac:dyDescent="0.3">
      <c r="D169" s="35">
        <f t="shared" si="38"/>
        <v>1900</v>
      </c>
      <c r="E169" s="93">
        <f t="shared" si="36"/>
        <v>683.4321547751025</v>
      </c>
      <c r="F169" s="87">
        <f>2</f>
        <v>2</v>
      </c>
      <c r="G169" s="53">
        <f t="shared" si="37"/>
        <v>234507424.03355908</v>
      </c>
      <c r="H169" s="53">
        <f>PRODUCT(U54:U59)</f>
        <v>6.5003910510914878E-2</v>
      </c>
      <c r="I169" s="61">
        <f>PRODUCT(E169:H169)</f>
        <v>20836342309.838783</v>
      </c>
    </row>
    <row r="170" spans="1:12" ht="15.6" x14ac:dyDescent="0.3">
      <c r="D170" s="35">
        <f t="shared" si="38"/>
        <v>2000</v>
      </c>
      <c r="E170" s="93">
        <f t="shared" si="36"/>
        <v>738.09115359806913</v>
      </c>
      <c r="F170" s="87">
        <f>2</f>
        <v>2</v>
      </c>
      <c r="G170" s="53">
        <f t="shared" si="37"/>
        <v>266592288.60020271</v>
      </c>
      <c r="H170" s="53">
        <f>PRODUCT(V54:V59)</f>
        <v>9.5527052247113178E-2</v>
      </c>
      <c r="I170" s="61">
        <f t="shared" si="39"/>
        <v>37593603387.553391</v>
      </c>
    </row>
    <row r="171" spans="1:12" ht="16.2" thickBot="1" x14ac:dyDescent="0.35">
      <c r="D171" s="26">
        <f t="shared" si="38"/>
        <v>2100</v>
      </c>
      <c r="E171" s="97">
        <f t="shared" si="36"/>
        <v>794.13428972952261</v>
      </c>
      <c r="F171" s="98">
        <f>2</f>
        <v>2</v>
      </c>
      <c r="G171" s="55">
        <f t="shared" si="37"/>
        <v>301176325.65975451</v>
      </c>
      <c r="H171" s="55">
        <f>PRODUCT(W54:W59)</f>
        <v>0.13687345365789397</v>
      </c>
      <c r="I171" s="63">
        <f t="shared" si="39"/>
        <v>65473265301.454018</v>
      </c>
    </row>
    <row r="174" spans="1:12" ht="15" thickBot="1" x14ac:dyDescent="0.35">
      <c r="A174" s="5" t="s">
        <v>81</v>
      </c>
      <c r="B174" s="170" t="s">
        <v>82</v>
      </c>
      <c r="C174" s="170"/>
      <c r="D174" s="170"/>
      <c r="E174" s="170"/>
      <c r="F174" s="170"/>
      <c r="G174" s="99"/>
      <c r="H174" s="170" t="s">
        <v>83</v>
      </c>
      <c r="I174" s="170"/>
      <c r="J174" s="170"/>
      <c r="K174" s="170"/>
    </row>
    <row r="175" spans="1:12" ht="18" x14ac:dyDescent="0.3">
      <c r="A175" s="5" t="s">
        <v>84</v>
      </c>
      <c r="B175" s="90" t="s">
        <v>45</v>
      </c>
      <c r="C175" s="16" t="s">
        <v>85</v>
      </c>
      <c r="D175" s="16" t="s">
        <v>35</v>
      </c>
      <c r="E175" s="16" t="s">
        <v>36</v>
      </c>
      <c r="F175" s="16" t="s">
        <v>86</v>
      </c>
      <c r="G175" s="99" t="s">
        <v>87</v>
      </c>
      <c r="H175" s="90" t="s">
        <v>45</v>
      </c>
      <c r="I175" s="16" t="s">
        <v>85</v>
      </c>
      <c r="J175" s="16" t="s">
        <v>35</v>
      </c>
      <c r="K175" s="16" t="s">
        <v>36</v>
      </c>
      <c r="L175" s="16" t="s">
        <v>86</v>
      </c>
    </row>
    <row r="176" spans="1:12" ht="15" thickBot="1" x14ac:dyDescent="0.35">
      <c r="B176" s="35">
        <f>298.15</f>
        <v>298.14999999999998</v>
      </c>
      <c r="C176" s="100">
        <f>3/2*$D$2*B176</f>
        <v>3718.4397401999995</v>
      </c>
      <c r="D176" s="100">
        <f t="shared" ref="D176:D194" si="40">3/2*$D$2*B176</f>
        <v>3718.4397401999995</v>
      </c>
      <c r="E176" s="100" cm="1">
        <f t="array" ref="E176">$D$2*SUM( ($B$12:$B$17)/(EXP($B$12:$B$17/B176)-1) + 0.5*$B$12:$B$17)</f>
        <v>78853.128834825882</v>
      </c>
      <c r="F176" s="101">
        <v>0</v>
      </c>
      <c r="H176" s="126">
        <f>298.15</f>
        <v>298.14999999999998</v>
      </c>
      <c r="I176" s="102">
        <f>3/2*$D$2*H176 /4184</f>
        <v>0.8887284273900572</v>
      </c>
      <c r="J176" s="102">
        <f>3/2*$D$2*H176 / 4184</f>
        <v>0.8887284273900572</v>
      </c>
      <c r="K176" s="102" cm="1">
        <f t="array" ref="K176">$D$2*SUM( ($B$12:$B$17)/(EXP($B$12:$B$17/B176)-1) + 0.5*$B$12:$B$17) / 4184</f>
        <v>18.846350103925879</v>
      </c>
      <c r="L176" s="103">
        <f xml:space="preserve"> F176/4184</f>
        <v>0</v>
      </c>
    </row>
    <row r="177" spans="2:14" x14ac:dyDescent="0.3">
      <c r="B177" s="35">
        <f>300+100</f>
        <v>400</v>
      </c>
      <c r="C177" s="100">
        <f t="shared" ref="C177:C194" si="41">3/2*$D$2*B177</f>
        <v>4988.6831999999995</v>
      </c>
      <c r="D177" s="100">
        <f t="shared" si="40"/>
        <v>4988.6831999999995</v>
      </c>
      <c r="E177" s="100" cm="1">
        <f t="array" ref="E177">$D$2*SUM( ($B$12:$B$17)/(EXP($B$12:$B$17/B177)-1) + 0.5*$B$12:$B$17)</f>
        <v>79605.336926977194</v>
      </c>
      <c r="H177" s="35">
        <f>300+100</f>
        <v>400</v>
      </c>
      <c r="I177" s="100">
        <f t="shared" ref="I177:I194" si="42">3/2*$D$2*H177 /4184</f>
        <v>1.1923239005736137</v>
      </c>
      <c r="J177" s="100">
        <f t="shared" ref="J177:J194" si="43">3/2*$D$2*H177 / 4184</f>
        <v>1.1923239005736137</v>
      </c>
      <c r="K177" s="100" cm="1">
        <f t="array" ref="K177">$D$2*SUM( ($B$12:$B$17)/(EXP($B$12:$B$17/B177)-1) + 0.5*$B$12:$B$17) / 4184</f>
        <v>19.026132152719214</v>
      </c>
      <c r="M177" s="174" t="s">
        <v>88</v>
      </c>
      <c r="N177" s="174"/>
    </row>
    <row r="178" spans="2:14" ht="18.600000000000001" thickBot="1" x14ac:dyDescent="0.35">
      <c r="B178" s="35">
        <f t="shared" ref="B178:B194" si="44">B177+100</f>
        <v>500</v>
      </c>
      <c r="C178" s="100">
        <f t="shared" si="41"/>
        <v>6235.8539999999994</v>
      </c>
      <c r="D178" s="100">
        <f t="shared" si="40"/>
        <v>6235.8539999999994</v>
      </c>
      <c r="E178" s="100" cm="1">
        <f t="array" ref="E178">$D$2*SUM( ($B$12:$B$17)/(EXP($B$12:$B$17/B178)-1) + 0.5*$B$12:$B$17)</f>
        <v>80652.273921431042</v>
      </c>
      <c r="H178" s="35">
        <f t="shared" ref="H178:H194" si="45">H177+100</f>
        <v>500</v>
      </c>
      <c r="I178" s="100">
        <f t="shared" si="42"/>
        <v>1.490404875717017</v>
      </c>
      <c r="J178" s="100">
        <f t="shared" si="43"/>
        <v>1.490404875717017</v>
      </c>
      <c r="K178" s="100" cm="1">
        <f t="array" ref="K178">$D$2*SUM( ($B$12:$B$17)/(EXP($B$12:$B$17/B178)-1) + 0.5*$B$12:$B$17) / 4184</f>
        <v>19.276356099768414</v>
      </c>
      <c r="M178" s="175" t="s">
        <v>89</v>
      </c>
      <c r="N178" s="175"/>
    </row>
    <row r="179" spans="2:14" x14ac:dyDescent="0.3">
      <c r="B179" s="35">
        <f t="shared" si="44"/>
        <v>600</v>
      </c>
      <c r="C179" s="100">
        <f t="shared" si="41"/>
        <v>7483.0248000000001</v>
      </c>
      <c r="D179" s="100">
        <f t="shared" si="40"/>
        <v>7483.0248000000001</v>
      </c>
      <c r="E179" s="100" cm="1">
        <f t="array" ref="E179">$D$2*SUM( ($B$12:$B$17)/(EXP($B$12:$B$17/B179)-1) + 0.5*$B$12:$B$17)</f>
        <v>81993.835645510248</v>
      </c>
      <c r="H179" s="35">
        <f t="shared" si="45"/>
        <v>600</v>
      </c>
      <c r="I179" s="100">
        <f t="shared" si="42"/>
        <v>1.7884858508604207</v>
      </c>
      <c r="J179" s="100">
        <f t="shared" si="43"/>
        <v>1.7884858508604207</v>
      </c>
      <c r="K179" s="100" cm="1">
        <f t="array" ref="K179">$D$2*SUM( ($B$12:$B$17)/(EXP($B$12:$B$17/B179)-1) + 0.5*$B$12:$B$17) / 4184</f>
        <v>19.596997047206081</v>
      </c>
      <c r="M179" s="124"/>
      <c r="N179" s="125" t="s">
        <v>26</v>
      </c>
    </row>
    <row r="180" spans="2:14" x14ac:dyDescent="0.3">
      <c r="B180" s="35">
        <f t="shared" si="44"/>
        <v>700</v>
      </c>
      <c r="C180" s="100">
        <f t="shared" si="41"/>
        <v>8730.1955999999991</v>
      </c>
      <c r="D180" s="100">
        <f t="shared" si="40"/>
        <v>8730.1955999999991</v>
      </c>
      <c r="E180" s="100" cm="1">
        <f t="array" ref="E180">$D$2*SUM( ($B$12:$B$17)/(EXP($B$12:$B$17/B180)-1) + 0.5*$B$12:$B$17)</f>
        <v>83615.386288824026</v>
      </c>
      <c r="H180" s="35">
        <f t="shared" si="45"/>
        <v>700</v>
      </c>
      <c r="I180" s="100">
        <f t="shared" si="42"/>
        <v>2.0865668260038239</v>
      </c>
      <c r="J180" s="100">
        <f t="shared" si="43"/>
        <v>2.0865668260038239</v>
      </c>
      <c r="K180" s="100" cm="1">
        <f t="array" ref="K180">$D$2*SUM( ($B$12:$B$17)/(EXP($B$12:$B$17/B180)-1) + 0.5*$B$12:$B$17) / 4184</f>
        <v>19.984556952395799</v>
      </c>
      <c r="M180" s="126"/>
      <c r="N180" s="127" t="s">
        <v>29</v>
      </c>
    </row>
    <row r="181" spans="2:14" x14ac:dyDescent="0.3">
      <c r="B181" s="35">
        <f t="shared" si="44"/>
        <v>800</v>
      </c>
      <c r="C181" s="100">
        <f t="shared" si="41"/>
        <v>9977.366399999999</v>
      </c>
      <c r="D181" s="100">
        <f t="shared" si="40"/>
        <v>9977.366399999999</v>
      </c>
      <c r="E181" s="100" cm="1">
        <f t="array" ref="E181">$D$2*SUM( ($B$12:$B$17)/(EXP($B$12:$B$17/B181)-1) + 0.5*$B$12:$B$17)</f>
        <v>85504.822012960882</v>
      </c>
      <c r="H181" s="35">
        <f t="shared" si="45"/>
        <v>800</v>
      </c>
      <c r="I181" s="100">
        <f t="shared" si="42"/>
        <v>2.3846478011472274</v>
      </c>
      <c r="J181" s="100">
        <f t="shared" si="43"/>
        <v>2.3846478011472274</v>
      </c>
      <c r="K181" s="100" cm="1">
        <f t="array" ref="K181">$D$2*SUM( ($B$12:$B$17)/(EXP($B$12:$B$17/B181)-1) + 0.5*$B$12:$B$17) / 4184</f>
        <v>20.436142928527936</v>
      </c>
      <c r="M181" s="126" t="s">
        <v>31</v>
      </c>
      <c r="N181" s="128">
        <v>20.623999999999999</v>
      </c>
    </row>
    <row r="182" spans="2:14" x14ac:dyDescent="0.3">
      <c r="B182" s="35">
        <f t="shared" si="44"/>
        <v>900</v>
      </c>
      <c r="C182" s="100">
        <f t="shared" si="41"/>
        <v>11224.537199999999</v>
      </c>
      <c r="D182" s="100">
        <f t="shared" si="40"/>
        <v>11224.537199999999</v>
      </c>
      <c r="E182" s="100" cm="1">
        <f t="array" ref="E182">$D$2*SUM( ($B$12:$B$17)/(EXP($B$12:$B$17/B182)-1) + 0.5*$B$12:$B$17)</f>
        <v>87650.66090077933</v>
      </c>
      <c r="H182" s="35">
        <f t="shared" si="45"/>
        <v>900</v>
      </c>
      <c r="I182" s="100">
        <f t="shared" si="42"/>
        <v>2.6827287762906309</v>
      </c>
      <c r="J182" s="100">
        <f t="shared" si="43"/>
        <v>2.6827287762906309</v>
      </c>
      <c r="K182" s="100" cm="1">
        <f t="array" ref="K182">$D$2*SUM( ($B$12:$B$17)/(EXP($B$12:$B$17/B182)-1) + 0.5*$B$12:$B$17) / 4184</f>
        <v>20.949010731543819</v>
      </c>
      <c r="M182" s="126" t="s">
        <v>32</v>
      </c>
      <c r="N182" s="128">
        <v>0</v>
      </c>
    </row>
    <row r="183" spans="2:14" x14ac:dyDescent="0.3">
      <c r="B183" s="35">
        <f t="shared" si="44"/>
        <v>1000</v>
      </c>
      <c r="C183" s="100">
        <f t="shared" si="41"/>
        <v>12471.707999999999</v>
      </c>
      <c r="D183" s="100">
        <f t="shared" si="40"/>
        <v>12471.707999999999</v>
      </c>
      <c r="E183" s="100" cm="1">
        <f t="array" ref="E183">$D$2*SUM( ($B$12:$B$17)/(EXP($B$12:$B$17/B183)-1) + 0.5*$B$12:$B$17)</f>
        <v>90039.646132177179</v>
      </c>
      <c r="H183" s="35">
        <f t="shared" si="45"/>
        <v>1000</v>
      </c>
      <c r="I183" s="100">
        <f t="shared" si="42"/>
        <v>2.9808097514340339</v>
      </c>
      <c r="J183" s="100">
        <f t="shared" si="43"/>
        <v>2.9808097514340339</v>
      </c>
      <c r="K183" s="100" cm="1">
        <f t="array" ref="K183">$D$2*SUM( ($B$12:$B$17)/(EXP($B$12:$B$17/B183)-1) + 0.5*$B$12:$B$17) / 4184</f>
        <v>21.519991905396076</v>
      </c>
      <c r="M183" s="126" t="s">
        <v>34</v>
      </c>
      <c r="N183" s="128">
        <v>0.88900000000000001</v>
      </c>
    </row>
    <row r="184" spans="2:14" x14ac:dyDescent="0.3">
      <c r="B184" s="35">
        <f t="shared" si="44"/>
        <v>1100</v>
      </c>
      <c r="C184" s="100">
        <f t="shared" si="41"/>
        <v>13718.8788</v>
      </c>
      <c r="D184" s="100">
        <f t="shared" si="40"/>
        <v>13718.8788</v>
      </c>
      <c r="E184" s="100" cm="1">
        <f t="array" ref="E184">$D$2*SUM( ($B$12:$B$17)/(EXP($B$12:$B$17/B184)-1) + 0.5*$B$12:$B$17)</f>
        <v>92656.134765581315</v>
      </c>
      <c r="H184" s="35">
        <f t="shared" si="45"/>
        <v>1100</v>
      </c>
      <c r="I184" s="100">
        <f t="shared" si="42"/>
        <v>3.2788907265774379</v>
      </c>
      <c r="J184" s="100">
        <f t="shared" si="43"/>
        <v>3.2788907265774379</v>
      </c>
      <c r="K184" s="100" cm="1">
        <f t="array" ref="K184">$D$2*SUM( ($B$12:$B$17)/(EXP($B$12:$B$17/B184)-1) + 0.5*$B$12:$B$17) / 4184</f>
        <v>22.14534769731867</v>
      </c>
      <c r="M184" s="126" t="s">
        <v>35</v>
      </c>
      <c r="N184" s="128">
        <v>0.88900000000000001</v>
      </c>
    </row>
    <row r="185" spans="2:14" x14ac:dyDescent="0.3">
      <c r="B185" s="35">
        <f t="shared" si="44"/>
        <v>1200</v>
      </c>
      <c r="C185" s="100">
        <f t="shared" si="41"/>
        <v>14966.0496</v>
      </c>
      <c r="D185" s="100">
        <f t="shared" si="40"/>
        <v>14966.0496</v>
      </c>
      <c r="E185" s="100" cm="1">
        <f t="array" ref="E185">$D$2*SUM( ($B$12:$B$17)/(EXP($B$12:$B$17/B185)-1) + 0.5*$B$12:$B$17)</f>
        <v>95482.719109827522</v>
      </c>
      <c r="H185" s="35">
        <f t="shared" si="45"/>
        <v>1200</v>
      </c>
      <c r="I185" s="100">
        <f t="shared" si="42"/>
        <v>3.5769717017208413</v>
      </c>
      <c r="J185" s="100">
        <f t="shared" si="43"/>
        <v>3.5769717017208413</v>
      </c>
      <c r="K185" s="100" cm="1">
        <f t="array" ref="K185">$D$2*SUM( ($B$12:$B$17)/(EXP($B$12:$B$17/B185)-1) + 0.5*$B$12:$B$17) / 4184</f>
        <v>22.820917569270438</v>
      </c>
      <c r="M185" s="126" t="s">
        <v>36</v>
      </c>
      <c r="N185" s="128">
        <v>18.846</v>
      </c>
    </row>
    <row r="186" spans="2:14" ht="15" thickBot="1" x14ac:dyDescent="0.35">
      <c r="B186" s="35">
        <f t="shared" si="44"/>
        <v>1300</v>
      </c>
      <c r="C186" s="100">
        <f t="shared" si="41"/>
        <v>16213.2204</v>
      </c>
      <c r="D186" s="100">
        <f t="shared" si="40"/>
        <v>16213.2204</v>
      </c>
      <c r="E186" s="100" cm="1">
        <f t="array" ref="E186">$D$2*SUM( ($B$12:$B$17)/(EXP($B$12:$B$17/B186)-1) + 0.5*$B$12:$B$17)</f>
        <v>98501.233245900759</v>
      </c>
      <c r="H186" s="35">
        <f t="shared" si="45"/>
        <v>1300</v>
      </c>
      <c r="I186" s="100">
        <f t="shared" si="42"/>
        <v>3.8750526768642448</v>
      </c>
      <c r="J186" s="100">
        <f t="shared" si="43"/>
        <v>3.8750526768642448</v>
      </c>
      <c r="K186" s="100" cm="1">
        <f t="array" ref="K186">$D$2*SUM( ($B$12:$B$17)/(EXP($B$12:$B$17/B186)-1) + 0.5*$B$12:$B$17) / 4184</f>
        <v>23.54235976240458</v>
      </c>
      <c r="M186" s="131" t="s">
        <v>104</v>
      </c>
      <c r="N186" s="129">
        <v>0.88100000000000001</v>
      </c>
    </row>
    <row r="187" spans="2:14" x14ac:dyDescent="0.3">
      <c r="B187" s="35">
        <f t="shared" si="44"/>
        <v>1400</v>
      </c>
      <c r="C187" s="100">
        <f t="shared" si="41"/>
        <v>17460.391199999998</v>
      </c>
      <c r="D187" s="100">
        <f t="shared" si="40"/>
        <v>17460.391199999998</v>
      </c>
      <c r="E187" s="100" cm="1">
        <f t="array" ref="E187">$D$2*SUM( ($B$12:$B$17)/(EXP($B$12:$B$17/B187)-1) + 0.5*$B$12:$B$17)</f>
        <v>101693.66466148462</v>
      </c>
      <c r="H187" s="35">
        <f t="shared" si="45"/>
        <v>1400</v>
      </c>
      <c r="I187" s="100">
        <f t="shared" si="42"/>
        <v>4.1731336520076479</v>
      </c>
      <c r="J187" s="100">
        <f t="shared" si="43"/>
        <v>4.1731336520076479</v>
      </c>
      <c r="K187" s="100" cm="1">
        <f t="array" ref="K187">$D$2*SUM( ($B$12:$B$17)/(EXP($B$12:$B$17/B187)-1) + 0.5*$B$12:$B$17) / 4184</f>
        <v>24.305369182955218</v>
      </c>
    </row>
    <row r="188" spans="2:14" ht="15" thickBot="1" x14ac:dyDescent="0.35">
      <c r="B188" s="35">
        <f t="shared" si="44"/>
        <v>1500</v>
      </c>
      <c r="C188" s="100">
        <f t="shared" si="41"/>
        <v>18707.561999999998</v>
      </c>
      <c r="D188" s="100">
        <f t="shared" si="40"/>
        <v>18707.561999999998</v>
      </c>
      <c r="E188" s="100" cm="1">
        <f t="array" ref="E188">$D$2*SUM( ($B$12:$B$17)/(EXP($B$12:$B$17/B188)-1) + 0.5*$B$12:$B$17)</f>
        <v>105042.80744523836</v>
      </c>
      <c r="H188" s="35">
        <f t="shared" si="45"/>
        <v>1500</v>
      </c>
      <c r="I188" s="100">
        <f t="shared" si="42"/>
        <v>4.4712146271510509</v>
      </c>
      <c r="J188" s="100">
        <f t="shared" si="43"/>
        <v>4.4712146271510509</v>
      </c>
      <c r="K188" s="100" cm="1">
        <f t="array" ref="K188">$D$2*SUM( ($B$12:$B$17)/(EXP($B$12:$B$17/B188)-1) + 0.5*$B$12:$B$17) / 4184</f>
        <v>25.105833519416432</v>
      </c>
    </row>
    <row r="189" spans="2:14" ht="15" thickBot="1" x14ac:dyDescent="0.35">
      <c r="B189" s="35">
        <f t="shared" si="44"/>
        <v>1600</v>
      </c>
      <c r="C189" s="100">
        <f t="shared" si="41"/>
        <v>19954.732799999998</v>
      </c>
      <c r="D189" s="100">
        <f t="shared" si="40"/>
        <v>19954.732799999998</v>
      </c>
      <c r="E189" s="100" cm="1">
        <f t="array" ref="E189">$D$2*SUM( ($B$12:$B$17)/(EXP($B$12:$B$17/B189)-1) + 0.5*$B$12:$B$17)</f>
        <v>108532.65532224525</v>
      </c>
      <c r="H189" s="35">
        <f t="shared" si="45"/>
        <v>1600</v>
      </c>
      <c r="I189" s="100">
        <f t="shared" si="42"/>
        <v>4.7692956022944548</v>
      </c>
      <c r="J189" s="100">
        <f t="shared" si="43"/>
        <v>4.7692956022944548</v>
      </c>
      <c r="K189" s="100" cm="1">
        <f t="array" ref="K189">$D$2*SUM( ($B$12:$B$17)/(EXP($B$12:$B$17/B189)-1) + 0.5*$B$12:$B$17) / 4184</f>
        <v>25.939927180268942</v>
      </c>
      <c r="M189" s="30" t="s">
        <v>90</v>
      </c>
      <c r="N189" s="104">
        <f>SUM(I176:L176)</f>
        <v>20.623806958705995</v>
      </c>
    </row>
    <row r="190" spans="2:14" x14ac:dyDescent="0.3">
      <c r="B190" s="35">
        <f t="shared" si="44"/>
        <v>1700</v>
      </c>
      <c r="C190" s="100">
        <f t="shared" si="41"/>
        <v>21201.903599999998</v>
      </c>
      <c r="D190" s="100">
        <f t="shared" si="40"/>
        <v>21201.903599999998</v>
      </c>
      <c r="E190" s="100" cm="1">
        <f t="array" ref="E190">$D$2*SUM( ($B$12:$B$17)/(EXP($B$12:$B$17/B190)-1) + 0.5*$B$12:$B$17)</f>
        <v>112148.59046274351</v>
      </c>
      <c r="H190" s="35">
        <f t="shared" si="45"/>
        <v>1700</v>
      </c>
      <c r="I190" s="100">
        <f t="shared" si="42"/>
        <v>5.0673765774378579</v>
      </c>
      <c r="J190" s="100">
        <f t="shared" si="43"/>
        <v>5.0673765774378579</v>
      </c>
      <c r="K190" s="100" cm="1">
        <f t="array" ref="K190">$D$2*SUM( ($B$12:$B$17)/(EXP($B$12:$B$17/B190)-1) + 0.5*$B$12:$B$17) / 4184</f>
        <v>26.804156420349788</v>
      </c>
    </row>
    <row r="191" spans="2:14" x14ac:dyDescent="0.3">
      <c r="B191" s="35">
        <f t="shared" si="44"/>
        <v>1800</v>
      </c>
      <c r="C191" s="100">
        <f t="shared" si="41"/>
        <v>22449.074399999998</v>
      </c>
      <c r="D191" s="100">
        <f t="shared" si="40"/>
        <v>22449.074399999998</v>
      </c>
      <c r="E191" s="100" cm="1">
        <f t="array" ref="E191">$D$2*SUM( ($B$12:$B$17)/(EXP($B$12:$B$17/B191)-1) + 0.5*$B$12:$B$17)</f>
        <v>115877.4315729589</v>
      </c>
      <c r="H191" s="35">
        <f t="shared" si="45"/>
        <v>1800</v>
      </c>
      <c r="I191" s="100">
        <f t="shared" si="42"/>
        <v>5.3654575525812618</v>
      </c>
      <c r="J191" s="100">
        <f t="shared" si="43"/>
        <v>5.3654575525812618</v>
      </c>
      <c r="K191" s="100" cm="1">
        <f t="array" ref="K191">$D$2*SUM( ($B$12:$B$17)/(EXP($B$12:$B$17/B191)-1) + 0.5*$B$12:$B$17) / 4184</f>
        <v>27.695370834837213</v>
      </c>
    </row>
    <row r="192" spans="2:14" x14ac:dyDescent="0.3">
      <c r="B192" s="35">
        <f t="shared" si="44"/>
        <v>1900</v>
      </c>
      <c r="C192" s="100">
        <f t="shared" si="41"/>
        <v>23696.245199999998</v>
      </c>
      <c r="D192" s="100">
        <f t="shared" si="40"/>
        <v>23696.245199999998</v>
      </c>
      <c r="E192" s="100" cm="1">
        <f t="array" ref="E192">$D$2*SUM( ($B$12:$B$17)/(EXP($B$12:$B$17/B192)-1) + 0.5*$B$12:$B$17)</f>
        <v>119707.39402839958</v>
      </c>
      <c r="H192" s="35">
        <f t="shared" si="45"/>
        <v>1900</v>
      </c>
      <c r="I192" s="100">
        <f t="shared" si="42"/>
        <v>5.6635385277246648</v>
      </c>
      <c r="J192" s="100">
        <f t="shared" si="43"/>
        <v>5.6635385277246648</v>
      </c>
      <c r="K192" s="100" cm="1">
        <f t="array" ref="K192">$D$2*SUM( ($B$12:$B$17)/(EXP($B$12:$B$17/B192)-1) + 0.5*$B$12:$B$17) / 4184</f>
        <v>28.610753830879439</v>
      </c>
    </row>
    <row r="193" spans="1:15" x14ac:dyDescent="0.3">
      <c r="B193" s="35">
        <f t="shared" si="44"/>
        <v>2000</v>
      </c>
      <c r="C193" s="100">
        <f t="shared" si="41"/>
        <v>24943.415999999997</v>
      </c>
      <c r="D193" s="100">
        <f t="shared" si="40"/>
        <v>24943.415999999997</v>
      </c>
      <c r="E193" s="100" cm="1">
        <f t="array" ref="E193">$D$2*SUM( ($B$12:$B$17)/(EXP($B$12:$B$17/B193)-1) + 0.5*$B$12:$B$17)</f>
        <v>123628.00039164079</v>
      </c>
      <c r="H193" s="35">
        <f t="shared" si="45"/>
        <v>2000</v>
      </c>
      <c r="I193" s="100">
        <f t="shared" si="42"/>
        <v>5.9616195028680679</v>
      </c>
      <c r="J193" s="100">
        <f t="shared" si="43"/>
        <v>5.9616195028680679</v>
      </c>
      <c r="K193" s="100" cm="1">
        <f t="array" ref="K193">$D$2*SUM( ($B$12:$B$17)/(EXP($B$12:$B$17/B193)-1) + 0.5*$B$12:$B$17) / 4184</f>
        <v>29.547801240831927</v>
      </c>
    </row>
    <row r="194" spans="1:15" ht="15" thickBot="1" x14ac:dyDescent="0.35">
      <c r="B194" s="26">
        <f t="shared" si="44"/>
        <v>2100</v>
      </c>
      <c r="C194" s="101">
        <f t="shared" si="41"/>
        <v>26190.586799999997</v>
      </c>
      <c r="D194" s="101">
        <f t="shared" si="40"/>
        <v>26190.586799999997</v>
      </c>
      <c r="E194" s="101" cm="1">
        <f t="array" ref="E194">$D$2*SUM( ($B$12:$B$17)/(EXP($B$12:$B$17/B194)-1) + 0.5*$B$12:$B$17)</f>
        <v>127629.96703186055</v>
      </c>
      <c r="F194" s="53"/>
      <c r="H194" s="26">
        <f t="shared" si="45"/>
        <v>2100</v>
      </c>
      <c r="I194" s="101">
        <f t="shared" si="42"/>
        <v>6.2597004780114718</v>
      </c>
      <c r="J194" s="101">
        <f t="shared" si="43"/>
        <v>6.2597004780114718</v>
      </c>
      <c r="K194" s="101" cm="1">
        <f t="array" ref="K194">$D$2*SUM( ($B$12:$B$17)/(EXP($B$12:$B$17/B194)-1) + 0.5*$B$12:$B$17) / 4184</f>
        <v>30.504294223676041</v>
      </c>
      <c r="L194" s="53"/>
    </row>
    <row r="196" spans="1:15" ht="15" thickBot="1" x14ac:dyDescent="0.35"/>
    <row r="197" spans="1:15" ht="15" thickBot="1" x14ac:dyDescent="0.35">
      <c r="F197" s="17"/>
      <c r="G197" s="18"/>
      <c r="H197" s="18"/>
      <c r="I197" s="19"/>
      <c r="K197" s="52" t="s">
        <v>91</v>
      </c>
    </row>
    <row r="198" spans="1:15" ht="16.8" thickBot="1" x14ac:dyDescent="0.35">
      <c r="B198" s="105" t="s">
        <v>92</v>
      </c>
      <c r="C198" s="106">
        <f xml:space="preserve"> ($C$2*$C$2) /(8*$B$2*$B$2*$A$2*$H$198)</f>
        <v>1.565066802550753</v>
      </c>
      <c r="F198" s="35"/>
      <c r="H198" s="5">
        <f>SQRT(E6*E6+F6*F6+G6*G6)</f>
        <v>2.5734873023378184E-46</v>
      </c>
      <c r="I198" s="36" t="s">
        <v>93</v>
      </c>
      <c r="K198" s="132">
        <v>1.18</v>
      </c>
    </row>
    <row r="199" spans="1:15" ht="15" thickBot="1" x14ac:dyDescent="0.35">
      <c r="F199" s="26"/>
      <c r="G199" s="27"/>
      <c r="H199" s="27"/>
      <c r="I199" s="28"/>
    </row>
    <row r="200" spans="1:15" ht="15" thickBot="1" x14ac:dyDescent="0.35">
      <c r="A200" s="5" t="s">
        <v>94</v>
      </c>
      <c r="B200" s="170" t="s">
        <v>95</v>
      </c>
      <c r="C200" s="170"/>
      <c r="D200" s="170"/>
      <c r="E200" s="170"/>
      <c r="F200" s="170"/>
      <c r="H200" s="170" t="s">
        <v>96</v>
      </c>
      <c r="I200" s="170"/>
      <c r="J200" s="170"/>
      <c r="K200" s="170"/>
      <c r="L200" s="170"/>
    </row>
    <row r="201" spans="1:15" ht="18" x14ac:dyDescent="0.3">
      <c r="A201" s="5" t="s">
        <v>95</v>
      </c>
      <c r="B201" s="89" t="s">
        <v>45</v>
      </c>
      <c r="C201" s="16" t="s">
        <v>97</v>
      </c>
      <c r="D201" s="16" t="s">
        <v>85</v>
      </c>
      <c r="E201" s="16" t="s">
        <v>35</v>
      </c>
      <c r="F201" s="16" t="s">
        <v>36</v>
      </c>
      <c r="G201" s="16" t="s">
        <v>86</v>
      </c>
      <c r="H201" s="89" t="s">
        <v>45</v>
      </c>
      <c r="I201" s="16" t="s">
        <v>85</v>
      </c>
      <c r="J201" s="16" t="s">
        <v>35</v>
      </c>
      <c r="K201" s="16" t="s">
        <v>36</v>
      </c>
      <c r="L201" s="16" t="s">
        <v>86</v>
      </c>
      <c r="O201" s="78"/>
    </row>
    <row r="202" spans="1:15" ht="15" thickBot="1" x14ac:dyDescent="0.35">
      <c r="B202" s="35">
        <f>298.15</f>
        <v>298.14999999999998</v>
      </c>
      <c r="C202" s="100">
        <f>($A$2*B202)/$J$2</f>
        <v>4.062431680236861E-26</v>
      </c>
      <c r="D202" s="107">
        <f xml:space="preserve"> $D$2 *( 5/2  +   LN(  ((2*$B$2*$E$2*$A$2*B202)/($C$2*$C$2) )^1.5  * ($D$2*B202 )/($F$2*$J$2)  ) )</f>
        <v>142.53502093325167</v>
      </c>
      <c r="E202" s="100">
        <f t="shared" ref="E202:E220" si="46">$D$2 *LN( (EXP(1)*B202) / ($B$6 * $C$198))</f>
        <v>37.065157380024367</v>
      </c>
      <c r="F202" s="100" cm="1">
        <f t="array" ref="F202">$D$2*SUM( (($B$12:$B$17)/B202)/(EXP($B$12:$B$17/B176)-1) - LN( 1 - EXP( (-1 * $B$12:$B$17)/B202 ) ) )</f>
        <v>2.6321512195465488</v>
      </c>
      <c r="G202" s="101">
        <f>$D$2*LN(K198)</f>
        <v>1.3761651643175061</v>
      </c>
      <c r="H202" s="149">
        <f>298.15</f>
        <v>298.14999999999998</v>
      </c>
      <c r="I202" s="102">
        <f xml:space="preserve"> $D$2 *( 5/2  +   LN(  ((2*$B$2*$E$2*$A$2*B202)/($C$2*$C$2) )^1.5  * ($D$2*B202 )/($F$2*$J$2)  ) ) / 4.184</f>
        <v>34.066687603549632</v>
      </c>
      <c r="J202" s="102">
        <f>$D$2 *LN( (EXP(1)*H202) / ($B$6 * $C$198)) / 4.184</f>
        <v>8.858785224671216</v>
      </c>
      <c r="K202" s="102" cm="1">
        <f t="array" ref="K202">$D$2*SUM( (($B$12:$B$17)/B202)/(EXP($B$12:$B$17/B176)-1) - LN( 1 - EXP( (-1 * $B$12:$B$17)/B202 ) ) )/ 4.184</f>
        <v>0.62909923985338168</v>
      </c>
      <c r="L202" s="109">
        <f>$D$2*LN(K198)</f>
        <v>1.3761651643175061</v>
      </c>
      <c r="O202" s="78"/>
    </row>
    <row r="203" spans="1:15" x14ac:dyDescent="0.3">
      <c r="B203" s="35">
        <f>300+100</f>
        <v>400</v>
      </c>
      <c r="C203" s="100">
        <f t="shared" ref="C203:C220" si="47">($A$2*B203)/$J$2</f>
        <v>5.4501850481125095E-26</v>
      </c>
      <c r="D203" s="107">
        <f t="shared" ref="D203:D220" si="48" xml:space="preserve"> $D$2 *( 5/2  +   LN(  ((2*$B$2*$E$2*$A$2*B203)/($C$2*$C$2) )^1.5  * ($D$2*B203 )/($F$2*$J$2)  ) )</f>
        <v>148.6434105758282</v>
      </c>
      <c r="E203" s="100">
        <f t="shared" si="46"/>
        <v>39.508513237054991</v>
      </c>
      <c r="F203" s="100" cm="1">
        <f t="array" ref="F203">$D$2*SUM( (($B$12:$B$17)/B203)/(EXP($B$12:$B$17/B177)-1) - LN( 1 - EXP( (-1 * $B$12:$B$17)/B203 ) ) )</f>
        <v>4.7800856045944293</v>
      </c>
      <c r="H203" s="35">
        <f>300+100</f>
        <v>400</v>
      </c>
      <c r="I203" s="107">
        <f xml:space="preserve"> $D$2 *( 5/2  +   LN(  ((2*$B$2*$E$2*$A$2*B203)/($C$2*$C$2) )^1.5  * ($D$2*B203 )/($F$2*$J$2)  ) )/ 4.184</f>
        <v>35.526627766689337</v>
      </c>
      <c r="J203" s="100">
        <f t="shared" ref="J203:J220" si="49">$D$2 *LN( (EXP(1)*H203) / ($B$6 * $C$198)) / 4.184</f>
        <v>9.4427612899271001</v>
      </c>
      <c r="K203" s="100" cm="1">
        <f t="array" ref="K203">$D$2*SUM( (($B$12:$B$17)/B203)/(EXP($B$12:$B$17/B177)-1) - LN( 1 - EXP( (-1 * $B$12:$B$17)/B203 ) ) )/ 4.184</f>
        <v>1.142467878727158</v>
      </c>
      <c r="O203" s="47"/>
    </row>
    <row r="204" spans="1:15" ht="18" x14ac:dyDescent="0.3">
      <c r="B204" s="35">
        <f t="shared" ref="B204:B220" si="50">B203+100</f>
        <v>500</v>
      </c>
      <c r="C204" s="100">
        <f t="shared" si="47"/>
        <v>6.8127313101406362E-26</v>
      </c>
      <c r="D204" s="107">
        <f t="shared" si="48"/>
        <v>153.28171259928456</v>
      </c>
      <c r="E204" s="100">
        <f t="shared" si="46"/>
        <v>41.363834046437553</v>
      </c>
      <c r="F204" s="100" cm="1">
        <f t="array" ref="F204">$D$2*SUM( (($B$12:$B$17)/B204)/(EXP($B$12:$B$17/B178)-1) - LN( 1 - EXP( (-1 * $B$12:$B$17)/B204 ) ) )</f>
        <v>7.1037294680107115</v>
      </c>
      <c r="H204" s="35">
        <f t="shared" ref="H204:H220" si="51">H203+100</f>
        <v>500</v>
      </c>
      <c r="I204" s="107">
        <f t="shared" ref="I204:I220" si="52" xml:space="preserve"> $D$2 *( 5/2  +   LN(  ((2*$B$2*$E$2*$A$2*B204)/($C$2*$C$2) )^1.5  * ($D$2*B204 )/($F$2*$J$2)  ) )/ 4.184</f>
        <v>36.63520855623436</v>
      </c>
      <c r="J204" s="100">
        <f t="shared" si="49"/>
        <v>9.8861936057451132</v>
      </c>
      <c r="K204" s="100" cm="1">
        <f t="array" ref="K204">$D$2*SUM( (($B$12:$B$17)/B204)/(EXP($B$12:$B$17/B178)-1) - LN( 1 - EXP( (-1 * $B$12:$B$17)/B204 ) ) )/ 4.184</f>
        <v>1.6978320908247397</v>
      </c>
      <c r="M204" s="176"/>
      <c r="N204" s="176"/>
      <c r="O204" s="47"/>
    </row>
    <row r="205" spans="1:15" ht="18.600000000000001" thickBot="1" x14ac:dyDescent="0.35">
      <c r="B205" s="35">
        <f t="shared" si="50"/>
        <v>600</v>
      </c>
      <c r="C205" s="100">
        <f t="shared" si="47"/>
        <v>8.175277572168763E-26</v>
      </c>
      <c r="D205" s="107">
        <f t="shared" si="48"/>
        <v>157.07148129668406</v>
      </c>
      <c r="E205" s="100">
        <f t="shared" si="46"/>
        <v>42.8797415253973</v>
      </c>
      <c r="F205" s="100" cm="1">
        <f t="array" ref="F205">$D$2*SUM( (($B$12:$B$17)/B205)/(EXP($B$12:$B$17/B179)-1) - LN( 1 - EXP( (-1 * $B$12:$B$17)/B205 ) ) )</f>
        <v>9.5417396997494528</v>
      </c>
      <c r="H205" s="35">
        <f t="shared" si="51"/>
        <v>600</v>
      </c>
      <c r="I205" s="107">
        <f t="shared" si="52"/>
        <v>37.540985013547811</v>
      </c>
      <c r="J205" s="100">
        <f t="shared" si="49"/>
        <v>10.248504188670482</v>
      </c>
      <c r="K205" s="100" cm="1">
        <f t="array" ref="K205">$D$2*SUM( (($B$12:$B$17)/B205)/(EXP($B$12:$B$17/B179)-1) - LN( 1 - EXP( (-1 * $B$12:$B$17)/B205 ) ) )/ 4.184</f>
        <v>2.2805305209726225</v>
      </c>
      <c r="M205" s="176" t="s">
        <v>89</v>
      </c>
      <c r="N205" s="176"/>
      <c r="O205" s="47"/>
    </row>
    <row r="206" spans="1:15" x14ac:dyDescent="0.3">
      <c r="B206" s="35">
        <f t="shared" si="50"/>
        <v>700</v>
      </c>
      <c r="C206" s="100">
        <f t="shared" si="47"/>
        <v>9.5378238341968898E-26</v>
      </c>
      <c r="D206" s="107">
        <f t="shared" si="48"/>
        <v>160.27568507469582</v>
      </c>
      <c r="E206" s="100">
        <f t="shared" si="46"/>
        <v>44.161423036602002</v>
      </c>
      <c r="F206" s="100" cm="1">
        <f t="array" ref="F206">$D$2*SUM( (($B$12:$B$17)/B206)/(EXP($B$12:$B$17/B180)-1) - LN( 1 - EXP( (-1 * $B$12:$B$17)/B206 ) ) )</f>
        <v>12.035955562699467</v>
      </c>
      <c r="H206" s="35">
        <f t="shared" si="51"/>
        <v>700</v>
      </c>
      <c r="I206" s="107">
        <f t="shared" si="52"/>
        <v>38.306808096246606</v>
      </c>
      <c r="J206" s="100">
        <f t="shared" si="49"/>
        <v>10.554833421750001</v>
      </c>
      <c r="K206" s="100" cm="1">
        <f t="array" ref="K206">$D$2*SUM( (($B$12:$B$17)/B206)/(EXP($B$12:$B$17/B180)-1) - LN( 1 - EXP( (-1 * $B$12:$B$17)/B206 ) ) )/ 4.184</f>
        <v>2.8766624193832375</v>
      </c>
      <c r="M206" s="124"/>
      <c r="N206" s="125" t="s">
        <v>28</v>
      </c>
      <c r="O206" s="47"/>
    </row>
    <row r="207" spans="1:15" x14ac:dyDescent="0.3">
      <c r="B207" s="35">
        <f t="shared" si="50"/>
        <v>800</v>
      </c>
      <c r="C207" s="100">
        <f t="shared" si="47"/>
        <v>1.0900370096225019E-25</v>
      </c>
      <c r="D207" s="107">
        <f t="shared" si="48"/>
        <v>163.05129263743976</v>
      </c>
      <c r="E207" s="100">
        <f t="shared" si="46"/>
        <v>45.271666061699605</v>
      </c>
      <c r="F207" s="100" cm="1">
        <f t="array" ref="F207">$D$2*SUM( (($B$12:$B$17)/B207)/(EXP($B$12:$B$17/B181)-1) - LN( 1 - EXP( (-1 * $B$12:$B$17)/B207 ) ) )</f>
        <v>14.555048127825655</v>
      </c>
      <c r="H207" s="35">
        <f t="shared" si="51"/>
        <v>800</v>
      </c>
      <c r="I207" s="107">
        <f t="shared" si="52"/>
        <v>38.9701942250095</v>
      </c>
      <c r="J207" s="100">
        <f t="shared" si="49"/>
        <v>10.820187873255163</v>
      </c>
      <c r="K207" s="100" cm="1">
        <f t="array" ref="K207">$D$2*SUM( (($B$12:$B$17)/B207)/(EXP($B$12:$B$17/B181)-1) - LN( 1 - EXP( (-1 * $B$12:$B$17)/B207 ) ) )/ 4.184</f>
        <v>3.478739992310147</v>
      </c>
      <c r="M207" s="126"/>
      <c r="N207" s="127" t="s">
        <v>30</v>
      </c>
      <c r="O207" s="47"/>
    </row>
    <row r="208" spans="1:15" x14ac:dyDescent="0.3">
      <c r="B208" s="35">
        <f t="shared" si="50"/>
        <v>900</v>
      </c>
      <c r="C208" s="100">
        <f t="shared" si="47"/>
        <v>1.2262916358253145E-25</v>
      </c>
      <c r="D208" s="107">
        <f t="shared" si="48"/>
        <v>165.49955201753977</v>
      </c>
      <c r="E208" s="100">
        <f t="shared" si="46"/>
        <v>46.250969813739609</v>
      </c>
      <c r="F208" s="100" cm="1">
        <f t="array" ref="F208">$D$2*SUM( (($B$12:$B$17)/B208)/(EXP($B$12:$B$17/B182)-1) - LN( 1 - EXP( (-1 * $B$12:$B$17)/B208 ) ) )</f>
        <v>17.07958964240861</v>
      </c>
      <c r="H208" s="35">
        <f t="shared" si="51"/>
        <v>900</v>
      </c>
      <c r="I208" s="107">
        <f t="shared" si="52"/>
        <v>39.555342260406256</v>
      </c>
      <c r="J208" s="100">
        <f t="shared" si="49"/>
        <v>11.054247087413865</v>
      </c>
      <c r="K208" s="100" cm="1">
        <f t="array" ref="K208">$D$2*SUM( (($B$12:$B$17)/B208)/(EXP($B$12:$B$17/B182)-1) - LN( 1 - EXP( (-1 * $B$12:$B$17)/B208 ) ) )/ 4.184</f>
        <v>4.0821198954131477</v>
      </c>
      <c r="M208" s="126" t="s">
        <v>31</v>
      </c>
      <c r="N208" s="128">
        <v>50.066000000000003</v>
      </c>
      <c r="O208" s="47"/>
    </row>
    <row r="209" spans="1:14" x14ac:dyDescent="0.3">
      <c r="B209" s="35">
        <f t="shared" si="50"/>
        <v>1000</v>
      </c>
      <c r="C209" s="100">
        <f t="shared" si="47"/>
        <v>1.3625462620281272E-25</v>
      </c>
      <c r="D209" s="107">
        <f t="shared" si="48"/>
        <v>167.68959466089609</v>
      </c>
      <c r="E209" s="100">
        <f t="shared" si="46"/>
        <v>47.126986871082167</v>
      </c>
      <c r="F209" s="100" cm="1">
        <f t="array" ref="F209">$D$2*SUM( (($B$12:$B$17)/B209)/(EXP($B$12:$B$17/B183)-1) - LN( 1 - EXP( (-1 * $B$12:$B$17)/B209 ) ) )</f>
        <v>19.594455994682711</v>
      </c>
      <c r="H209" s="35">
        <f t="shared" si="51"/>
        <v>1000</v>
      </c>
      <c r="I209" s="107">
        <f t="shared" si="52"/>
        <v>40.078775014554516</v>
      </c>
      <c r="J209" s="100">
        <f t="shared" si="49"/>
        <v>11.263620189073174</v>
      </c>
      <c r="K209" s="100" cm="1">
        <f t="array" ref="K209">$D$2*SUM( (($B$12:$B$17)/B209)/(EXP($B$12:$B$17/B183)-1) - LN( 1 - EXP( (-1 * $B$12:$B$17)/B209 ) ) )/ 4.184</f>
        <v>4.6831873792262693</v>
      </c>
      <c r="M209" s="126" t="s">
        <v>32</v>
      </c>
      <c r="N209" s="128">
        <v>1.377</v>
      </c>
    </row>
    <row r="210" spans="1:14" x14ac:dyDescent="0.3">
      <c r="B210" s="35">
        <f t="shared" si="50"/>
        <v>1100</v>
      </c>
      <c r="C210" s="100">
        <f t="shared" si="47"/>
        <v>1.4988008882309398E-25</v>
      </c>
      <c r="D210" s="107">
        <f t="shared" si="48"/>
        <v>169.67072921414132</v>
      </c>
      <c r="E210" s="100">
        <f t="shared" si="46"/>
        <v>47.919440692380199</v>
      </c>
      <c r="F210" s="100" cm="1">
        <f t="array" ref="F210">$D$2*SUM( (($B$12:$B$17)/B210)/(EXP($B$12:$B$17/B184)-1) - LN( 1 - EXP( (-1 * $B$12:$B$17)/B210 ) ) )</f>
        <v>22.086577759913581</v>
      </c>
      <c r="H210" s="35">
        <f t="shared" si="51"/>
        <v>1100</v>
      </c>
      <c r="I210" s="107">
        <f t="shared" si="52"/>
        <v>40.552277536840656</v>
      </c>
      <c r="J210" s="100">
        <f t="shared" si="49"/>
        <v>11.453021197987619</v>
      </c>
      <c r="K210" s="100" cm="1">
        <f t="array" ref="K210">$D$2*SUM( (($B$12:$B$17)/B210)/(EXP($B$12:$B$17/B184)-1) - LN( 1 - EXP( (-1 * $B$12:$B$17)/B210 ) ) )/ 4.184</f>
        <v>5.2788187762699765</v>
      </c>
      <c r="M210" s="126" t="s">
        <v>34</v>
      </c>
      <c r="N210" s="128">
        <v>34.067999999999998</v>
      </c>
    </row>
    <row r="211" spans="1:14" x14ac:dyDescent="0.3">
      <c r="A211" s="53"/>
      <c r="B211" s="35">
        <f t="shared" si="50"/>
        <v>1200</v>
      </c>
      <c r="C211" s="100">
        <f t="shared" si="47"/>
        <v>1.6350555144337526E-25</v>
      </c>
      <c r="D211" s="107">
        <f t="shared" si="48"/>
        <v>171.47936335829559</v>
      </c>
      <c r="E211" s="100">
        <f t="shared" si="46"/>
        <v>48.642894350041914</v>
      </c>
      <c r="F211" s="100" cm="1">
        <f t="array" ref="F211">$D$2*SUM( (($B$12:$B$17)/B211)/(EXP($B$12:$B$17/B185)-1) - LN( 1 - EXP( (-1 * $B$12:$B$17)/B211 ) ) )</f>
        <v>24.544759030495218</v>
      </c>
      <c r="H211" s="35">
        <f t="shared" si="51"/>
        <v>1200</v>
      </c>
      <c r="I211" s="107">
        <f t="shared" si="52"/>
        <v>40.984551471867967</v>
      </c>
      <c r="J211" s="100">
        <f t="shared" si="49"/>
        <v>11.625930771998545</v>
      </c>
      <c r="K211" s="100" cm="1">
        <f t="array" ref="K211">$D$2*SUM( (($B$12:$B$17)/B211)/(EXP($B$12:$B$17/B185)-1) - LN( 1 - EXP( (-1 * $B$12:$B$17)/B211 ) ) )/ 4.184</f>
        <v>5.866338200405167</v>
      </c>
      <c r="M211" s="126" t="s">
        <v>35</v>
      </c>
      <c r="N211" s="128">
        <v>13.992000000000001</v>
      </c>
    </row>
    <row r="212" spans="1:14" x14ac:dyDescent="0.3">
      <c r="B212" s="35">
        <f t="shared" si="50"/>
        <v>1300</v>
      </c>
      <c r="C212" s="100">
        <f t="shared" si="47"/>
        <v>1.7713101406365654E-25</v>
      </c>
      <c r="D212" s="107">
        <f t="shared" si="48"/>
        <v>173.14314548768513</v>
      </c>
      <c r="E212" s="100">
        <f t="shared" si="46"/>
        <v>49.308407201797714</v>
      </c>
      <c r="F212" s="100" cm="1">
        <f t="array" ref="F212">$D$2*SUM( (($B$12:$B$17)/B212)/(EXP($B$12:$B$17/B186)-1) - LN( 1 - EXP( (-1 * $B$12:$B$17)/B212 ) ) )</f>
        <v>26.95988321559123</v>
      </c>
      <c r="H212" s="35">
        <f t="shared" si="51"/>
        <v>1300</v>
      </c>
      <c r="I212" s="107">
        <f t="shared" si="52"/>
        <v>41.382204944475411</v>
      </c>
      <c r="J212" s="100">
        <f t="shared" si="49"/>
        <v>11.784992161041519</v>
      </c>
      <c r="K212" s="100" cm="1">
        <f t="array" ref="K212">$D$2*SUM( (($B$12:$B$17)/B212)/(EXP($B$12:$B$17/B186)-1) - LN( 1 - EXP( (-1 * $B$12:$B$17)/B212 ) ) )/ 4.184</f>
        <v>6.4435667341279226</v>
      </c>
      <c r="M212" s="126" t="s">
        <v>36</v>
      </c>
      <c r="N212" s="128">
        <v>0.629</v>
      </c>
    </row>
    <row r="213" spans="1:14" ht="15" thickBot="1" x14ac:dyDescent="0.35">
      <c r="B213" s="35">
        <f t="shared" si="50"/>
        <v>1400</v>
      </c>
      <c r="C213" s="100">
        <f t="shared" si="47"/>
        <v>1.907564766839378E-25</v>
      </c>
      <c r="D213" s="107">
        <f t="shared" si="48"/>
        <v>174.68356713630723</v>
      </c>
      <c r="E213" s="100">
        <f t="shared" si="46"/>
        <v>49.924575861246616</v>
      </c>
      <c r="F213" s="100" cm="1">
        <f t="array" ref="F213">$D$2*SUM( (($B$12:$B$17)/B213)/(EXP($B$12:$B$17/B187)-1) - LN( 1 - EXP( (-1 * $B$12:$B$17)/B213 ) ) )</f>
        <v>29.324973569696375</v>
      </c>
      <c r="H213" s="35">
        <f t="shared" si="51"/>
        <v>1400</v>
      </c>
      <c r="I213" s="107">
        <f t="shared" si="52"/>
        <v>41.75037455456674</v>
      </c>
      <c r="J213" s="100">
        <f t="shared" si="49"/>
        <v>11.932260005078062</v>
      </c>
      <c r="K213" s="100" cm="1">
        <f t="array" ref="K213">$D$2*SUM( (($B$12:$B$17)/B213)/(EXP($B$12:$B$17/B187)-1) - LN( 1 - EXP( (-1 * $B$12:$B$17)/B213 ) ) )/ 4.184</f>
        <v>7.0088368952429194</v>
      </c>
      <c r="M213" s="131" t="s">
        <v>104</v>
      </c>
      <c r="N213" s="129">
        <v>0.59499999999999997</v>
      </c>
    </row>
    <row r="214" spans="1:14" ht="15" thickBot="1" x14ac:dyDescent="0.35">
      <c r="B214" s="35">
        <f t="shared" si="50"/>
        <v>1500</v>
      </c>
      <c r="C214" s="100">
        <f t="shared" si="47"/>
        <v>2.0438193930421908E-25</v>
      </c>
      <c r="D214" s="107">
        <f t="shared" si="48"/>
        <v>176.11766538175192</v>
      </c>
      <c r="E214" s="100">
        <f t="shared" si="46"/>
        <v>50.498215159424475</v>
      </c>
      <c r="F214" s="100" cm="1">
        <f t="array" ref="F214">$D$2*SUM( (($B$12:$B$17)/B214)/(EXP($B$12:$B$17/B188)-1) - LN( 1 - EXP( (-1 * $B$12:$B$17)/B214 ) ) )</f>
        <v>31.635054335711221</v>
      </c>
      <c r="H214" s="35">
        <f t="shared" si="51"/>
        <v>1500</v>
      </c>
      <c r="I214" s="107">
        <f t="shared" si="52"/>
        <v>42.093132261412983</v>
      </c>
      <c r="J214" s="100">
        <f t="shared" si="49"/>
        <v>12.069363087816557</v>
      </c>
      <c r="K214" s="100" cm="1">
        <f t="array" ref="K214">$D$2*SUM( (($B$12:$B$17)/B214)/(EXP($B$12:$B$17/B188)-1) - LN( 1 - EXP( (-1 * $B$12:$B$17)/B214 ) ) )/ 4.184</f>
        <v>7.5609594492617633</v>
      </c>
    </row>
    <row r="215" spans="1:14" ht="15" thickBot="1" x14ac:dyDescent="0.35">
      <c r="B215" s="35">
        <f t="shared" si="50"/>
        <v>1600</v>
      </c>
      <c r="C215" s="100">
        <f t="shared" si="47"/>
        <v>2.1800740192450038E-25</v>
      </c>
      <c r="D215" s="107">
        <f t="shared" si="48"/>
        <v>177.45917469905129</v>
      </c>
      <c r="E215" s="100">
        <f t="shared" si="46"/>
        <v>51.034818886344219</v>
      </c>
      <c r="F215" s="100" cm="1">
        <f t="array" ref="F215">$D$2*SUM( (($B$12:$B$17)/B215)/(EXP($B$12:$B$17/B189)-1) - LN( 1 - EXP( (-1 * $B$12:$B$17)/B215 ) ) )</f>
        <v>33.886888361404331</v>
      </c>
      <c r="H215" s="35">
        <f t="shared" si="51"/>
        <v>1600</v>
      </c>
      <c r="I215" s="107">
        <f t="shared" si="52"/>
        <v>42.413760683329656</v>
      </c>
      <c r="J215" s="100">
        <f t="shared" si="49"/>
        <v>12.197614456583226</v>
      </c>
      <c r="K215" s="100" cm="1">
        <f t="array" ref="K215">$D$2*SUM( (($B$12:$B$17)/B215)/(EXP($B$12:$B$17/B189)-1) - LN( 1 - EXP( (-1 * $B$12:$B$17)/B215 ) ) )/ 4.184</f>
        <v>8.0991606982323923</v>
      </c>
      <c r="M215" s="30" t="s">
        <v>90</v>
      </c>
      <c r="N215" s="150">
        <f>SUM(I202:L202)</f>
        <v>44.930737232391735</v>
      </c>
    </row>
    <row r="216" spans="1:14" x14ac:dyDescent="0.3">
      <c r="B216" s="35">
        <f t="shared" si="50"/>
        <v>1700</v>
      </c>
      <c r="C216" s="100">
        <f t="shared" si="47"/>
        <v>2.3163286454478159E-25</v>
      </c>
      <c r="D216" s="107">
        <f t="shared" si="48"/>
        <v>178.71932900055961</v>
      </c>
      <c r="E216" s="100">
        <f t="shared" si="46"/>
        <v>51.538880606947551</v>
      </c>
      <c r="F216" s="100" cm="1">
        <f t="array" ref="F216">$D$2*SUM( (($B$12:$B$17)/B216)/(EXP($B$12:$B$17/B190)-1) - LN( 1 - EXP( (-1 * $B$12:$B$17)/B216 ) ) )</f>
        <v>36.078670116617303</v>
      </c>
      <c r="H216" s="35">
        <f t="shared" si="51"/>
        <v>1700</v>
      </c>
      <c r="I216" s="107">
        <f t="shared" si="52"/>
        <v>42.714944789808698</v>
      </c>
      <c r="J216" s="100">
        <f t="shared" si="49"/>
        <v>12.318088099174844</v>
      </c>
      <c r="K216" s="100" cm="1">
        <f t="array" ref="K216">$D$2*SUM( (($B$12:$B$17)/B216)/(EXP($B$12:$B$17/B190)-1) - LN( 1 - EXP( (-1 * $B$12:$B$17)/B216 ) ) )/ 4.184</f>
        <v>8.6230091100901767</v>
      </c>
    </row>
    <row r="217" spans="1:14" x14ac:dyDescent="0.3">
      <c r="B217" s="35">
        <f t="shared" si="50"/>
        <v>1800</v>
      </c>
      <c r="C217" s="100">
        <f t="shared" si="47"/>
        <v>2.4525832716506289E-25</v>
      </c>
      <c r="D217" s="107">
        <f t="shared" si="48"/>
        <v>179.9074340791513</v>
      </c>
      <c r="E217" s="100">
        <f t="shared" si="46"/>
        <v>52.014122638384222</v>
      </c>
      <c r="F217" s="100" cm="1">
        <f t="array" ref="F217">$D$2*SUM( (($B$12:$B$17)/B217)/(EXP($B$12:$B$17/B191)-1) - LN( 1 - EXP( (-1 * $B$12:$B$17)/B217 ) ) )</f>
        <v>38.209725830718767</v>
      </c>
      <c r="H217" s="35">
        <f t="shared" si="51"/>
        <v>1800</v>
      </c>
      <c r="I217" s="107">
        <f t="shared" si="52"/>
        <v>42.998908718726412</v>
      </c>
      <c r="J217" s="100">
        <f t="shared" si="49"/>
        <v>12.431673670741926</v>
      </c>
      <c r="K217" s="100" cm="1">
        <f t="array" ref="K217">$D$2*SUM( (($B$12:$B$17)/B217)/(EXP($B$12:$B$17/B191)-1) - LN( 1 - EXP( (-1 * $B$12:$B$17)/B217 ) ) )/ 4.184</f>
        <v>9.1323436497893802</v>
      </c>
    </row>
    <row r="218" spans="1:14" x14ac:dyDescent="0.3">
      <c r="B218" s="35">
        <f t="shared" si="50"/>
        <v>1900</v>
      </c>
      <c r="C218" s="100">
        <f t="shared" si="47"/>
        <v>2.5888378978534419E-25</v>
      </c>
      <c r="D218" s="107">
        <f t="shared" si="48"/>
        <v>181.03128507257512</v>
      </c>
      <c r="E218" s="100">
        <f t="shared" si="46"/>
        <v>52.463663035753733</v>
      </c>
      <c r="F218" s="100" cm="1">
        <f t="array" ref="F218">$D$2*SUM( (($B$12:$B$17)/B218)/(EXP($B$12:$B$17/B192)-1) - LN( 1 - EXP( (-1 * $B$12:$B$17)/B218 ) ) )</f>
        <v>40.280247056032884</v>
      </c>
      <c r="H218" s="35">
        <f t="shared" si="51"/>
        <v>1900</v>
      </c>
      <c r="I218" s="107">
        <f t="shared" si="52"/>
        <v>43.267515552718713</v>
      </c>
      <c r="J218" s="100">
        <f t="shared" si="49"/>
        <v>12.539116404338845</v>
      </c>
      <c r="K218" s="100" cm="1">
        <f t="array" ref="K218">$D$2*SUM( (($B$12:$B$17)/B218)/(EXP($B$12:$B$17/B192)-1) - LN( 1 - EXP( (-1 * $B$12:$B$17)/B218 ) ) )/ 4.184</f>
        <v>9.6272100994342455</v>
      </c>
    </row>
    <row r="219" spans="1:14" x14ac:dyDescent="0.3">
      <c r="B219" s="35">
        <f t="shared" si="50"/>
        <v>2000</v>
      </c>
      <c r="C219" s="100">
        <f t="shared" si="47"/>
        <v>2.7250925240562545E-25</v>
      </c>
      <c r="D219" s="107">
        <f t="shared" si="48"/>
        <v>182.09747672250765</v>
      </c>
      <c r="E219" s="100">
        <f t="shared" si="46"/>
        <v>52.890139695726774</v>
      </c>
      <c r="F219" s="100" cm="1">
        <f t="array" ref="F219">$D$2*SUM( (($B$12:$B$17)/B219)/(EXP($B$12:$B$17/B193)-1) - LN( 1 - EXP( (-1 * $B$12:$B$17)/B219 ) ) )</f>
        <v>42.29106708913956</v>
      </c>
      <c r="H219" s="35">
        <f t="shared" si="51"/>
        <v>2000</v>
      </c>
      <c r="I219" s="107">
        <f t="shared" si="52"/>
        <v>43.522341472874679</v>
      </c>
      <c r="J219" s="100">
        <f t="shared" si="49"/>
        <v>12.641046772401236</v>
      </c>
      <c r="K219" s="100" cm="1">
        <f t="array" ref="K219">$D$2*SUM( (($B$12:$B$17)/B219)/(EXP($B$12:$B$17/B193)-1) - LN( 1 - EXP( (-1 * $B$12:$B$17)/B219 ) ) )/ 4.184</f>
        <v>10.107807621687275</v>
      </c>
    </row>
    <row r="220" spans="1:14" ht="15" thickBot="1" x14ac:dyDescent="0.35">
      <c r="B220" s="26">
        <f t="shared" si="50"/>
        <v>2100</v>
      </c>
      <c r="C220" s="101">
        <f t="shared" si="47"/>
        <v>2.8613471502590675E-25</v>
      </c>
      <c r="D220" s="111">
        <f t="shared" si="48"/>
        <v>183.11163785716309</v>
      </c>
      <c r="E220" s="101">
        <f t="shared" si="46"/>
        <v>53.295804149588925</v>
      </c>
      <c r="F220" s="101" cm="1">
        <f t="array" ref="F220">$D$2*SUM( (($B$12:$B$17)/B220)/(EXP($B$12:$B$17/B194)-1) - LN( 1 - EXP( (-1 * $B$12:$B$17)/B220 ) ) )</f>
        <v>44.243480277605286</v>
      </c>
      <c r="G220" s="53"/>
      <c r="H220" s="26">
        <f t="shared" si="51"/>
        <v>2100</v>
      </c>
      <c r="I220" s="107">
        <f t="shared" si="52"/>
        <v>43.764731801425214</v>
      </c>
      <c r="J220" s="101">
        <f t="shared" si="49"/>
        <v>12.738002903821444</v>
      </c>
      <c r="K220" s="100" cm="1">
        <f t="array" ref="K220">$D$2*SUM( (($B$12:$B$17)/B220)/(EXP($B$12:$B$17/B194)-1) - LN( 1 - EXP( (-1 * $B$12:$B$17)/B220 ) ) )/ 4.184</f>
        <v>10.574445573041416</v>
      </c>
      <c r="L220" s="53"/>
    </row>
    <row r="224" spans="1:14" ht="15" thickBot="1" x14ac:dyDescent="0.35">
      <c r="A224" s="5" t="s">
        <v>98</v>
      </c>
      <c r="B224" s="170" t="s">
        <v>99</v>
      </c>
      <c r="C224" s="170"/>
      <c r="D224" s="170"/>
      <c r="E224" s="170"/>
      <c r="F224" s="170"/>
      <c r="H224" s="170" t="s">
        <v>100</v>
      </c>
      <c r="I224" s="170"/>
      <c r="J224" s="170"/>
      <c r="K224" s="170"/>
      <c r="L224" s="170"/>
    </row>
    <row r="225" spans="1:15" ht="18" x14ac:dyDescent="0.3">
      <c r="A225" s="5" t="s">
        <v>95</v>
      </c>
      <c r="B225" s="89" t="s">
        <v>45</v>
      </c>
      <c r="C225" s="16" t="s">
        <v>85</v>
      </c>
      <c r="D225" s="16" t="s">
        <v>35</v>
      </c>
      <c r="E225" s="16" t="s">
        <v>36</v>
      </c>
      <c r="F225" s="16" t="s">
        <v>86</v>
      </c>
      <c r="H225" s="89" t="s">
        <v>45</v>
      </c>
      <c r="I225" s="16" t="s">
        <v>85</v>
      </c>
      <c r="J225" s="16" t="s">
        <v>35</v>
      </c>
      <c r="K225" s="16" t="s">
        <v>36</v>
      </c>
      <c r="L225" s="16" t="s">
        <v>86</v>
      </c>
    </row>
    <row r="226" spans="1:15" ht="15" thickBot="1" x14ac:dyDescent="0.35">
      <c r="B226" s="35">
        <f>298.15</f>
        <v>298.14999999999998</v>
      </c>
      <c r="C226" s="100">
        <f>3/2*$D$2</f>
        <v>12.471708</v>
      </c>
      <c r="D226" s="100">
        <f>3/2*$D$2</f>
        <v>12.471708</v>
      </c>
      <c r="E226" s="100" cm="1">
        <f t="array" ref="E226">$D$2*SUM( ( ($B$12:$B$17) * ($B$12:$B$17)* EXP($B$12:$B$17/B226) ) / ( B226*B226* ( EXP(( $B$12:$B$17)/B226 )  -1)^2 ) )</f>
        <v>5.8333606431553813</v>
      </c>
      <c r="F226" s="101">
        <v>0</v>
      </c>
      <c r="H226" s="35">
        <f>298.15</f>
        <v>298.14999999999998</v>
      </c>
      <c r="I226" s="102">
        <f>3/2*$D$2 / 4.184</f>
        <v>2.9808097514340344</v>
      </c>
      <c r="J226" s="102">
        <f>3/2*$D$2 / 4.184</f>
        <v>2.9808097514340344</v>
      </c>
      <c r="K226" s="133" cm="1">
        <f t="array" ref="K226">$D$2*SUM( ( ($B$12:$B$17) * ($B$12:$B$17)* EXP($B$12:$B$17/B226) ) / ( B226*B226* ( EXP(( $B$12:$B$17)/B226 )  -1)^2 ) )/ 4.184</f>
        <v>1.3942066546738483</v>
      </c>
      <c r="L226" s="109">
        <v>0</v>
      </c>
    </row>
    <row r="227" spans="1:15" x14ac:dyDescent="0.3">
      <c r="B227" s="35">
        <f>300+100</f>
        <v>400</v>
      </c>
      <c r="C227" s="100">
        <f t="shared" ref="C227:D244" si="53">3/2*$D$2</f>
        <v>12.471708</v>
      </c>
      <c r="D227" s="100">
        <f t="shared" si="53"/>
        <v>12.471708</v>
      </c>
      <c r="E227" s="100" cm="1">
        <f t="array" ref="E227">$D$2*SUM( ( ($B$12:$B$17) * ($B$12:$B$17)* EXP($B$12:$B$17/B227) ) / ( B227*B227* ( EXP(( $B$12:$B$17)/B227 )  -1)^2 ) )</f>
        <v>8.9490337162825533</v>
      </c>
      <c r="H227" s="35">
        <f>300+100</f>
        <v>400</v>
      </c>
      <c r="I227" s="100">
        <f t="shared" ref="I227:J244" si="54">3/2*$D$2 / 4.184</f>
        <v>2.9808097514340344</v>
      </c>
      <c r="J227" s="100">
        <f t="shared" si="54"/>
        <v>2.9808097514340344</v>
      </c>
      <c r="K227" s="100" cm="1">
        <f t="array" ref="K227">$D$2*SUM( ( ($B$12:$B$17) * ($B$12:$B$17)* EXP($B$12:$B$17/B227) ) / ( B227*B227* ( EXP(( $B$12:$B$17)/B227 )  -1)^2 ) )/ 4.184</f>
        <v>2.1388703910809159</v>
      </c>
    </row>
    <row r="228" spans="1:15" ht="18.600000000000001" thickBot="1" x14ac:dyDescent="0.35">
      <c r="B228" s="35">
        <f t="shared" ref="B228:B244" si="55">B227+100</f>
        <v>500</v>
      </c>
      <c r="C228" s="100">
        <f t="shared" si="53"/>
        <v>12.471708</v>
      </c>
      <c r="D228" s="100">
        <f t="shared" si="53"/>
        <v>12.471708</v>
      </c>
      <c r="E228" s="100" cm="1">
        <f t="array" ref="E228">$D$2*SUM( ( ($B$12:$B$17) * ($B$12:$B$17)* EXP($B$12:$B$17/B228) ) / ( B228*B228* ( EXP(( $B$12:$B$17)/B228 )  -1)^2 ) )</f>
        <v>11.968161421931852</v>
      </c>
      <c r="H228" s="35">
        <f t="shared" ref="H228:H244" si="56">H227+100</f>
        <v>500</v>
      </c>
      <c r="I228" s="100">
        <f t="shared" si="54"/>
        <v>2.9808097514340344</v>
      </c>
      <c r="J228" s="100">
        <f t="shared" si="54"/>
        <v>2.9808097514340344</v>
      </c>
      <c r="K228" s="100" cm="1">
        <f t="array" ref="K228">$D$2*SUM( ( ($B$12:$B$17) * ($B$12:$B$17)* EXP($B$12:$B$17/B228) ) / ( B228*B228* ( EXP(( $B$12:$B$17)/B228 )  -1)^2 ) )/ 4.184</f>
        <v>2.860459230863253</v>
      </c>
      <c r="M228" s="176" t="s">
        <v>89</v>
      </c>
      <c r="N228" s="176"/>
    </row>
    <row r="229" spans="1:15" x14ac:dyDescent="0.3">
      <c r="B229" s="35">
        <f t="shared" si="55"/>
        <v>600</v>
      </c>
      <c r="C229" s="100">
        <f t="shared" si="53"/>
        <v>12.471708</v>
      </c>
      <c r="D229" s="100">
        <f t="shared" si="53"/>
        <v>12.471708</v>
      </c>
      <c r="E229" s="100" cm="1">
        <f t="array" ref="E229">$D$2*SUM( ( ($B$12:$B$17) * ($B$12:$B$17)* EXP($B$12:$B$17/B229) ) / ( B229*B229* ( EXP(( $B$12:$B$17)/B229 )  -1)^2 ) )</f>
        <v>14.837842041277824</v>
      </c>
      <c r="H229" s="35">
        <f t="shared" si="56"/>
        <v>600</v>
      </c>
      <c r="I229" s="100">
        <f t="shared" si="54"/>
        <v>2.9808097514340344</v>
      </c>
      <c r="J229" s="100">
        <f t="shared" si="54"/>
        <v>2.9808097514340344</v>
      </c>
      <c r="K229" s="100" cm="1">
        <f t="array" ref="K229">$D$2*SUM( ( ($B$12:$B$17) * ($B$12:$B$17)* EXP($B$12:$B$17/B229) ) / ( B229*B229* ( EXP(( $B$12:$B$17)/B229 )  -1)^2 ) )/ 4.184</f>
        <v>3.5463293597700343</v>
      </c>
      <c r="M229" s="124"/>
      <c r="N229" s="125" t="s">
        <v>27</v>
      </c>
      <c r="O229" s="78"/>
    </row>
    <row r="230" spans="1:15" x14ac:dyDescent="0.3">
      <c r="B230" s="35">
        <f t="shared" si="55"/>
        <v>700</v>
      </c>
      <c r="C230" s="100">
        <f t="shared" si="53"/>
        <v>12.471708</v>
      </c>
      <c r="D230" s="100">
        <f t="shared" si="53"/>
        <v>12.471708</v>
      </c>
      <c r="E230" s="100" cm="1">
        <f t="array" ref="E230">$D$2*SUM( ( ($B$12:$B$17) * ($B$12:$B$17)* EXP($B$12:$B$17/B230) ) / ( B230*B230* ( EXP(( $B$12:$B$17)/B230 )  -1)^2 ) )</f>
        <v>17.573524942797302</v>
      </c>
      <c r="H230" s="35">
        <f t="shared" si="56"/>
        <v>700</v>
      </c>
      <c r="I230" s="100">
        <f t="shared" si="54"/>
        <v>2.9808097514340344</v>
      </c>
      <c r="J230" s="100">
        <f t="shared" si="54"/>
        <v>2.9808097514340344</v>
      </c>
      <c r="K230" s="100" cm="1">
        <f t="array" ref="K230">$D$2*SUM( ( ($B$12:$B$17) * ($B$12:$B$17)* EXP($B$12:$B$17/B230) ) / ( B230*B230* ( EXP(( $B$12:$B$17)/B230 )  -1)^2 ) )/ 4.184</f>
        <v>4.200173265486927</v>
      </c>
      <c r="M230" s="126"/>
      <c r="N230" s="127" t="s">
        <v>30</v>
      </c>
      <c r="O230" s="78"/>
    </row>
    <row r="231" spans="1:15" x14ac:dyDescent="0.3">
      <c r="B231" s="35">
        <f t="shared" si="55"/>
        <v>800</v>
      </c>
      <c r="C231" s="100">
        <f t="shared" si="53"/>
        <v>12.471708</v>
      </c>
      <c r="D231" s="100">
        <f t="shared" si="53"/>
        <v>12.471708</v>
      </c>
      <c r="E231" s="100" cm="1">
        <f t="array" ref="E231">$D$2*SUM( ( ($B$12:$B$17) * ($B$12:$B$17)* EXP($B$12:$B$17/B231) ) / ( B231*B231* ( EXP(( $B$12:$B$17)/B231 )  -1)^2 ) )</f>
        <v>20.196486299754081</v>
      </c>
      <c r="H231" s="35">
        <f t="shared" si="56"/>
        <v>800</v>
      </c>
      <c r="I231" s="100">
        <f t="shared" si="54"/>
        <v>2.9808097514340344</v>
      </c>
      <c r="J231" s="100">
        <f t="shared" si="54"/>
        <v>2.9808097514340344</v>
      </c>
      <c r="K231" s="100" cm="1">
        <f t="array" ref="K231">$D$2*SUM( ( ($B$12:$B$17) * ($B$12:$B$17)* EXP($B$12:$B$17/B231) ) / ( B231*B231* ( EXP(( $B$12:$B$17)/B231 )  -1)^2 ) )/ 4.184</f>
        <v>4.8270760754670361</v>
      </c>
      <c r="M231" s="126" t="s">
        <v>31</v>
      </c>
      <c r="N231" s="128">
        <v>6.4619999999999997</v>
      </c>
      <c r="O231" s="47"/>
    </row>
    <row r="232" spans="1:15" x14ac:dyDescent="0.3">
      <c r="B232" s="35">
        <f t="shared" si="55"/>
        <v>900</v>
      </c>
      <c r="C232" s="100">
        <f t="shared" si="53"/>
        <v>12.471708</v>
      </c>
      <c r="D232" s="100">
        <f t="shared" si="53"/>
        <v>12.471708</v>
      </c>
      <c r="E232" s="100" cm="1">
        <f t="array" ref="E232">$D$2*SUM( ( ($B$12:$B$17) * ($B$12:$B$17)* EXP($B$12:$B$17/B232) ) / ( B232*B232* ( EXP(( $B$12:$B$17)/B232 )  -1)^2 ) )</f>
        <v>22.698276054321163</v>
      </c>
      <c r="H232" s="35">
        <f t="shared" si="56"/>
        <v>900</v>
      </c>
      <c r="I232" s="100">
        <f t="shared" si="54"/>
        <v>2.9808097514340344</v>
      </c>
      <c r="J232" s="100">
        <f t="shared" si="54"/>
        <v>2.9808097514340344</v>
      </c>
      <c r="K232" s="100" cm="1">
        <f t="array" ref="K232">$D$2*SUM( ( ($B$12:$B$17) * ($B$12:$B$17)* EXP($B$12:$B$17/B232) ) / ( B232*B232* ( EXP(( $B$12:$B$17)/B232 )  -1)^2 ) )/ 4.184</f>
        <v>5.425018177419016</v>
      </c>
      <c r="M232" s="126" t="s">
        <v>32</v>
      </c>
      <c r="N232" s="128" t="s">
        <v>33</v>
      </c>
      <c r="O232" s="47"/>
    </row>
    <row r="233" spans="1:15" x14ac:dyDescent="0.3">
      <c r="B233" s="35">
        <f t="shared" si="55"/>
        <v>1000</v>
      </c>
      <c r="C233" s="100">
        <f t="shared" si="53"/>
        <v>12.471708</v>
      </c>
      <c r="D233" s="100">
        <f t="shared" si="53"/>
        <v>12.471708</v>
      </c>
      <c r="E233" s="100" cm="1">
        <f t="array" ref="E233">$D$2*SUM( ( ($B$12:$B$17) * ($B$12:$B$17)* EXP($B$12:$B$17/B233) ) / ( B233*B233* ( EXP(( $B$12:$B$17)/B233 )  -1)^2 ) )</f>
        <v>25.055231663577871</v>
      </c>
      <c r="H233" s="35">
        <f t="shared" si="56"/>
        <v>1000</v>
      </c>
      <c r="I233" s="100">
        <f t="shared" si="54"/>
        <v>2.9808097514340344</v>
      </c>
      <c r="J233" s="100">
        <f t="shared" si="54"/>
        <v>2.9808097514340344</v>
      </c>
      <c r="K233" s="100" cm="1">
        <f t="array" ref="K233">$D$2*SUM( ( ($B$12:$B$17) * ($B$12:$B$17)* EXP($B$12:$B$17/B233) ) / ( B233*B233* ( EXP(( $B$12:$B$17)/B233 )  -1)^2 ) )/ 4.184</f>
        <v>5.9883440878532195</v>
      </c>
      <c r="M233" s="126" t="s">
        <v>34</v>
      </c>
      <c r="N233" s="128">
        <v>2.9809999999999999</v>
      </c>
      <c r="O233" s="47"/>
    </row>
    <row r="234" spans="1:15" x14ac:dyDescent="0.3">
      <c r="B234" s="35">
        <f t="shared" si="55"/>
        <v>1100</v>
      </c>
      <c r="C234" s="100">
        <f t="shared" si="53"/>
        <v>12.471708</v>
      </c>
      <c r="D234" s="100">
        <f t="shared" si="53"/>
        <v>12.471708</v>
      </c>
      <c r="E234" s="100" cm="1">
        <f t="array" ref="E234">$D$2*SUM( ( ($B$12:$B$17) * ($B$12:$B$17)* EXP($B$12:$B$17/B234) ) / ( B234*B234* ( EXP(( $B$12:$B$17)/B234 )  -1)^2 ) )</f>
        <v>27.24534957543602</v>
      </c>
      <c r="H234" s="35">
        <f t="shared" si="56"/>
        <v>1100</v>
      </c>
      <c r="I234" s="100">
        <f t="shared" si="54"/>
        <v>2.9808097514340344</v>
      </c>
      <c r="J234" s="100">
        <f t="shared" si="54"/>
        <v>2.9808097514340344</v>
      </c>
      <c r="K234" s="100" cm="1">
        <f t="array" ref="K234">$D$2*SUM( ( ($B$12:$B$17) * ($B$12:$B$17)* EXP($B$12:$B$17/B234) ) / ( B234*B234* ( EXP(( $B$12:$B$17)/B234 )  -1)^2 ) )/ 4.184</f>
        <v>6.511794831605167</v>
      </c>
      <c r="M234" s="126" t="s">
        <v>35</v>
      </c>
      <c r="N234" s="128">
        <v>2.9809999999999999</v>
      </c>
      <c r="O234" s="47"/>
    </row>
    <row r="235" spans="1:15" ht="15" thickBot="1" x14ac:dyDescent="0.35">
      <c r="B235" s="35">
        <f t="shared" si="55"/>
        <v>1200</v>
      </c>
      <c r="C235" s="100">
        <f t="shared" si="53"/>
        <v>12.471708</v>
      </c>
      <c r="D235" s="100">
        <f t="shared" si="53"/>
        <v>12.471708</v>
      </c>
      <c r="E235" s="100" cm="1">
        <f t="array" ref="E235">$D$2*SUM( ( ($B$12:$B$17) * ($B$12:$B$17)* EXP($B$12:$B$17/B235) ) / ( B235*B235* ( EXP(( $B$12:$B$17)/B235 )  -1)^2 ) )</f>
        <v>29.25590562699594</v>
      </c>
      <c r="H235" s="35">
        <f t="shared" si="56"/>
        <v>1200</v>
      </c>
      <c r="I235" s="100">
        <f t="shared" si="54"/>
        <v>2.9808097514340344</v>
      </c>
      <c r="J235" s="100">
        <f t="shared" si="54"/>
        <v>2.9808097514340344</v>
      </c>
      <c r="K235" s="100" cm="1">
        <f t="array" ref="K235">$D$2*SUM( ( ($B$12:$B$17) * ($B$12:$B$17)* EXP($B$12:$B$17/B235) ) / ( B235*B235* ( EXP(( $B$12:$B$17)/B235 )  -1)^2 ) )/ 4.184</f>
        <v>6.9923292607542873</v>
      </c>
      <c r="M235" s="131" t="s">
        <v>36</v>
      </c>
      <c r="N235" s="129">
        <v>0.5</v>
      </c>
      <c r="O235" s="47"/>
    </row>
    <row r="236" spans="1:15" x14ac:dyDescent="0.3">
      <c r="B236" s="35">
        <f t="shared" si="55"/>
        <v>1300</v>
      </c>
      <c r="C236" s="100">
        <f t="shared" si="53"/>
        <v>12.471708</v>
      </c>
      <c r="D236" s="100">
        <f t="shared" si="53"/>
        <v>12.471708</v>
      </c>
      <c r="E236" s="100" cm="1">
        <f t="array" ref="E236">$D$2*SUM( ( ($B$12:$B$17) * ($B$12:$B$17)* EXP($B$12:$B$17/B236) ) / ( B236*B236* ( EXP(( $B$12:$B$17)/B236 )  -1)^2 ) )</f>
        <v>31.084247736330163</v>
      </c>
      <c r="H236" s="35">
        <f t="shared" si="56"/>
        <v>1300</v>
      </c>
      <c r="I236" s="100">
        <f t="shared" si="54"/>
        <v>2.9808097514340344</v>
      </c>
      <c r="J236" s="100">
        <f t="shared" si="54"/>
        <v>2.9808097514340344</v>
      </c>
      <c r="K236" s="100" cm="1">
        <f t="array" ref="K236">$D$2*SUM( ( ($B$12:$B$17) * ($B$12:$B$17)* EXP($B$12:$B$17/B236) ) / ( B236*B236* ( EXP(( $B$12:$B$17)/B236 )  -1)^2 ) )/ 4.184</f>
        <v>7.4293135125072087</v>
      </c>
      <c r="N236" s="47"/>
      <c r="O236" s="47"/>
    </row>
    <row r="237" spans="1:15" x14ac:dyDescent="0.3">
      <c r="B237" s="35">
        <f t="shared" si="55"/>
        <v>1400</v>
      </c>
      <c r="C237" s="100">
        <f t="shared" si="53"/>
        <v>12.471708</v>
      </c>
      <c r="D237" s="100">
        <f t="shared" si="53"/>
        <v>12.471708</v>
      </c>
      <c r="E237" s="100" cm="1">
        <f t="array" ref="E237">$D$2*SUM( ( ($B$12:$B$17) * ($B$12:$B$17)* EXP($B$12:$B$17/B237) ) / ( B237*B237* ( EXP(( $B$12:$B$17)/B237 )  -1)^2 ) )</f>
        <v>32.735640062108494</v>
      </c>
      <c r="H237" s="35">
        <f t="shared" si="56"/>
        <v>1400</v>
      </c>
      <c r="I237" s="100">
        <f t="shared" si="54"/>
        <v>2.9808097514340344</v>
      </c>
      <c r="J237" s="100">
        <f t="shared" si="54"/>
        <v>2.9808097514340344</v>
      </c>
      <c r="K237" s="100" cm="1">
        <f t="array" ref="K237">$D$2*SUM( ( ($B$12:$B$17) * ($B$12:$B$17)* EXP($B$12:$B$17/B237) ) / ( B237*B237* ( EXP(( $B$12:$B$17)/B237 )  -1)^2 ) )/ 4.184</f>
        <v>7.8240057509819536</v>
      </c>
    </row>
    <row r="238" spans="1:15" ht="15" thickBot="1" x14ac:dyDescent="0.35">
      <c r="B238" s="35">
        <f t="shared" si="55"/>
        <v>1500</v>
      </c>
      <c r="C238" s="100">
        <f t="shared" si="53"/>
        <v>12.471708</v>
      </c>
      <c r="D238" s="100">
        <f t="shared" si="53"/>
        <v>12.471708</v>
      </c>
      <c r="E238" s="100" cm="1">
        <f t="array" ref="E238">$D$2*SUM( ( ($B$12:$B$17) * ($B$12:$B$17)* EXP($B$12:$B$17/B238) ) / ( B238*B238* ( EXP(( $B$12:$B$17)/B238 )  -1)^2 ) )</f>
        <v>34.220508592608894</v>
      </c>
      <c r="H238" s="35">
        <f t="shared" si="56"/>
        <v>1500</v>
      </c>
      <c r="I238" s="100">
        <f t="shared" si="54"/>
        <v>2.9808097514340344</v>
      </c>
      <c r="J238" s="100">
        <f t="shared" si="54"/>
        <v>2.9808097514340344</v>
      </c>
      <c r="K238" s="100" cm="1">
        <f t="array" ref="K238">$D$2*SUM( ( ($B$12:$B$17) * ($B$12:$B$17)* EXP($B$12:$B$17/B238) ) / ( B238*B238* ( EXP(( $B$12:$B$17)/B238 )  -1)^2 ) )/ 4.184</f>
        <v>8.1788978471818581</v>
      </c>
    </row>
    <row r="239" spans="1:15" ht="15" thickBot="1" x14ac:dyDescent="0.35">
      <c r="B239" s="35">
        <f t="shared" si="55"/>
        <v>1600</v>
      </c>
      <c r="C239" s="100">
        <f t="shared" si="53"/>
        <v>12.471708</v>
      </c>
      <c r="D239" s="100">
        <f t="shared" si="53"/>
        <v>12.471708</v>
      </c>
      <c r="E239" s="100" cm="1">
        <f t="array" ref="E239">$D$2*SUM( ( ($B$12:$B$17) * ($B$12:$B$17)* EXP($B$12:$B$17/B239) ) / ( B239*B239* ( EXP(( $B$12:$B$17)/B239 )  -1)^2 ) )</f>
        <v>35.552079147413338</v>
      </c>
      <c r="H239" s="35">
        <f t="shared" si="56"/>
        <v>1600</v>
      </c>
      <c r="I239" s="100">
        <f t="shared" si="54"/>
        <v>2.9808097514340344</v>
      </c>
      <c r="J239" s="100">
        <f t="shared" si="54"/>
        <v>2.9808097514340344</v>
      </c>
      <c r="K239" s="100" cm="1">
        <f t="array" ref="K239">$D$2*SUM( ( ($B$12:$B$17) * ($B$12:$B$17)* EXP($B$12:$B$17/B239) ) / ( B239*B239* ( EXP(( $B$12:$B$17)/B239 )  -1)^2 ) )/ 4.184</f>
        <v>8.4971508478521365</v>
      </c>
      <c r="M239" s="30" t="s">
        <v>90</v>
      </c>
      <c r="N239" s="151">
        <f>SUM(I226:L226)</f>
        <v>7.3558261575419168</v>
      </c>
    </row>
    <row r="240" spans="1:15" x14ac:dyDescent="0.3">
      <c r="B240" s="35">
        <f t="shared" si="55"/>
        <v>1700</v>
      </c>
      <c r="C240" s="100">
        <f t="shared" si="53"/>
        <v>12.471708</v>
      </c>
      <c r="D240" s="100">
        <f t="shared" si="53"/>
        <v>12.471708</v>
      </c>
      <c r="E240" s="100" cm="1">
        <f t="array" ref="E240">$D$2*SUM( ( ($B$12:$B$17) * ($B$12:$B$17)* EXP($B$12:$B$17/B240) ) / ( B240*B240* ( EXP(( $B$12:$B$17)/B240 )  -1)^2 ) )</f>
        <v>36.744662387204002</v>
      </c>
      <c r="H240" s="35">
        <f t="shared" si="56"/>
        <v>1700</v>
      </c>
      <c r="I240" s="100">
        <f t="shared" si="54"/>
        <v>2.9808097514340344</v>
      </c>
      <c r="J240" s="100">
        <f t="shared" si="54"/>
        <v>2.9808097514340344</v>
      </c>
      <c r="K240" s="100" cm="1">
        <f t="array" ref="K240">$D$2*SUM( ( ($B$12:$B$17) * ($B$12:$B$17)* EXP($B$12:$B$17/B240) ) / ( B240*B240* ( EXP(( $B$12:$B$17)/B240 )  -1)^2 ) )/ 4.184</f>
        <v>8.782185082983748</v>
      </c>
    </row>
    <row r="241" spans="1:12" x14ac:dyDescent="0.3">
      <c r="B241" s="35">
        <f t="shared" si="55"/>
        <v>1800</v>
      </c>
      <c r="C241" s="100">
        <f t="shared" si="53"/>
        <v>12.471708</v>
      </c>
      <c r="D241" s="100">
        <f t="shared" si="53"/>
        <v>12.471708</v>
      </c>
      <c r="E241" s="100" cm="1">
        <f t="array" ref="E241">$D$2*SUM( ( ($B$12:$B$17) * ($B$12:$B$17)* EXP($B$12:$B$17/B241) ) / ( B241*B241* ( EXP(( $B$12:$B$17)/B241 )  -1)^2 ) )</f>
        <v>37.812534288947298</v>
      </c>
      <c r="H241" s="35">
        <f t="shared" si="56"/>
        <v>1800</v>
      </c>
      <c r="I241" s="100">
        <f t="shared" si="54"/>
        <v>2.9808097514340344</v>
      </c>
      <c r="J241" s="100">
        <f t="shared" si="54"/>
        <v>2.9808097514340344</v>
      </c>
      <c r="K241" s="100" cm="1">
        <f t="array" ref="K241">$D$2*SUM( ( ($B$12:$B$17) * ($B$12:$B$17)* EXP($B$12:$B$17/B241) ) / ( B241*B241* ( EXP(( $B$12:$B$17)/B241 )  -1)^2 ) )/ 4.184</f>
        <v>9.037412592960635</v>
      </c>
    </row>
    <row r="242" spans="1:12" x14ac:dyDescent="0.3">
      <c r="B242" s="35">
        <f t="shared" si="55"/>
        <v>1900</v>
      </c>
      <c r="C242" s="100">
        <f t="shared" si="53"/>
        <v>12.471708</v>
      </c>
      <c r="D242" s="100">
        <f t="shared" si="53"/>
        <v>12.471708</v>
      </c>
      <c r="E242" s="100" cm="1">
        <f t="array" ref="E242">$D$2*SUM( ( ($B$12:$B$17) * ($B$12:$B$17)* EXP($B$12:$B$17/B242) ) / ( B242*B242* ( EXP(( $B$12:$B$17)/B242 )  -1)^2 ) )</f>
        <v>38.769271695378528</v>
      </c>
      <c r="H242" s="35">
        <f t="shared" si="56"/>
        <v>1900</v>
      </c>
      <c r="I242" s="100">
        <f t="shared" si="54"/>
        <v>2.9808097514340344</v>
      </c>
      <c r="J242" s="100">
        <f t="shared" si="54"/>
        <v>2.9808097514340344</v>
      </c>
      <c r="K242" s="100" cm="1">
        <f t="array" ref="K242">$D$2*SUM( ( ($B$12:$B$17) * ($B$12:$B$17)* EXP($B$12:$B$17/B242) ) / ( B242*B242* ( EXP(( $B$12:$B$17)/B242 )  -1)^2 ) )/ 4.184</f>
        <v>9.2660783210751738</v>
      </c>
    </row>
    <row r="243" spans="1:12" x14ac:dyDescent="0.3">
      <c r="B243" s="35">
        <f t="shared" si="55"/>
        <v>2000</v>
      </c>
      <c r="C243" s="100">
        <f t="shared" si="53"/>
        <v>12.471708</v>
      </c>
      <c r="D243" s="100">
        <f t="shared" si="53"/>
        <v>12.471708</v>
      </c>
      <c r="E243" s="100" cm="1">
        <f t="array" ref="E243">$D$2*SUM( ( ($B$12:$B$17) * ($B$12:$B$17)* EXP($B$12:$B$17/B243) ) / ( B243*B243* ( EXP(( $B$12:$B$17)/B243 )  -1)^2 ) )</f>
        <v>39.627403248023732</v>
      </c>
      <c r="H243" s="35">
        <f t="shared" si="56"/>
        <v>2000</v>
      </c>
      <c r="I243" s="100">
        <f t="shared" si="54"/>
        <v>2.9808097514340344</v>
      </c>
      <c r="J243" s="100">
        <f t="shared" si="54"/>
        <v>2.9808097514340344</v>
      </c>
      <c r="K243" s="100" cm="1">
        <f t="array" ref="K243">$D$2*SUM( ( ($B$12:$B$17) * ($B$12:$B$17)* EXP($B$12:$B$17/B243) ) / ( B243*B243* ( EXP(( $B$12:$B$17)/B243 )  -1)^2 ) )/ 4.184</f>
        <v>9.4711766845181007</v>
      </c>
    </row>
    <row r="244" spans="1:12" ht="15" thickBot="1" x14ac:dyDescent="0.35">
      <c r="B244" s="26">
        <f t="shared" si="55"/>
        <v>2100</v>
      </c>
      <c r="C244" s="101">
        <f t="shared" si="53"/>
        <v>12.471708</v>
      </c>
      <c r="D244" s="101">
        <f t="shared" si="53"/>
        <v>12.471708</v>
      </c>
      <c r="E244" s="101" cm="1">
        <f t="array" ref="E244">$D$2*SUM( ( ($B$12:$B$17) * ($B$12:$B$17)* EXP($B$12:$B$17/B244) ) / ( B244*B244* ( EXP(( $B$12:$B$17)/B244 )  -1)^2 ) )</f>
        <v>40.398264724097359</v>
      </c>
      <c r="F244" s="53"/>
      <c r="H244" s="26">
        <f t="shared" si="56"/>
        <v>2100</v>
      </c>
      <c r="I244" s="101">
        <f t="shared" si="54"/>
        <v>2.9808097514340344</v>
      </c>
      <c r="J244" s="101">
        <f t="shared" si="54"/>
        <v>2.9808097514340344</v>
      </c>
      <c r="K244" s="101" cm="1">
        <f t="array" ref="K244">$D$2*SUM( ( ($B$12:$B$17) * ($B$12:$B$17)* EXP($B$12:$B$17/B244) ) / ( B244*B244* ( EXP(( $B$12:$B$17)/B244 )  -1)^2 ) )/ 4.184</f>
        <v>9.6554169990672456</v>
      </c>
      <c r="L244" s="53"/>
    </row>
    <row r="247" spans="1:12" ht="15" thickBot="1" x14ac:dyDescent="0.35">
      <c r="A247" s="5" t="s">
        <v>101</v>
      </c>
    </row>
    <row r="248" spans="1:12" ht="18" x14ac:dyDescent="0.3">
      <c r="A248" s="5" t="s">
        <v>84</v>
      </c>
      <c r="B248" s="89" t="s">
        <v>45</v>
      </c>
      <c r="C248" s="16" t="s">
        <v>85</v>
      </c>
      <c r="D248" s="16" t="s">
        <v>35</v>
      </c>
      <c r="E248" s="16" t="s">
        <v>36</v>
      </c>
      <c r="F248" s="19" t="s">
        <v>86</v>
      </c>
    </row>
    <row r="249" spans="1:12" ht="15" thickBot="1" x14ac:dyDescent="0.35">
      <c r="B249" s="35">
        <f>298.15</f>
        <v>298.14999999999998</v>
      </c>
      <c r="C249" s="100">
        <f xml:space="preserve"> -1 * $D$2 * LN( (($A$2 *B249) / $F$83 ) /$F$2 * EXP(1) * $G$2 )</f>
        <v>325.1950739774739</v>
      </c>
      <c r="D249" s="100">
        <f>$D$2 * B249*LN( (B249) / ($B$6 * $C$198))</f>
        <v>8572.0168460542664</v>
      </c>
      <c r="E249" s="100" cm="1">
        <f t="array" ref="E249">$D$2*SUM( ( 0.5 * ($B$12:$B$17)  - B249 * LN( 1 - EXP( - ($B$12:$B$17) / B249 ) ) ) )</f>
        <v>78486.170654801914</v>
      </c>
      <c r="F249" s="63">
        <f>$F$2*$B$134 + 0.5*$D$2*SUM(B12:B29)</f>
        <v>-104331883.23604433</v>
      </c>
    </row>
    <row r="250" spans="1:12" x14ac:dyDescent="0.3">
      <c r="B250" s="35">
        <f>300+100</f>
        <v>400</v>
      </c>
      <c r="C250" s="100">
        <f t="shared" ref="C250:C267" si="57" xml:space="preserve"> -1 * $D$2 * LN( (($A$2 *B250) / $F$83 ) /$F$2 * EXP(1) * $G$2 )</f>
        <v>322.75171812044323</v>
      </c>
      <c r="D250" s="100">
        <f t="shared" ref="D250:D267" si="58">$D$2 * B250*LN( (B250) / ($B$6 * $C$198))</f>
        <v>12477.616494821999</v>
      </c>
      <c r="E250" s="100" cm="1">
        <f t="array" ref="E250">$D$2*SUM( ( 0.5 * ($B$12:$B$17)  - B250 * LN( 1 - EXP( - ($B$12:$B$17) / B250 ) ) ) )</f>
        <v>78861.220918380568</v>
      </c>
    </row>
    <row r="251" spans="1:12" x14ac:dyDescent="0.3">
      <c r="B251" s="35">
        <f t="shared" ref="B251:B267" si="59">B250+100</f>
        <v>500</v>
      </c>
      <c r="C251" s="100">
        <f t="shared" si="57"/>
        <v>320.8963973110607</v>
      </c>
      <c r="D251" s="100">
        <f t="shared" si="58"/>
        <v>16524.681023218778</v>
      </c>
      <c r="E251" s="100" cm="1">
        <f t="array" ref="E251">$D$2*SUM( ( 0.5 * ($B$12:$B$17)  - B251 * LN( 1 - EXP( - ($B$12:$B$17) / B251 ) ) ) )</f>
        <v>79454.114416094337</v>
      </c>
    </row>
    <row r="252" spans="1:12" x14ac:dyDescent="0.3">
      <c r="B252" s="35">
        <f t="shared" si="59"/>
        <v>600</v>
      </c>
      <c r="C252" s="100">
        <f t="shared" si="57"/>
        <v>319.38048983210092</v>
      </c>
      <c r="D252" s="100">
        <f t="shared" si="58"/>
        <v>20739.161715238381</v>
      </c>
      <c r="E252" s="100" cm="1">
        <f t="array" ref="E252">$D$2*SUM( ( 0.5 * ($B$12:$B$17)  - B252 * LN( 1 - EXP( - ($B$12:$B$17) / B252 ) ) ) )</f>
        <v>80285.73177785943</v>
      </c>
    </row>
    <row r="253" spans="1:12" x14ac:dyDescent="0.3">
      <c r="B253" s="35">
        <f t="shared" si="59"/>
        <v>700</v>
      </c>
      <c r="C253" s="100">
        <f t="shared" si="57"/>
        <v>318.09880832089624</v>
      </c>
      <c r="D253" s="100">
        <f t="shared" si="58"/>
        <v>25092.865725621406</v>
      </c>
      <c r="E253" s="100" cm="1">
        <f t="array" ref="E253">$D$2*SUM( ( 0.5 * ($B$12:$B$17)  - B253 * LN( 1 - EXP( - ($B$12:$B$17) / B253 ) ) ) )</f>
        <v>81364.306208585593</v>
      </c>
    </row>
    <row r="254" spans="1:12" x14ac:dyDescent="0.3">
      <c r="B254" s="35">
        <f t="shared" si="59"/>
        <v>800</v>
      </c>
      <c r="C254" s="100">
        <f t="shared" si="57"/>
        <v>316.98856529579859</v>
      </c>
      <c r="D254" s="100">
        <f t="shared" si="58"/>
        <v>29565.755249359685</v>
      </c>
      <c r="E254" s="100" cm="1">
        <f t="array" ref="E254">$D$2*SUM( ( 0.5 * ($B$12:$B$17)  - B254 * LN( 1 - EXP( - ($B$12:$B$17) / B254 ) ) ) )</f>
        <v>82693.740092819644</v>
      </c>
    </row>
    <row r="255" spans="1:12" x14ac:dyDescent="0.3">
      <c r="B255" s="35">
        <f t="shared" si="59"/>
        <v>900</v>
      </c>
      <c r="C255" s="100">
        <f t="shared" si="57"/>
        <v>316.00926154375867</v>
      </c>
      <c r="D255" s="100">
        <f t="shared" si="58"/>
        <v>34142.848032365648</v>
      </c>
      <c r="E255" s="100" cm="1">
        <f t="array" ref="E255">$D$2*SUM( ( 0.5 * ($B$12:$B$17)  - B255 * LN( 1 - EXP( - ($B$12:$B$17) / B255 ) ) ) )</f>
        <v>84275.493380908418</v>
      </c>
    </row>
    <row r="256" spans="1:12" x14ac:dyDescent="0.3">
      <c r="B256" s="35">
        <f t="shared" si="59"/>
        <v>1000</v>
      </c>
      <c r="C256" s="100">
        <f t="shared" si="57"/>
        <v>315.13324448641606</v>
      </c>
      <c r="D256" s="100">
        <f t="shared" si="58"/>
        <v>38812.51487108216</v>
      </c>
      <c r="E256" s="100" cm="1">
        <f t="array" ref="E256">$D$2*SUM( ( 0.5 * ($B$12:$B$17)  - B256 * LN( 1 - EXP( - ($B$12:$B$17) / B256 ) ) ) )</f>
        <v>86109.333466025535</v>
      </c>
    </row>
    <row r="257" spans="1:12" x14ac:dyDescent="0.3">
      <c r="B257" s="35">
        <f t="shared" si="59"/>
        <v>1100</v>
      </c>
      <c r="C257" s="100">
        <f t="shared" si="57"/>
        <v>314.34079066511805</v>
      </c>
      <c r="D257" s="100">
        <f t="shared" si="58"/>
        <v>43565.465561618214</v>
      </c>
      <c r="E257" s="100" cm="1">
        <f t="array" ref="E257">$D$2*SUM( ( 0.5 * ($B$12:$B$17)  - B257 * LN( 1 - EXP( - ($B$12:$B$17) / B257 ) ) ) )</f>
        <v>88193.624373843617</v>
      </c>
    </row>
    <row r="258" spans="1:12" x14ac:dyDescent="0.3">
      <c r="B258" s="35">
        <f t="shared" si="59"/>
        <v>1200</v>
      </c>
      <c r="C258" s="100">
        <f t="shared" si="57"/>
        <v>313.61733700745634</v>
      </c>
      <c r="D258" s="100">
        <f t="shared" si="58"/>
        <v>48394.1068200503</v>
      </c>
      <c r="E258" s="100" cm="1">
        <f t="array" ref="E258">$D$2*SUM( ( 0.5 * ($B$12:$B$17)  - B258 * LN( 1 - EXP( - ($B$12:$B$17) / B258 ) ) ) )</f>
        <v>90525.515330286755</v>
      </c>
    </row>
    <row r="259" spans="1:12" x14ac:dyDescent="0.3">
      <c r="B259" s="35">
        <f t="shared" si="59"/>
        <v>1300</v>
      </c>
      <c r="C259" s="100">
        <f t="shared" si="57"/>
        <v>312.95182415570048</v>
      </c>
      <c r="D259" s="100">
        <f t="shared" si="58"/>
        <v>53292.115762337024</v>
      </c>
      <c r="E259" s="100" cm="1">
        <f t="array" ref="E259">$D$2*SUM( ( 0.5 * ($B$12:$B$17)  - B259 * LN( 1 - EXP( - ($B$12:$B$17) / B259 ) ) ) )</f>
        <v>93101.138537887833</v>
      </c>
    </row>
    <row r="260" spans="1:12" x14ac:dyDescent="0.3">
      <c r="B260" s="35">
        <f t="shared" si="59"/>
        <v>1400</v>
      </c>
      <c r="C260" s="100">
        <f t="shared" si="57"/>
        <v>312.3356554962516</v>
      </c>
      <c r="D260" s="100">
        <f t="shared" si="58"/>
        <v>58254.145405745257</v>
      </c>
      <c r="E260" s="100" cm="1">
        <f t="array" ref="E260">$D$2*SUM( ( 0.5 * ($B$12:$B$17)  - B260 * LN( 1 - EXP( - ($B$12:$B$17) / B260 ) ) ) )</f>
        <v>95915.821939610323</v>
      </c>
    </row>
    <row r="261" spans="1:12" x14ac:dyDescent="0.3">
      <c r="B261" s="35">
        <f t="shared" si="59"/>
        <v>1500</v>
      </c>
      <c r="C261" s="100">
        <f t="shared" si="57"/>
        <v>311.76201619807381</v>
      </c>
      <c r="D261" s="100">
        <f t="shared" si="58"/>
        <v>63275.614739136712</v>
      </c>
      <c r="E261" s="100" cm="1">
        <f t="array" ref="E261">$D$2*SUM( ( 0.5 * ($B$12:$B$17)  - B261 * LN( 1 - EXP( - ($B$12:$B$17) / B261 ) ) ) )</f>
        <v>98964.297661848468</v>
      </c>
    </row>
    <row r="262" spans="1:12" x14ac:dyDescent="0.3">
      <c r="B262" s="35">
        <f t="shared" si="59"/>
        <v>1600</v>
      </c>
      <c r="C262" s="100">
        <f t="shared" si="57"/>
        <v>311.22541247115407</v>
      </c>
      <c r="D262" s="100">
        <f t="shared" si="58"/>
        <v>68352.555018150742</v>
      </c>
      <c r="E262" s="100" cm="1">
        <f t="array" ref="E262">$D$2*SUM( ( 0.5 * ($B$12:$B$17)  - B262 * LN( 1 - EXP( - ($B$12:$B$17) / B262 ) ) ) )</f>
        <v>102240.88965952171</v>
      </c>
    </row>
    <row r="263" spans="1:12" x14ac:dyDescent="0.3">
      <c r="B263" s="35">
        <f t="shared" si="59"/>
        <v>1700</v>
      </c>
      <c r="C263" s="100">
        <f t="shared" si="57"/>
        <v>310.7213507505507</v>
      </c>
      <c r="D263" s="100">
        <f t="shared" si="58"/>
        <v>73481.494631810841</v>
      </c>
      <c r="E263" s="100" cm="1">
        <f t="array" ref="E263">$D$2*SUM( ( 0.5 * ($B$12:$B$17)  - B263 * LN( 1 - EXP( - ($B$12:$B$17) / B263 ) ) ) )</f>
        <v>105739.67233902593</v>
      </c>
    </row>
    <row r="264" spans="1:12" x14ac:dyDescent="0.3">
      <c r="B264" s="35">
        <f t="shared" si="59"/>
        <v>1800</v>
      </c>
      <c r="C264" s="100">
        <f t="shared" si="57"/>
        <v>310.24610871911403</v>
      </c>
      <c r="D264" s="100">
        <f t="shared" si="58"/>
        <v>78659.371149091588</v>
      </c>
      <c r="E264" s="100" cm="1">
        <f t="array" ref="E264">$D$2*SUM( ( 0.5 * ($B$12:$B$17)  - B264 * LN( 1 - EXP( - ($B$12:$B$17) / B264 ) ) ) )</f>
        <v>109454.5985258549</v>
      </c>
    </row>
    <row r="265" spans="1:12" x14ac:dyDescent="0.3">
      <c r="B265" s="35">
        <f t="shared" si="59"/>
        <v>1900</v>
      </c>
      <c r="C265" s="100">
        <f t="shared" si="57"/>
        <v>309.79656832174453</v>
      </c>
      <c r="D265" s="100">
        <f t="shared" si="58"/>
        <v>83883.462967932093</v>
      </c>
      <c r="E265" s="100" cm="1">
        <f t="array" ref="E265">$D$2*SUM( ( 0.5 * ($B$12:$B$17)  - B265 * LN( 1 - EXP( - ($B$12:$B$17) / B265 ) ) ) )</f>
        <v>113379.59898158294</v>
      </c>
    </row>
    <row r="266" spans="1:12" x14ac:dyDescent="0.3">
      <c r="B266" s="35">
        <f t="shared" si="59"/>
        <v>2000</v>
      </c>
      <c r="C266" s="100">
        <f t="shared" si="57"/>
        <v>309.37009166177143</v>
      </c>
      <c r="D266" s="100">
        <f t="shared" si="58"/>
        <v>89151.33539145354</v>
      </c>
      <c r="E266" s="100" cm="1">
        <f t="array" ref="E266">$D$2*SUM( ( 0.5 * ($B$12:$B$17)  - B266 * LN( 1 - EXP( - ($B$12:$B$17) / B266 ) ) ) )</f>
        <v>117508.65739015833</v>
      </c>
    </row>
    <row r="267" spans="1:12" ht="15" thickBot="1" x14ac:dyDescent="0.35">
      <c r="B267" s="26">
        <f t="shared" si="59"/>
        <v>2100</v>
      </c>
      <c r="C267" s="101">
        <f t="shared" si="57"/>
        <v>308.9644272079093</v>
      </c>
      <c r="D267" s="101">
        <f t="shared" si="58"/>
        <v>94460.79751413675</v>
      </c>
      <c r="E267" s="100" cm="1">
        <f t="array" ref="E267">$D$2*SUM( ( 0.5 * ($B$12:$B$17)  - B267 * LN( 1 - EXP( - ($B$12:$B$17) / B267 ) ) ) )</f>
        <v>121835.86515463058</v>
      </c>
      <c r="F267" s="53"/>
    </row>
    <row r="268" spans="1:12" ht="15" thickBot="1" x14ac:dyDescent="0.35">
      <c r="E268" s="25"/>
    </row>
    <row r="272" spans="1:12" ht="15" thickBot="1" x14ac:dyDescent="0.35">
      <c r="A272" s="5" t="s">
        <v>102</v>
      </c>
      <c r="B272" s="170" t="s">
        <v>99</v>
      </c>
      <c r="C272" s="170"/>
      <c r="D272" s="170"/>
      <c r="E272" s="170"/>
      <c r="F272" s="170"/>
      <c r="H272" s="170" t="s">
        <v>100</v>
      </c>
      <c r="I272" s="170"/>
      <c r="J272" s="170"/>
      <c r="K272" s="170"/>
      <c r="L272" s="170"/>
    </row>
    <row r="273" spans="1:12" ht="18" x14ac:dyDescent="0.3">
      <c r="A273" s="5" t="s">
        <v>95</v>
      </c>
      <c r="B273" s="89" t="s">
        <v>45</v>
      </c>
      <c r="C273" s="16" t="s">
        <v>85</v>
      </c>
      <c r="D273" s="16" t="s">
        <v>35</v>
      </c>
      <c r="E273" s="16" t="s">
        <v>36</v>
      </c>
      <c r="F273" s="16" t="s">
        <v>86</v>
      </c>
      <c r="H273" s="89" t="s">
        <v>45</v>
      </c>
      <c r="I273" s="113" t="s">
        <v>85</v>
      </c>
      <c r="J273" s="113" t="s">
        <v>35</v>
      </c>
      <c r="K273" s="113" t="s">
        <v>36</v>
      </c>
      <c r="L273" s="16" t="s">
        <v>86</v>
      </c>
    </row>
    <row r="274" spans="1:12" ht="15" thickBot="1" x14ac:dyDescent="0.35">
      <c r="B274" s="54">
        <f>300</f>
        <v>300</v>
      </c>
      <c r="C274" s="100">
        <f>3/2*$D$2 + $D$2</f>
        <v>20.786180000000002</v>
      </c>
      <c r="D274" s="100">
        <f>3/2*$D$2  + $D$2</f>
        <v>20.786180000000002</v>
      </c>
      <c r="E274" s="100" t="e" cm="1">
        <f t="array" ref="E274">$D$2*SUM( ( ($B$12:$B$20) * ($B$12:$B$20)* EXP($B$12:$B$20/B274) ) / ( B274*B274* ( EXP(( $B$12:$B$20)/B274 )  -1)^2 ) ) +   $D$2</f>
        <v>#DIV/0!</v>
      </c>
      <c r="F274" s="101" t="s">
        <v>103</v>
      </c>
      <c r="H274" s="54">
        <f>300</f>
        <v>300</v>
      </c>
      <c r="I274" s="102">
        <f>(3/2*$D$2  + $D$2)/ 4.184</f>
        <v>4.9680162523900577</v>
      </c>
      <c r="J274" s="102">
        <f>(3/2*$D$2 + $D$2) / 4.184</f>
        <v>4.9680162523900577</v>
      </c>
      <c r="K274" s="102" t="e" cm="1">
        <f t="array" ref="K274" xml:space="preserve"> ($D$2*SUM( ( ($B$12:$B$20) * ($B$12:$B$20)* EXP($B$12:$B$20/B274) ) / ( B274*B274* ( EXP(( $B$12:$B$20)/B274 )  -1)^2 ) ) +   $D$2 ) / 4.184</f>
        <v>#DIV/0!</v>
      </c>
      <c r="L274" s="114" t="s">
        <v>103</v>
      </c>
    </row>
    <row r="275" spans="1:12" x14ac:dyDescent="0.3">
      <c r="B275" s="54">
        <f>B274+100</f>
        <v>400</v>
      </c>
      <c r="C275" s="100">
        <f t="shared" ref="C275:C292" si="60">3/2*$D$2 + $D$2</f>
        <v>20.786180000000002</v>
      </c>
      <c r="D275" s="100">
        <f t="shared" ref="D275:D292" si="61">3/2*$D$2  + $D$2</f>
        <v>20.786180000000002</v>
      </c>
      <c r="E275" s="100" t="e" cm="1">
        <f t="array" ref="E275">$D$2*SUM( ( ($B$12:$B$20) * ($B$12:$B$20)* EXP($B$12:$B$20/B275) ) / ( B275*B275* ( EXP(( $B$12:$B$20)/B275 )  -1)^2 ) ) +   $D$2</f>
        <v>#DIV/0!</v>
      </c>
      <c r="H275" s="54">
        <f>H274+100</f>
        <v>400</v>
      </c>
      <c r="I275" s="100">
        <f t="shared" ref="I275:I292" si="62">(3/2*$D$2  + $D$2)/ 4.184</f>
        <v>4.9680162523900577</v>
      </c>
      <c r="J275" s="100">
        <f t="shared" ref="J275:J292" si="63">(3/2*$D$2 + $D$2) / 4.184</f>
        <v>4.9680162523900577</v>
      </c>
      <c r="K275" s="100" t="e" cm="1">
        <f t="array" ref="K275" xml:space="preserve"> ($D$2*SUM( ( ($B$12:$B$20) * ($B$12:$B$20)* EXP($B$12:$B$20/B275) ) / ( B275*B275* ( EXP(( $B$12:$B$20)/B275)  -1)^2 ) ) +   $D$2 ) / 4.184</f>
        <v>#DIV/0!</v>
      </c>
    </row>
    <row r="276" spans="1:12" x14ac:dyDescent="0.3">
      <c r="B276" s="54">
        <f t="shared" ref="B276:B292" si="64">B275+100</f>
        <v>500</v>
      </c>
      <c r="C276" s="100">
        <f t="shared" si="60"/>
        <v>20.786180000000002</v>
      </c>
      <c r="D276" s="100">
        <f t="shared" si="61"/>
        <v>20.786180000000002</v>
      </c>
      <c r="E276" s="100" t="e" cm="1">
        <f t="array" ref="E276">$D$2*SUM( ( ($B$12:$B$20) * ($B$12:$B$20)* EXP($B$12:$B$20/B276) ) / ( B276*B276* ( EXP(( $B$12:$B$20)/B276 )  -1)^2 ) ) +   $D$2</f>
        <v>#DIV/0!</v>
      </c>
      <c r="H276" s="54">
        <f t="shared" ref="H276:H292" si="65">H275+100</f>
        <v>500</v>
      </c>
      <c r="I276" s="100">
        <f t="shared" si="62"/>
        <v>4.9680162523900577</v>
      </c>
      <c r="J276" s="100">
        <f t="shared" si="63"/>
        <v>4.9680162523900577</v>
      </c>
      <c r="K276" s="100" t="e" cm="1">
        <f t="array" ref="K276" xml:space="preserve"> ($D$2*SUM( ( ($B$12:$B$20) * ($B$12:$B$20)* EXP($B$12:$B$20/B276) ) / ( B276*B276* ( EXP(( $B$12:$B$20)/B276)  -1)^2 ) ) +   $D$2 ) / 4.184</f>
        <v>#DIV/0!</v>
      </c>
    </row>
    <row r="277" spans="1:12" x14ac:dyDescent="0.3">
      <c r="B277" s="54">
        <f t="shared" si="64"/>
        <v>600</v>
      </c>
      <c r="C277" s="100">
        <f t="shared" si="60"/>
        <v>20.786180000000002</v>
      </c>
      <c r="D277" s="100">
        <f t="shared" si="61"/>
        <v>20.786180000000002</v>
      </c>
      <c r="E277" s="100" t="e" cm="1">
        <f t="array" ref="E277">$D$2*SUM( ( ($B$12:$B$20) * ($B$12:$B$20)* EXP($B$12:$B$20/B277) ) / ( B277*B277* ( EXP(( $B$12:$B$20)/B277 )  -1)^2 ) ) +   $D$2</f>
        <v>#DIV/0!</v>
      </c>
      <c r="H277" s="54">
        <f t="shared" si="65"/>
        <v>600</v>
      </c>
      <c r="I277" s="100">
        <f t="shared" si="62"/>
        <v>4.9680162523900577</v>
      </c>
      <c r="J277" s="100">
        <f t="shared" si="63"/>
        <v>4.9680162523900577</v>
      </c>
      <c r="K277" s="100" t="e" cm="1">
        <f t="array" ref="K277" xml:space="preserve"> ($D$2*SUM( ( ($B$12:$B$20) * ($B$12:$B$20)* EXP($B$12:$B$20/B277) ) / ( B277*B277* ( EXP(( $B$12:$B$20)/B277)  -1)^2 ) ) +   $D$2 ) / 4.184</f>
        <v>#DIV/0!</v>
      </c>
    </row>
    <row r="278" spans="1:12" x14ac:dyDescent="0.3">
      <c r="B278" s="54">
        <f t="shared" si="64"/>
        <v>700</v>
      </c>
      <c r="C278" s="100">
        <f t="shared" si="60"/>
        <v>20.786180000000002</v>
      </c>
      <c r="D278" s="100">
        <f t="shared" si="61"/>
        <v>20.786180000000002</v>
      </c>
      <c r="E278" s="100" t="e" cm="1">
        <f t="array" ref="E278">$D$2*SUM( ( ($B$12:$B$20) * ($B$12:$B$20)* EXP($B$12:$B$20/B278) ) / ( B278*B278* ( EXP(( $B$12:$B$20)/B278 )  -1)^2 ) ) +   $D$2</f>
        <v>#DIV/0!</v>
      </c>
      <c r="H278" s="54">
        <f t="shared" si="65"/>
        <v>700</v>
      </c>
      <c r="I278" s="100">
        <f t="shared" si="62"/>
        <v>4.9680162523900577</v>
      </c>
      <c r="J278" s="100">
        <f t="shared" si="63"/>
        <v>4.9680162523900577</v>
      </c>
      <c r="K278" s="100" t="e" cm="1">
        <f t="array" ref="K278" xml:space="preserve"> ($D$2*SUM( ( ($B$12:$B$20) * ($B$12:$B$20)* EXP($B$12:$B$20/B278) ) / ( B278*B278* ( EXP(( $B$12:$B$20)/B278)  -1)^2 ) ) +   $D$2 ) / 4.184</f>
        <v>#DIV/0!</v>
      </c>
    </row>
    <row r="279" spans="1:12" x14ac:dyDescent="0.3">
      <c r="B279" s="54">
        <f t="shared" si="64"/>
        <v>800</v>
      </c>
      <c r="C279" s="100">
        <f t="shared" si="60"/>
        <v>20.786180000000002</v>
      </c>
      <c r="D279" s="100">
        <f t="shared" si="61"/>
        <v>20.786180000000002</v>
      </c>
      <c r="E279" s="100" t="e" cm="1">
        <f t="array" ref="E279">$D$2*SUM( ( ($B$12:$B$20) * ($B$12:$B$20)* EXP($B$12:$B$20/B279) ) / ( B279*B279* ( EXP(( $B$12:$B$20)/B279 )  -1)^2 ) ) +   $D$2</f>
        <v>#DIV/0!</v>
      </c>
      <c r="H279" s="54">
        <f t="shared" si="65"/>
        <v>800</v>
      </c>
      <c r="I279" s="100">
        <f t="shared" si="62"/>
        <v>4.9680162523900577</v>
      </c>
      <c r="J279" s="100">
        <f t="shared" si="63"/>
        <v>4.9680162523900577</v>
      </c>
      <c r="K279" s="100" t="e" cm="1">
        <f t="array" ref="K279" xml:space="preserve"> ($D$2*SUM( ( ($B$12:$B$20) * ($B$12:$B$20)* EXP($B$12:$B$20/B279) ) / ( B279*B279* ( EXP(( $B$12:$B$20)/B279)  -1)^2 ) ) +   $D$2 ) / 4.184</f>
        <v>#DIV/0!</v>
      </c>
    </row>
    <row r="280" spans="1:12" x14ac:dyDescent="0.3">
      <c r="B280" s="54">
        <f t="shared" si="64"/>
        <v>900</v>
      </c>
      <c r="C280" s="100">
        <f t="shared" si="60"/>
        <v>20.786180000000002</v>
      </c>
      <c r="D280" s="100">
        <f t="shared" si="61"/>
        <v>20.786180000000002</v>
      </c>
      <c r="E280" s="100" t="e" cm="1">
        <f t="array" ref="E280">$D$2*SUM( ( ($B$12:$B$20) * ($B$12:$B$20)* EXP($B$12:$B$20/B280) ) / ( B280*B280* ( EXP(( $B$12:$B$20)/B280 )  -1)^2 ) ) +   $D$2</f>
        <v>#DIV/0!</v>
      </c>
      <c r="H280" s="54">
        <f t="shared" si="65"/>
        <v>900</v>
      </c>
      <c r="I280" s="100">
        <f t="shared" si="62"/>
        <v>4.9680162523900577</v>
      </c>
      <c r="J280" s="100">
        <f t="shared" si="63"/>
        <v>4.9680162523900577</v>
      </c>
      <c r="K280" s="100" t="e" cm="1">
        <f t="array" ref="K280" xml:space="preserve"> ($D$2*SUM( ( ($B$12:$B$20) * ($B$12:$B$20)* EXP($B$12:$B$20/B280) ) / ( B280*B280* ( EXP(( $B$12:$B$20)/B280)  -1)^2 ) ) +   $D$2 ) / 4.184</f>
        <v>#DIV/0!</v>
      </c>
    </row>
    <row r="281" spans="1:12" x14ac:dyDescent="0.3">
      <c r="B281" s="54">
        <f t="shared" si="64"/>
        <v>1000</v>
      </c>
      <c r="C281" s="100">
        <f t="shared" si="60"/>
        <v>20.786180000000002</v>
      </c>
      <c r="D281" s="100">
        <f t="shared" si="61"/>
        <v>20.786180000000002</v>
      </c>
      <c r="E281" s="100" t="e" cm="1">
        <f t="array" ref="E281">$D$2*SUM( ( ($B$12:$B$20) * ($B$12:$B$20)* EXP($B$12:$B$20/B281) ) / ( B281*B281* ( EXP(( $B$12:$B$20)/B281 )  -1)^2 ) ) +   $D$2</f>
        <v>#DIV/0!</v>
      </c>
      <c r="H281" s="54">
        <f t="shared" si="65"/>
        <v>1000</v>
      </c>
      <c r="I281" s="100">
        <f t="shared" si="62"/>
        <v>4.9680162523900577</v>
      </c>
      <c r="J281" s="100">
        <f t="shared" si="63"/>
        <v>4.9680162523900577</v>
      </c>
      <c r="K281" s="100" t="e" cm="1">
        <f t="array" ref="K281" xml:space="preserve"> ($D$2*SUM( ( ($B$12:$B$20) * ($B$12:$B$20)* EXP($B$12:$B$20/B281) ) / ( B281*B281* ( EXP(( $B$12:$B$20)/B281)  -1)^2 ) ) +   $D$2 ) / 4.184</f>
        <v>#DIV/0!</v>
      </c>
    </row>
    <row r="282" spans="1:12" x14ac:dyDescent="0.3">
      <c r="B282" s="54">
        <f t="shared" si="64"/>
        <v>1100</v>
      </c>
      <c r="C282" s="100">
        <f t="shared" si="60"/>
        <v>20.786180000000002</v>
      </c>
      <c r="D282" s="100">
        <f t="shared" si="61"/>
        <v>20.786180000000002</v>
      </c>
      <c r="E282" s="100" t="e" cm="1">
        <f t="array" ref="E282">$D$2*SUM( ( ($B$12:$B$20) * ($B$12:$B$20)* EXP($B$12:$B$20/B282) ) / ( B282*B282* ( EXP(( $B$12:$B$20)/B282 )  -1)^2 ) ) +   $D$2</f>
        <v>#DIV/0!</v>
      </c>
      <c r="H282" s="54">
        <f t="shared" si="65"/>
        <v>1100</v>
      </c>
      <c r="I282" s="100">
        <f t="shared" si="62"/>
        <v>4.9680162523900577</v>
      </c>
      <c r="J282" s="100">
        <f t="shared" si="63"/>
        <v>4.9680162523900577</v>
      </c>
      <c r="K282" s="100" t="e" cm="1">
        <f t="array" ref="K282" xml:space="preserve"> ($D$2*SUM( ( ($B$12:$B$20) * ($B$12:$B$20)* EXP($B$12:$B$20/B282) ) / ( B282*B282* ( EXP(( $B$12:$B$20)/B282)  -1)^2 ) ) +   $D$2 ) / 4.184</f>
        <v>#DIV/0!</v>
      </c>
    </row>
    <row r="283" spans="1:12" x14ac:dyDescent="0.3">
      <c r="B283" s="54">
        <f t="shared" si="64"/>
        <v>1200</v>
      </c>
      <c r="C283" s="100">
        <f t="shared" si="60"/>
        <v>20.786180000000002</v>
      </c>
      <c r="D283" s="100">
        <f t="shared" si="61"/>
        <v>20.786180000000002</v>
      </c>
      <c r="E283" s="100" t="e" cm="1">
        <f t="array" ref="E283">$D$2*SUM( ( ($B$12:$B$20) * ($B$12:$B$20)* EXP($B$12:$B$20/B283) ) / ( B283*B283* ( EXP(( $B$12:$B$20)/B283 )  -1)^2 ) ) +   $D$2</f>
        <v>#DIV/0!</v>
      </c>
      <c r="H283" s="54">
        <f t="shared" si="65"/>
        <v>1200</v>
      </c>
      <c r="I283" s="100">
        <f t="shared" si="62"/>
        <v>4.9680162523900577</v>
      </c>
      <c r="J283" s="100">
        <f t="shared" si="63"/>
        <v>4.9680162523900577</v>
      </c>
      <c r="K283" s="100" t="e" cm="1">
        <f t="array" ref="K283" xml:space="preserve"> ($D$2*SUM( ( ($B$12:$B$20) * ($B$12:$B$20)* EXP($B$12:$B$20/B283) ) / ( B283*B283* ( EXP(( $B$12:$B$20)/B283)  -1)^2 ) ) +   $D$2 ) / 4.184</f>
        <v>#DIV/0!</v>
      </c>
    </row>
    <row r="284" spans="1:12" x14ac:dyDescent="0.3">
      <c r="B284" s="54">
        <f t="shared" si="64"/>
        <v>1300</v>
      </c>
      <c r="C284" s="100">
        <f t="shared" si="60"/>
        <v>20.786180000000002</v>
      </c>
      <c r="D284" s="100">
        <f t="shared" si="61"/>
        <v>20.786180000000002</v>
      </c>
      <c r="E284" s="100" t="e" cm="1">
        <f t="array" ref="E284">$D$2*SUM( ( ($B$12:$B$20) * ($B$12:$B$20)* EXP($B$12:$B$20/B284) ) / ( B284*B284* ( EXP(( $B$12:$B$20)/B284 )  -1)^2 ) ) +   $D$2</f>
        <v>#DIV/0!</v>
      </c>
      <c r="H284" s="54">
        <f t="shared" si="65"/>
        <v>1300</v>
      </c>
      <c r="I284" s="100">
        <f t="shared" si="62"/>
        <v>4.9680162523900577</v>
      </c>
      <c r="J284" s="100">
        <f t="shared" si="63"/>
        <v>4.9680162523900577</v>
      </c>
      <c r="K284" s="100" t="e" cm="1">
        <f t="array" ref="K284" xml:space="preserve"> ($D$2*SUM( ( ($B$12:$B$20) * ($B$12:$B$20)* EXP($B$12:$B$20/B284) ) / ( B284*B284* ( EXP(( $B$12:$B$20)/B284)  -1)^2 ) ) +   $D$2 ) / 4.184</f>
        <v>#DIV/0!</v>
      </c>
    </row>
    <row r="285" spans="1:12" x14ac:dyDescent="0.3">
      <c r="B285" s="54">
        <f t="shared" si="64"/>
        <v>1400</v>
      </c>
      <c r="C285" s="100">
        <f t="shared" si="60"/>
        <v>20.786180000000002</v>
      </c>
      <c r="D285" s="100">
        <f t="shared" si="61"/>
        <v>20.786180000000002</v>
      </c>
      <c r="E285" s="100" t="e" cm="1">
        <f t="array" ref="E285">$D$2*SUM( ( ($B$12:$B$20) * ($B$12:$B$20)* EXP($B$12:$B$20/B285) ) / ( B285*B285* ( EXP(( $B$12:$B$20)/B285 )  -1)^2 ) ) +   $D$2</f>
        <v>#DIV/0!</v>
      </c>
      <c r="H285" s="54">
        <f t="shared" si="65"/>
        <v>1400</v>
      </c>
      <c r="I285" s="100">
        <f t="shared" si="62"/>
        <v>4.9680162523900577</v>
      </c>
      <c r="J285" s="100">
        <f t="shared" si="63"/>
        <v>4.9680162523900577</v>
      </c>
      <c r="K285" s="100" t="e" cm="1">
        <f t="array" ref="K285" xml:space="preserve"> ($D$2*SUM( ( ($B$12:$B$20) * ($B$12:$B$20)* EXP($B$12:$B$20/B285) ) / ( B285*B285* ( EXP(( $B$12:$B$20)/B285)  -1)^2 ) ) +   $D$2 ) / 4.184</f>
        <v>#DIV/0!</v>
      </c>
    </row>
    <row r="286" spans="1:12" x14ac:dyDescent="0.3">
      <c r="B286" s="54">
        <f t="shared" si="64"/>
        <v>1500</v>
      </c>
      <c r="C286" s="100">
        <f t="shared" si="60"/>
        <v>20.786180000000002</v>
      </c>
      <c r="D286" s="100">
        <f t="shared" si="61"/>
        <v>20.786180000000002</v>
      </c>
      <c r="E286" s="100" t="e" cm="1">
        <f t="array" ref="E286">$D$2*SUM( ( ($B$12:$B$20) * ($B$12:$B$20)* EXP($B$12:$B$20/B286) ) / ( B286*B286* ( EXP(( $B$12:$B$20)/B286 )  -1)^2 ) ) +   $D$2</f>
        <v>#DIV/0!</v>
      </c>
      <c r="H286" s="54">
        <f t="shared" si="65"/>
        <v>1500</v>
      </c>
      <c r="I286" s="100">
        <f t="shared" si="62"/>
        <v>4.9680162523900577</v>
      </c>
      <c r="J286" s="100">
        <f t="shared" si="63"/>
        <v>4.9680162523900577</v>
      </c>
      <c r="K286" s="100" t="e" cm="1">
        <f t="array" ref="K286" xml:space="preserve"> ($D$2*SUM( ( ($B$12:$B$20) * ($B$12:$B$20)* EXP($B$12:$B$20/B286) ) / ( B286*B286* ( EXP(( $B$12:$B$20)/B286)  -1)^2 ) ) +   $D$2 ) / 4.184</f>
        <v>#DIV/0!</v>
      </c>
    </row>
    <row r="287" spans="1:12" x14ac:dyDescent="0.3">
      <c r="B287" s="54">
        <f t="shared" si="64"/>
        <v>1600</v>
      </c>
      <c r="C287" s="100">
        <f t="shared" si="60"/>
        <v>20.786180000000002</v>
      </c>
      <c r="D287" s="100">
        <f t="shared" si="61"/>
        <v>20.786180000000002</v>
      </c>
      <c r="E287" s="100" t="e" cm="1">
        <f t="array" ref="E287">$D$2*SUM( ( ($B$12:$B$20) * ($B$12:$B$20)* EXP($B$12:$B$20/B287) ) / ( B287*B287* ( EXP(( $B$12:$B$20)/B287 )  -1)^2 ) ) +   $D$2</f>
        <v>#DIV/0!</v>
      </c>
      <c r="H287" s="54">
        <f t="shared" si="65"/>
        <v>1600</v>
      </c>
      <c r="I287" s="100">
        <f t="shared" si="62"/>
        <v>4.9680162523900577</v>
      </c>
      <c r="J287" s="100">
        <f t="shared" si="63"/>
        <v>4.9680162523900577</v>
      </c>
      <c r="K287" s="100" t="e" cm="1">
        <f t="array" ref="K287" xml:space="preserve"> ($D$2*SUM( ( ($B$12:$B$20) * ($B$12:$B$20)* EXP($B$12:$B$20/B287) ) / ( B287*B287* ( EXP(( $B$12:$B$20)/B287)  -1)^2 ) ) +   $D$2 ) / 4.184</f>
        <v>#DIV/0!</v>
      </c>
    </row>
    <row r="288" spans="1:12" x14ac:dyDescent="0.3">
      <c r="B288" s="54">
        <f t="shared" si="64"/>
        <v>1700</v>
      </c>
      <c r="C288" s="100">
        <f t="shared" si="60"/>
        <v>20.786180000000002</v>
      </c>
      <c r="D288" s="100">
        <f t="shared" si="61"/>
        <v>20.786180000000002</v>
      </c>
      <c r="E288" s="100" t="e" cm="1">
        <f t="array" ref="E288">$D$2*SUM( ( ($B$12:$B$20) * ($B$12:$B$20)* EXP($B$12:$B$20/B288) ) / ( B288*B288* ( EXP(( $B$12:$B$20)/B288 )  -1)^2 ) ) +   $D$2</f>
        <v>#DIV/0!</v>
      </c>
      <c r="H288" s="54">
        <f t="shared" si="65"/>
        <v>1700</v>
      </c>
      <c r="I288" s="100">
        <f t="shared" si="62"/>
        <v>4.9680162523900577</v>
      </c>
      <c r="J288" s="100">
        <f t="shared" si="63"/>
        <v>4.9680162523900577</v>
      </c>
      <c r="K288" s="100" t="e" cm="1">
        <f t="array" ref="K288" xml:space="preserve"> ($D$2*SUM( ( ($B$12:$B$20) * ($B$12:$B$20)* EXP($B$12:$B$20/B288) ) / ( B288*B288* ( EXP(( $B$12:$B$20)/B288)  -1)^2 ) ) +   $D$2 ) / 4.184</f>
        <v>#DIV/0!</v>
      </c>
    </row>
    <row r="289" spans="2:12" x14ac:dyDescent="0.3">
      <c r="B289" s="54">
        <f t="shared" si="64"/>
        <v>1800</v>
      </c>
      <c r="C289" s="100">
        <f t="shared" si="60"/>
        <v>20.786180000000002</v>
      </c>
      <c r="D289" s="100">
        <f t="shared" si="61"/>
        <v>20.786180000000002</v>
      </c>
      <c r="E289" s="100" t="e" cm="1">
        <f t="array" ref="E289">$D$2*SUM( ( ($B$12:$B$20) * ($B$12:$B$20)* EXP($B$12:$B$20/B289) ) / ( B289*B289* ( EXP(( $B$12:$B$20)/B289 )  -1)^2 ) ) +   $D$2</f>
        <v>#DIV/0!</v>
      </c>
      <c r="H289" s="54">
        <f t="shared" si="65"/>
        <v>1800</v>
      </c>
      <c r="I289" s="100">
        <f t="shared" si="62"/>
        <v>4.9680162523900577</v>
      </c>
      <c r="J289" s="100">
        <f t="shared" si="63"/>
        <v>4.9680162523900577</v>
      </c>
      <c r="K289" s="100" t="e" cm="1">
        <f t="array" ref="K289" xml:space="preserve"> ($D$2*SUM( ( ($B$12:$B$20) * ($B$12:$B$20)* EXP($B$12:$B$20/B289) ) / ( B289*B289* ( EXP(( $B$12:$B$20)/B289)  -1)^2 ) ) +   $D$2 ) / 4.184</f>
        <v>#DIV/0!</v>
      </c>
    </row>
    <row r="290" spans="2:12" x14ac:dyDescent="0.3">
      <c r="B290" s="54">
        <f t="shared" si="64"/>
        <v>1900</v>
      </c>
      <c r="C290" s="100">
        <f t="shared" si="60"/>
        <v>20.786180000000002</v>
      </c>
      <c r="D290" s="100">
        <f t="shared" si="61"/>
        <v>20.786180000000002</v>
      </c>
      <c r="E290" s="100" t="e" cm="1">
        <f t="array" ref="E290">$D$2*SUM( ( ($B$12:$B$20) * ($B$12:$B$20)* EXP($B$12:$B$20/B290) ) / ( B290*B290* ( EXP(( $B$12:$B$20)/B290 )  -1)^2 ) ) +   $D$2</f>
        <v>#DIV/0!</v>
      </c>
      <c r="H290" s="54">
        <f t="shared" si="65"/>
        <v>1900</v>
      </c>
      <c r="I290" s="100">
        <f t="shared" si="62"/>
        <v>4.9680162523900577</v>
      </c>
      <c r="J290" s="100">
        <f t="shared" si="63"/>
        <v>4.9680162523900577</v>
      </c>
      <c r="K290" s="100" t="e" cm="1">
        <f t="array" ref="K290" xml:space="preserve"> ($D$2*SUM( ( ($B$12:$B$20) * ($B$12:$B$20)* EXP($B$12:$B$20/B290) ) / ( B290*B290* ( EXP(( $B$12:$B$20)/B290)  -1)^2 ) ) +   $D$2 ) / 4.184</f>
        <v>#DIV/0!</v>
      </c>
    </row>
    <row r="291" spans="2:12" x14ac:dyDescent="0.3">
      <c r="B291" s="54">
        <f t="shared" si="64"/>
        <v>2000</v>
      </c>
      <c r="C291" s="100">
        <f t="shared" si="60"/>
        <v>20.786180000000002</v>
      </c>
      <c r="D291" s="100">
        <f t="shared" si="61"/>
        <v>20.786180000000002</v>
      </c>
      <c r="E291" s="100" t="e" cm="1">
        <f t="array" ref="E291">$D$2*SUM( ( ($B$12:$B$20) * ($B$12:$B$20)* EXP($B$12:$B$20/B291) ) / ( B291*B291* ( EXP(( $B$12:$B$20)/B291 )  -1)^2 ) ) +   $D$2</f>
        <v>#DIV/0!</v>
      </c>
      <c r="H291" s="54">
        <f t="shared" si="65"/>
        <v>2000</v>
      </c>
      <c r="I291" s="100">
        <f t="shared" si="62"/>
        <v>4.9680162523900577</v>
      </c>
      <c r="J291" s="100">
        <f t="shared" si="63"/>
        <v>4.9680162523900577</v>
      </c>
      <c r="K291" s="100" t="e" cm="1">
        <f t="array" ref="K291" xml:space="preserve"> ($D$2*SUM( ( ($B$12:$B$20) * ($B$12:$B$20)* EXP($B$12:$B$20/B291) ) / ( B291*B291* ( EXP(( $B$12:$B$20)/B291)  -1)^2 ) ) +   $D$2 ) / 4.184</f>
        <v>#DIV/0!</v>
      </c>
    </row>
    <row r="292" spans="2:12" ht="15" thickBot="1" x14ac:dyDescent="0.35">
      <c r="B292" s="25">
        <f t="shared" si="64"/>
        <v>2100</v>
      </c>
      <c r="C292" s="101">
        <f t="shared" si="60"/>
        <v>20.786180000000002</v>
      </c>
      <c r="D292" s="101">
        <f t="shared" si="61"/>
        <v>20.786180000000002</v>
      </c>
      <c r="E292" s="101" t="e" cm="1">
        <f t="array" ref="E292">$D$2*SUM( ( ($B$12:$B$20) * ($B$12:$B$20)* EXP($B$12:$B$20/B292) ) / ( B292*B292* ( EXP(( $B$12:$B$20)/B292 )  -1)^2 ) ) +   $D$2</f>
        <v>#DIV/0!</v>
      </c>
      <c r="F292" s="53"/>
      <c r="H292" s="25">
        <f t="shared" si="65"/>
        <v>2100</v>
      </c>
      <c r="I292" s="101">
        <f t="shared" si="62"/>
        <v>4.9680162523900577</v>
      </c>
      <c r="J292" s="101">
        <f t="shared" si="63"/>
        <v>4.9680162523900577</v>
      </c>
      <c r="K292" s="101" t="e" cm="1">
        <f t="array" ref="K292" xml:space="preserve"> ($D$2*SUM( ( ($B$12:$B$20) * ($B$12:$B$20)* EXP($B$12:$B$20/B292) ) / ( B292*B292* ( EXP(( $B$12:$B$20)/B292)  -1)^2 ) ) +   $D$2 ) / 4.184</f>
        <v>#DIV/0!</v>
      </c>
      <c r="L292" s="53"/>
    </row>
  </sheetData>
  <mergeCells count="14">
    <mergeCell ref="B272:F272"/>
    <mergeCell ref="H272:L272"/>
    <mergeCell ref="D52:W52"/>
    <mergeCell ref="B174:F174"/>
    <mergeCell ref="H174:K174"/>
    <mergeCell ref="M177:N177"/>
    <mergeCell ref="M178:N178"/>
    <mergeCell ref="B200:F200"/>
    <mergeCell ref="H200:L200"/>
    <mergeCell ref="M204:N204"/>
    <mergeCell ref="M205:N205"/>
    <mergeCell ref="B224:F224"/>
    <mergeCell ref="H224:L224"/>
    <mergeCell ref="M228:N2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1D93-2702-457E-B869-8ECA262FE1EE}">
  <dimension ref="A1:W292"/>
  <sheetViews>
    <sheetView workbookViewId="0">
      <selection activeCell="D32" sqref="D32"/>
    </sheetView>
  </sheetViews>
  <sheetFormatPr defaultRowHeight="14.4" x14ac:dyDescent="0.3"/>
  <cols>
    <col min="1" max="1" width="29.88671875" style="5" bestFit="1" customWidth="1"/>
    <col min="2" max="2" width="16.5546875" style="5" bestFit="1" customWidth="1"/>
    <col min="3" max="3" width="14.6640625" style="5" bestFit="1" customWidth="1"/>
    <col min="4" max="4" width="29.88671875" style="5" bestFit="1" customWidth="1"/>
    <col min="5" max="5" width="14.6640625" style="5" bestFit="1" customWidth="1"/>
    <col min="6" max="6" width="19.44140625" style="5" bestFit="1" customWidth="1"/>
    <col min="7" max="7" width="16" style="5" bestFit="1" customWidth="1"/>
    <col min="8" max="8" width="19.21875" style="5" bestFit="1" customWidth="1"/>
    <col min="9" max="9" width="16.77734375" style="5" bestFit="1" customWidth="1"/>
    <col min="10" max="10" width="20.33203125" style="5" bestFit="1" customWidth="1"/>
    <col min="11" max="11" width="21.109375" style="5" bestFit="1" customWidth="1"/>
    <col min="12" max="12" width="15.21875" style="5" bestFit="1" customWidth="1"/>
    <col min="13" max="14" width="20.33203125" style="5" bestFit="1" customWidth="1"/>
    <col min="15" max="15" width="14.77734375" style="5" bestFit="1" customWidth="1"/>
    <col min="16" max="16" width="8.88671875" style="5"/>
    <col min="17" max="17" width="12.33203125" style="5" customWidth="1"/>
    <col min="18" max="18" width="12.77734375" style="5" bestFit="1" customWidth="1"/>
    <col min="19" max="19" width="16" style="5" bestFit="1" customWidth="1"/>
    <col min="20" max="16384" width="8.88671875" style="5"/>
  </cols>
  <sheetData>
    <row r="1" spans="1:2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114</v>
      </c>
      <c r="L1" s="4" t="s">
        <v>115</v>
      </c>
    </row>
    <row r="2" spans="1:21" ht="15" thickBot="1" x14ac:dyDescent="0.35">
      <c r="A2" s="6">
        <v>1.3805999999999999E-23</v>
      </c>
      <c r="B2" s="7">
        <v>3.1415899999999999</v>
      </c>
      <c r="C2" s="7">
        <v>6.626068E-34</v>
      </c>
      <c r="D2" s="7">
        <v>8.3144720000000003</v>
      </c>
      <c r="E2" s="8">
        <f>1.00783*1.66E-27</f>
        <v>1.6729978E-27</v>
      </c>
      <c r="F2" s="7">
        <v>6.0221407599999999E+23</v>
      </c>
      <c r="G2" s="7">
        <f>((2*$E$2*$B$2*$A$2*$H$2)/($C$2*$C$2))^1.5</f>
        <v>9.7835994879254859E+29</v>
      </c>
      <c r="H2" s="8">
        <f>298.15</f>
        <v>298.14999999999998</v>
      </c>
      <c r="I2" s="9">
        <v>29979300000</v>
      </c>
      <c r="J2" s="10">
        <v>101325</v>
      </c>
      <c r="K2" s="9">
        <f>(E2*1000)/1.00783</f>
        <v>1.6600000000000001E-24</v>
      </c>
      <c r="L2" s="10">
        <f>F2*K2</f>
        <v>0.99967536616000008</v>
      </c>
    </row>
    <row r="3" spans="1:21" ht="15" thickBot="1" x14ac:dyDescent="0.35"/>
    <row r="4" spans="1:21" ht="15" thickBot="1" x14ac:dyDescent="0.35">
      <c r="E4" s="11" t="s">
        <v>10</v>
      </c>
      <c r="F4" s="12" t="s">
        <v>11</v>
      </c>
      <c r="G4" s="13" t="s">
        <v>12</v>
      </c>
      <c r="I4" s="11" t="s">
        <v>13</v>
      </c>
      <c r="J4" s="12" t="s">
        <v>14</v>
      </c>
      <c r="K4" s="12" t="s">
        <v>15</v>
      </c>
      <c r="L4" s="14" t="s">
        <v>16</v>
      </c>
    </row>
    <row r="5" spans="1:21" ht="16.8" thickBot="1" x14ac:dyDescent="0.35">
      <c r="B5" s="15" t="s">
        <v>17</v>
      </c>
      <c r="D5" s="16" t="s">
        <v>18</v>
      </c>
      <c r="E5" s="17">
        <v>11.452500000000001</v>
      </c>
      <c r="F5" s="18">
        <v>11.456390000000001</v>
      </c>
      <c r="G5" s="19">
        <v>11.456390000000001</v>
      </c>
      <c r="I5" s="20">
        <v>0</v>
      </c>
      <c r="J5" s="21">
        <f>I5*627.509474</f>
        <v>0</v>
      </c>
      <c r="K5" s="21">
        <f>I5*4.35974E-18</f>
        <v>0</v>
      </c>
      <c r="L5" s="22">
        <f>(2*K5)/(C2)</f>
        <v>0</v>
      </c>
    </row>
    <row r="6" spans="1:21" ht="16.8" thickBot="1" x14ac:dyDescent="0.35">
      <c r="A6" s="23" t="s">
        <v>19</v>
      </c>
      <c r="B6" s="24">
        <v>1</v>
      </c>
      <c r="D6" s="25" t="s">
        <v>20</v>
      </c>
      <c r="E6" s="26">
        <f>E5*1.66E-47</f>
        <v>1.9011150000000002E-46</v>
      </c>
      <c r="F6" s="27">
        <f t="shared" ref="F6:G6" si="0">F5*1.66E-47</f>
        <v>1.9017607399999999E-46</v>
      </c>
      <c r="G6" s="28">
        <f t="shared" si="0"/>
        <v>1.9017607399999999E-46</v>
      </c>
      <c r="U6" s="29"/>
    </row>
    <row r="7" spans="1:21" ht="15" thickBot="1" x14ac:dyDescent="0.35">
      <c r="U7" s="29"/>
    </row>
    <row r="8" spans="1:21" ht="15" thickBot="1" x14ac:dyDescent="0.35">
      <c r="A8" s="5" t="s">
        <v>21</v>
      </c>
      <c r="D8" s="23" t="s">
        <v>22</v>
      </c>
      <c r="E8" s="17">
        <v>157.58485999999999</v>
      </c>
      <c r="F8" s="18">
        <v>157.53139999999999</v>
      </c>
      <c r="G8" s="19">
        <v>157.53139999999999</v>
      </c>
      <c r="U8" s="29"/>
    </row>
    <row r="9" spans="1:21" ht="15" thickBot="1" x14ac:dyDescent="0.35">
      <c r="E9" s="26">
        <f>E8*1000000000</f>
        <v>157584860000</v>
      </c>
      <c r="F9" s="27">
        <f>F8*1000000000</f>
        <v>157531400000</v>
      </c>
      <c r="G9" s="28">
        <f>G8*1000000000</f>
        <v>157531400000</v>
      </c>
    </row>
    <row r="10" spans="1:21" ht="15" customHeight="1" thickBot="1" x14ac:dyDescent="0.35"/>
    <row r="11" spans="1:21" ht="15" customHeight="1" thickBot="1" x14ac:dyDescent="0.35">
      <c r="D11" s="30" t="s">
        <v>23</v>
      </c>
      <c r="E11" s="31">
        <v>7.5628700000000002</v>
      </c>
      <c r="F11" s="31">
        <v>7.5603100000000003</v>
      </c>
      <c r="G11" s="32">
        <v>7.5603100000000003</v>
      </c>
    </row>
    <row r="12" spans="1:21" ht="27" customHeight="1" x14ac:dyDescent="0.3">
      <c r="A12" s="33" t="s">
        <v>24</v>
      </c>
      <c r="B12" s="34"/>
    </row>
    <row r="13" spans="1:21" ht="15" thickBot="1" x14ac:dyDescent="0.35">
      <c r="A13" s="35"/>
      <c r="B13" s="36"/>
      <c r="S13" s="29"/>
      <c r="T13" s="29"/>
    </row>
    <row r="14" spans="1:21" ht="15.6" x14ac:dyDescent="0.3">
      <c r="A14" s="35"/>
      <c r="B14" s="36"/>
      <c r="D14" s="37" t="s">
        <v>25</v>
      </c>
      <c r="E14" s="38"/>
      <c r="F14" s="3" t="s">
        <v>26</v>
      </c>
      <c r="G14" s="3" t="s">
        <v>27</v>
      </c>
      <c r="H14" s="4" t="s">
        <v>28</v>
      </c>
    </row>
    <row r="15" spans="1:21" x14ac:dyDescent="0.3">
      <c r="A15" s="35"/>
      <c r="B15" s="36"/>
      <c r="E15" s="39"/>
      <c r="F15" s="40" t="s">
        <v>29</v>
      </c>
      <c r="G15" s="40" t="s">
        <v>30</v>
      </c>
      <c r="H15" s="41" t="s">
        <v>30</v>
      </c>
    </row>
    <row r="16" spans="1:21" x14ac:dyDescent="0.3">
      <c r="A16" s="35"/>
      <c r="B16" s="36"/>
      <c r="E16" s="39" t="s">
        <v>31</v>
      </c>
      <c r="F16" s="42">
        <v>0.88900000000000001</v>
      </c>
      <c r="G16" s="42">
        <v>2.9809999999999999</v>
      </c>
      <c r="H16" s="41">
        <v>27.391999999999999</v>
      </c>
    </row>
    <row r="17" spans="1:10" x14ac:dyDescent="0.3">
      <c r="A17" s="35"/>
      <c r="B17" s="36"/>
      <c r="E17" s="39" t="s">
        <v>32</v>
      </c>
      <c r="F17" s="42">
        <v>0</v>
      </c>
      <c r="G17" s="42">
        <v>0</v>
      </c>
      <c r="H17" s="41">
        <v>1.377</v>
      </c>
    </row>
    <row r="18" spans="1:10" x14ac:dyDescent="0.3">
      <c r="A18" s="35"/>
      <c r="B18" s="36"/>
      <c r="E18" s="39" t="s">
        <v>34</v>
      </c>
      <c r="F18" s="42">
        <v>0.88900000000000001</v>
      </c>
      <c r="G18" s="42">
        <v>2.9809999999999999</v>
      </c>
      <c r="H18" s="41">
        <v>26.013999999999999</v>
      </c>
    </row>
    <row r="19" spans="1:10" x14ac:dyDescent="0.3">
      <c r="A19" s="35"/>
      <c r="B19" s="36"/>
      <c r="E19" s="39" t="s">
        <v>35</v>
      </c>
      <c r="F19" s="42">
        <v>0</v>
      </c>
      <c r="G19" s="42">
        <v>0</v>
      </c>
      <c r="H19" s="41">
        <v>0</v>
      </c>
    </row>
    <row r="20" spans="1:10" ht="15" thickBot="1" x14ac:dyDescent="0.35">
      <c r="A20" s="26"/>
      <c r="B20" s="28"/>
      <c r="E20" s="44" t="s">
        <v>36</v>
      </c>
      <c r="F20" s="45">
        <v>0</v>
      </c>
      <c r="G20" s="45">
        <v>0</v>
      </c>
      <c r="H20" s="115">
        <v>0</v>
      </c>
    </row>
    <row r="21" spans="1:10" ht="15" thickBot="1" x14ac:dyDescent="0.35">
      <c r="F21" s="47"/>
      <c r="G21" s="47"/>
      <c r="H21" s="47"/>
    </row>
    <row r="22" spans="1:10" x14ac:dyDescent="0.3">
      <c r="E22" s="38"/>
      <c r="F22" s="4" t="s">
        <v>37</v>
      </c>
    </row>
    <row r="23" spans="1:10" x14ac:dyDescent="0.3">
      <c r="E23" s="39" t="s">
        <v>38</v>
      </c>
      <c r="F23" s="116">
        <v>79535.8</v>
      </c>
      <c r="J23"/>
    </row>
    <row r="24" spans="1:10" x14ac:dyDescent="0.3">
      <c r="E24" s="39" t="s">
        <v>39</v>
      </c>
      <c r="F24" s="116">
        <v>79535.8</v>
      </c>
    </row>
    <row r="25" spans="1:10" x14ac:dyDescent="0.3">
      <c r="E25" s="39" t="s">
        <v>40</v>
      </c>
      <c r="F25" s="116">
        <v>1</v>
      </c>
    </row>
    <row r="26" spans="1:10" x14ac:dyDescent="0.3">
      <c r="E26" s="39" t="s">
        <v>41</v>
      </c>
      <c r="F26" s="116">
        <v>1</v>
      </c>
      <c r="G26" s="5" t="s">
        <v>42</v>
      </c>
    </row>
    <row r="27" spans="1:10" x14ac:dyDescent="0.3">
      <c r="E27" s="39" t="s">
        <v>32</v>
      </c>
      <c r="F27" s="116">
        <v>2</v>
      </c>
      <c r="G27" s="50"/>
    </row>
    <row r="28" spans="1:10" x14ac:dyDescent="0.3">
      <c r="E28" s="39" t="s">
        <v>34</v>
      </c>
      <c r="F28" s="116">
        <v>39767.9</v>
      </c>
      <c r="G28" s="50"/>
    </row>
    <row r="29" spans="1:10" ht="15" thickBot="1" x14ac:dyDescent="0.35">
      <c r="E29" s="44" t="s">
        <v>35</v>
      </c>
      <c r="F29" s="117">
        <v>1</v>
      </c>
      <c r="G29" s="50"/>
    </row>
    <row r="30" spans="1:10" ht="15" thickBot="1" x14ac:dyDescent="0.35"/>
    <row r="31" spans="1:10" ht="16.2" x14ac:dyDescent="0.3">
      <c r="A31" s="17" t="s">
        <v>43</v>
      </c>
      <c r="B31" s="18" t="s">
        <v>44</v>
      </c>
      <c r="C31" s="52" t="s">
        <v>45</v>
      </c>
      <c r="D31" s="52" t="s">
        <v>116</v>
      </c>
      <c r="E31" s="16" t="s">
        <v>117</v>
      </c>
    </row>
    <row r="32" spans="1:10" x14ac:dyDescent="0.3">
      <c r="A32" s="35"/>
      <c r="B32" s="53">
        <f t="shared" ref="B32:B40" si="1">A32*$I$2</f>
        <v>0</v>
      </c>
      <c r="C32" s="54">
        <f>298.15</f>
        <v>298.14999999999998</v>
      </c>
      <c r="D32" s="100">
        <f>($A$2*C32)/$J$2</f>
        <v>4.062431680236861E-26</v>
      </c>
      <c r="E32" s="134">
        <f>$F$2*($F$83*D32)/($D$2*C32)</f>
        <v>0.99996338110898686</v>
      </c>
    </row>
    <row r="33" spans="1:5" x14ac:dyDescent="0.3">
      <c r="A33" s="35"/>
      <c r="B33" s="53">
        <f t="shared" si="1"/>
        <v>0</v>
      </c>
      <c r="C33" s="54">
        <f>300+100</f>
        <v>400</v>
      </c>
      <c r="D33" s="100">
        <f t="shared" ref="D33:D50" si="2">($A$2*C33)/$J$2</f>
        <v>5.4501850481125095E-26</v>
      </c>
      <c r="E33" s="134">
        <f t="shared" ref="E33:E50" si="3">$F$2*($F$83*D33)/($D$2*C33)</f>
        <v>0.99996338110898686</v>
      </c>
    </row>
    <row r="34" spans="1:5" x14ac:dyDescent="0.3">
      <c r="A34" s="35"/>
      <c r="B34" s="53">
        <f t="shared" si="1"/>
        <v>0</v>
      </c>
      <c r="C34" s="54">
        <f t="shared" ref="C34:C50" si="4">C33+100</f>
        <v>500</v>
      </c>
      <c r="D34" s="100">
        <f t="shared" si="2"/>
        <v>6.8127313101406362E-26</v>
      </c>
      <c r="E34" s="134">
        <f t="shared" si="3"/>
        <v>0.99996338110898675</v>
      </c>
    </row>
    <row r="35" spans="1:5" x14ac:dyDescent="0.3">
      <c r="A35" s="35"/>
      <c r="B35" s="53">
        <f t="shared" si="1"/>
        <v>0</v>
      </c>
      <c r="C35" s="54">
        <f t="shared" si="4"/>
        <v>600</v>
      </c>
      <c r="D35" s="100">
        <f t="shared" si="2"/>
        <v>8.175277572168763E-26</v>
      </c>
      <c r="E35" s="134">
        <f t="shared" si="3"/>
        <v>0.99996338110898653</v>
      </c>
    </row>
    <row r="36" spans="1:5" x14ac:dyDescent="0.3">
      <c r="A36" s="35"/>
      <c r="B36" s="53">
        <f t="shared" si="1"/>
        <v>0</v>
      </c>
      <c r="C36" s="54">
        <f t="shared" si="4"/>
        <v>700</v>
      </c>
      <c r="D36" s="100">
        <f t="shared" si="2"/>
        <v>9.5378238341968898E-26</v>
      </c>
      <c r="E36" s="134">
        <f t="shared" si="3"/>
        <v>0.99996338110898653</v>
      </c>
    </row>
    <row r="37" spans="1:5" x14ac:dyDescent="0.3">
      <c r="A37" s="35"/>
      <c r="B37" s="53">
        <f t="shared" si="1"/>
        <v>0</v>
      </c>
      <c r="C37" s="54">
        <f t="shared" si="4"/>
        <v>800</v>
      </c>
      <c r="D37" s="100">
        <f t="shared" si="2"/>
        <v>1.0900370096225019E-25</v>
      </c>
      <c r="E37" s="134">
        <f t="shared" si="3"/>
        <v>0.99996338110898686</v>
      </c>
    </row>
    <row r="38" spans="1:5" x14ac:dyDescent="0.3">
      <c r="A38" s="35"/>
      <c r="B38" s="53">
        <f t="shared" si="1"/>
        <v>0</v>
      </c>
      <c r="C38" s="54">
        <f t="shared" si="4"/>
        <v>900</v>
      </c>
      <c r="D38" s="100">
        <f t="shared" si="2"/>
        <v>1.2262916358253145E-25</v>
      </c>
      <c r="E38" s="134">
        <f t="shared" si="3"/>
        <v>0.99996338110898675</v>
      </c>
    </row>
    <row r="39" spans="1:5" x14ac:dyDescent="0.3">
      <c r="A39" s="35"/>
      <c r="B39" s="53">
        <f t="shared" si="1"/>
        <v>0</v>
      </c>
      <c r="C39" s="54">
        <f t="shared" si="4"/>
        <v>1000</v>
      </c>
      <c r="D39" s="100">
        <f t="shared" si="2"/>
        <v>1.3625462620281272E-25</v>
      </c>
      <c r="E39" s="134">
        <f t="shared" si="3"/>
        <v>0.99996338110898675</v>
      </c>
    </row>
    <row r="40" spans="1:5" ht="15" thickBot="1" x14ac:dyDescent="0.35">
      <c r="A40" s="26"/>
      <c r="B40" s="55">
        <f t="shared" si="1"/>
        <v>0</v>
      </c>
      <c r="C40" s="54">
        <f t="shared" si="4"/>
        <v>1100</v>
      </c>
      <c r="D40" s="100">
        <f t="shared" si="2"/>
        <v>1.4988008882309398E-25</v>
      </c>
      <c r="E40" s="134">
        <f t="shared" si="3"/>
        <v>0.99996338110898653</v>
      </c>
    </row>
    <row r="41" spans="1:5" x14ac:dyDescent="0.3">
      <c r="B41" s="53"/>
      <c r="C41" s="54">
        <f t="shared" si="4"/>
        <v>1200</v>
      </c>
      <c r="D41" s="100">
        <f t="shared" si="2"/>
        <v>1.6350555144337526E-25</v>
      </c>
      <c r="E41" s="134">
        <f t="shared" si="3"/>
        <v>0.99996338110898653</v>
      </c>
    </row>
    <row r="42" spans="1:5" x14ac:dyDescent="0.3">
      <c r="B42" s="53"/>
      <c r="C42" s="54">
        <f t="shared" si="4"/>
        <v>1300</v>
      </c>
      <c r="D42" s="100">
        <f t="shared" si="2"/>
        <v>1.7713101406365654E-25</v>
      </c>
      <c r="E42" s="134">
        <f t="shared" si="3"/>
        <v>0.99996338110898675</v>
      </c>
    </row>
    <row r="43" spans="1:5" x14ac:dyDescent="0.3">
      <c r="B43" s="53"/>
      <c r="C43" s="54">
        <f t="shared" si="4"/>
        <v>1400</v>
      </c>
      <c r="D43" s="100">
        <f t="shared" si="2"/>
        <v>1.907564766839378E-25</v>
      </c>
      <c r="E43" s="134">
        <f t="shared" si="3"/>
        <v>0.99996338110898653</v>
      </c>
    </row>
    <row r="44" spans="1:5" x14ac:dyDescent="0.3">
      <c r="B44" s="53"/>
      <c r="C44" s="54">
        <f t="shared" si="4"/>
        <v>1500</v>
      </c>
      <c r="D44" s="100">
        <f t="shared" si="2"/>
        <v>2.0438193930421908E-25</v>
      </c>
      <c r="E44" s="134">
        <f t="shared" si="3"/>
        <v>0.99996338110898675</v>
      </c>
    </row>
    <row r="45" spans="1:5" x14ac:dyDescent="0.3">
      <c r="B45" s="53"/>
      <c r="C45" s="54">
        <f t="shared" si="4"/>
        <v>1600</v>
      </c>
      <c r="D45" s="100">
        <f t="shared" si="2"/>
        <v>2.1800740192450038E-25</v>
      </c>
      <c r="E45" s="134">
        <f t="shared" si="3"/>
        <v>0.99996338110898686</v>
      </c>
    </row>
    <row r="46" spans="1:5" x14ac:dyDescent="0.3">
      <c r="B46" s="53"/>
      <c r="C46" s="54">
        <f t="shared" si="4"/>
        <v>1700</v>
      </c>
      <c r="D46" s="100">
        <f t="shared" si="2"/>
        <v>2.3163286454478159E-25</v>
      </c>
      <c r="E46" s="134">
        <f t="shared" si="3"/>
        <v>0.99996338110898664</v>
      </c>
    </row>
    <row r="47" spans="1:5" x14ac:dyDescent="0.3">
      <c r="B47" s="53"/>
      <c r="C47" s="54">
        <f t="shared" si="4"/>
        <v>1800</v>
      </c>
      <c r="D47" s="100">
        <f t="shared" si="2"/>
        <v>2.4525832716506289E-25</v>
      </c>
      <c r="E47" s="134">
        <f t="shared" si="3"/>
        <v>0.99996338110898675</v>
      </c>
    </row>
    <row r="48" spans="1:5" x14ac:dyDescent="0.3">
      <c r="B48" s="53"/>
      <c r="C48" s="54">
        <f t="shared" si="4"/>
        <v>1900</v>
      </c>
      <c r="D48" s="100">
        <f t="shared" si="2"/>
        <v>2.5888378978534419E-25</v>
      </c>
      <c r="E48" s="134">
        <f t="shared" si="3"/>
        <v>0.99996338110898686</v>
      </c>
    </row>
    <row r="49" spans="1:23" x14ac:dyDescent="0.3">
      <c r="B49" s="53"/>
      <c r="C49" s="54">
        <f t="shared" si="4"/>
        <v>2000</v>
      </c>
      <c r="D49" s="100">
        <f t="shared" si="2"/>
        <v>2.7250925240562545E-25</v>
      </c>
      <c r="E49" s="134">
        <f t="shared" si="3"/>
        <v>0.99996338110898675</v>
      </c>
    </row>
    <row r="50" spans="1:23" ht="15" thickBot="1" x14ac:dyDescent="0.35">
      <c r="C50" s="25">
        <f t="shared" si="4"/>
        <v>2100</v>
      </c>
      <c r="D50" s="101">
        <f t="shared" si="2"/>
        <v>2.8613471502590675E-25</v>
      </c>
      <c r="E50" s="135">
        <f t="shared" si="3"/>
        <v>0.99996338110898664</v>
      </c>
    </row>
    <row r="51" spans="1:23" ht="15" thickBot="1" x14ac:dyDescent="0.35"/>
    <row r="52" spans="1:23" ht="18.600000000000001" thickBot="1" x14ac:dyDescent="0.35">
      <c r="D52" s="171" t="s">
        <v>46</v>
      </c>
      <c r="E52" s="172"/>
      <c r="F52" s="172"/>
      <c r="G52" s="172"/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3"/>
    </row>
    <row r="53" spans="1:23" x14ac:dyDescent="0.3">
      <c r="A53" s="11" t="s">
        <v>47</v>
      </c>
      <c r="B53" s="57">
        <f>1</f>
        <v>1</v>
      </c>
      <c r="D53" s="58" t="s">
        <v>48</v>
      </c>
      <c r="E53" s="59">
        <v>298.14999999999998</v>
      </c>
      <c r="F53" s="59">
        <f>300+100</f>
        <v>400</v>
      </c>
      <c r="G53" s="59">
        <f t="shared" ref="G53:W53" si="5">F53+100</f>
        <v>500</v>
      </c>
      <c r="H53" s="59">
        <f t="shared" si="5"/>
        <v>600</v>
      </c>
      <c r="I53" s="59">
        <f t="shared" si="5"/>
        <v>700</v>
      </c>
      <c r="J53" s="59">
        <f t="shared" si="5"/>
        <v>800</v>
      </c>
      <c r="K53" s="59">
        <f t="shared" si="5"/>
        <v>900</v>
      </c>
      <c r="L53" s="59">
        <f t="shared" si="5"/>
        <v>1000</v>
      </c>
      <c r="M53" s="59">
        <f t="shared" si="5"/>
        <v>1100</v>
      </c>
      <c r="N53" s="59">
        <f t="shared" si="5"/>
        <v>1200</v>
      </c>
      <c r="O53" s="59">
        <f t="shared" si="5"/>
        <v>1300</v>
      </c>
      <c r="P53" s="59">
        <f t="shared" si="5"/>
        <v>1400</v>
      </c>
      <c r="Q53" s="59">
        <f t="shared" si="5"/>
        <v>1500</v>
      </c>
      <c r="R53" s="59">
        <f t="shared" si="5"/>
        <v>1600</v>
      </c>
      <c r="S53" s="59">
        <f t="shared" si="5"/>
        <v>1700</v>
      </c>
      <c r="T53" s="59">
        <f t="shared" si="5"/>
        <v>1800</v>
      </c>
      <c r="U53" s="59">
        <f t="shared" si="5"/>
        <v>1900</v>
      </c>
      <c r="V53" s="59">
        <f t="shared" si="5"/>
        <v>2000</v>
      </c>
      <c r="W53" s="60">
        <f t="shared" si="5"/>
        <v>2100</v>
      </c>
    </row>
    <row r="54" spans="1:23" x14ac:dyDescent="0.3">
      <c r="A54" s="35"/>
      <c r="B54" s="61">
        <f>1</f>
        <v>1</v>
      </c>
      <c r="D54" s="62">
        <f t="shared" ref="D54:D62" si="6">A32*$I$2</f>
        <v>0</v>
      </c>
      <c r="E54" s="53">
        <v>1</v>
      </c>
      <c r="F54" s="53">
        <v>1</v>
      </c>
      <c r="G54" s="53">
        <v>1</v>
      </c>
      <c r="H54" s="53">
        <v>1</v>
      </c>
      <c r="I54" s="53">
        <v>1</v>
      </c>
      <c r="J54" s="53">
        <v>1</v>
      </c>
      <c r="K54" s="53">
        <v>1</v>
      </c>
      <c r="L54" s="53">
        <v>1</v>
      </c>
      <c r="M54" s="53">
        <v>1</v>
      </c>
      <c r="N54" s="53">
        <v>1</v>
      </c>
      <c r="O54" s="53">
        <v>1</v>
      </c>
      <c r="P54" s="53">
        <v>1</v>
      </c>
      <c r="Q54" s="53">
        <v>1</v>
      </c>
      <c r="R54" s="53">
        <v>1</v>
      </c>
      <c r="S54" s="53">
        <v>1</v>
      </c>
      <c r="T54" s="53">
        <v>1</v>
      </c>
      <c r="U54" s="53">
        <v>1</v>
      </c>
      <c r="V54" s="53">
        <v>1</v>
      </c>
      <c r="W54" s="61">
        <v>1</v>
      </c>
    </row>
    <row r="55" spans="1:23" x14ac:dyDescent="0.3">
      <c r="A55" s="35"/>
      <c r="B55" s="61">
        <f>1</f>
        <v>1</v>
      </c>
      <c r="D55" s="62">
        <f t="shared" si="6"/>
        <v>0</v>
      </c>
      <c r="E55" s="53">
        <v>1</v>
      </c>
      <c r="F55" s="53">
        <v>1</v>
      </c>
      <c r="G55" s="53">
        <v>1</v>
      </c>
      <c r="H55" s="53">
        <v>1</v>
      </c>
      <c r="I55" s="53">
        <v>1</v>
      </c>
      <c r="J55" s="53">
        <v>1</v>
      </c>
      <c r="K55" s="53">
        <v>1</v>
      </c>
      <c r="L55" s="53">
        <v>1</v>
      </c>
      <c r="M55" s="53">
        <v>1</v>
      </c>
      <c r="N55" s="53">
        <v>1</v>
      </c>
      <c r="O55" s="53">
        <v>1</v>
      </c>
      <c r="P55" s="53">
        <v>1</v>
      </c>
      <c r="Q55" s="53">
        <v>1</v>
      </c>
      <c r="R55" s="53">
        <v>1</v>
      </c>
      <c r="S55" s="53">
        <v>1</v>
      </c>
      <c r="T55" s="53">
        <v>1</v>
      </c>
      <c r="U55" s="53">
        <v>1</v>
      </c>
      <c r="V55" s="53">
        <v>1</v>
      </c>
      <c r="W55" s="61">
        <v>1</v>
      </c>
    </row>
    <row r="56" spans="1:23" x14ac:dyDescent="0.3">
      <c r="A56" s="35"/>
      <c r="B56" s="61">
        <f>1</f>
        <v>1</v>
      </c>
      <c r="D56" s="62">
        <f t="shared" si="6"/>
        <v>0</v>
      </c>
      <c r="E56" s="53">
        <v>1</v>
      </c>
      <c r="F56" s="53">
        <v>1</v>
      </c>
      <c r="G56" s="53">
        <v>1</v>
      </c>
      <c r="H56" s="53">
        <v>1</v>
      </c>
      <c r="I56" s="53">
        <v>1</v>
      </c>
      <c r="J56" s="53">
        <v>1</v>
      </c>
      <c r="K56" s="53">
        <v>1</v>
      </c>
      <c r="L56" s="53">
        <v>1</v>
      </c>
      <c r="M56" s="53">
        <v>1</v>
      </c>
      <c r="N56" s="53">
        <v>1</v>
      </c>
      <c r="O56" s="53">
        <v>1</v>
      </c>
      <c r="P56" s="53">
        <v>1</v>
      </c>
      <c r="Q56" s="53">
        <v>1</v>
      </c>
      <c r="R56" s="53">
        <v>1</v>
      </c>
      <c r="S56" s="53">
        <v>1</v>
      </c>
      <c r="T56" s="53">
        <v>1</v>
      </c>
      <c r="U56" s="53">
        <v>1</v>
      </c>
      <c r="V56" s="53">
        <v>1</v>
      </c>
      <c r="W56" s="61">
        <v>1</v>
      </c>
    </row>
    <row r="57" spans="1:23" x14ac:dyDescent="0.3">
      <c r="A57" s="35"/>
      <c r="B57" s="61">
        <f>1</f>
        <v>1</v>
      </c>
      <c r="D57" s="62">
        <f t="shared" si="6"/>
        <v>0</v>
      </c>
      <c r="E57" s="53">
        <v>1</v>
      </c>
      <c r="F57" s="53">
        <v>1</v>
      </c>
      <c r="G57" s="53">
        <v>1</v>
      </c>
      <c r="H57" s="53">
        <v>1</v>
      </c>
      <c r="I57" s="53">
        <v>1</v>
      </c>
      <c r="J57" s="53">
        <v>1</v>
      </c>
      <c r="K57" s="53">
        <v>1</v>
      </c>
      <c r="L57" s="53">
        <v>1</v>
      </c>
      <c r="M57" s="53">
        <v>1</v>
      </c>
      <c r="N57" s="53">
        <v>1</v>
      </c>
      <c r="O57" s="53">
        <v>1</v>
      </c>
      <c r="P57" s="53">
        <v>1</v>
      </c>
      <c r="Q57" s="53">
        <v>1</v>
      </c>
      <c r="R57" s="53">
        <v>1</v>
      </c>
      <c r="S57" s="53">
        <v>1</v>
      </c>
      <c r="T57" s="53">
        <v>1</v>
      </c>
      <c r="U57" s="53">
        <v>1</v>
      </c>
      <c r="V57" s="53">
        <v>1</v>
      </c>
      <c r="W57" s="61">
        <v>1</v>
      </c>
    </row>
    <row r="58" spans="1:23" x14ac:dyDescent="0.3">
      <c r="A58" s="35"/>
      <c r="B58" s="61">
        <f>1</f>
        <v>1</v>
      </c>
      <c r="D58" s="62">
        <f t="shared" si="6"/>
        <v>0</v>
      </c>
      <c r="E58" s="53">
        <v>1</v>
      </c>
      <c r="F58" s="53">
        <v>1</v>
      </c>
      <c r="G58" s="53">
        <v>1</v>
      </c>
      <c r="H58" s="53">
        <v>1</v>
      </c>
      <c r="I58" s="53">
        <v>1</v>
      </c>
      <c r="J58" s="53">
        <v>1</v>
      </c>
      <c r="K58" s="53">
        <v>1</v>
      </c>
      <c r="L58" s="53">
        <v>1</v>
      </c>
      <c r="M58" s="53">
        <v>1</v>
      </c>
      <c r="N58" s="53">
        <v>1</v>
      </c>
      <c r="O58" s="53">
        <v>1</v>
      </c>
      <c r="P58" s="53">
        <v>1</v>
      </c>
      <c r="Q58" s="53">
        <v>1</v>
      </c>
      <c r="R58" s="53">
        <v>1</v>
      </c>
      <c r="S58" s="53">
        <v>1</v>
      </c>
      <c r="T58" s="53">
        <v>1</v>
      </c>
      <c r="U58" s="53">
        <v>1</v>
      </c>
      <c r="V58" s="53">
        <v>1</v>
      </c>
      <c r="W58" s="61">
        <v>1</v>
      </c>
    </row>
    <row r="59" spans="1:23" x14ac:dyDescent="0.3">
      <c r="A59" s="35"/>
      <c r="B59" s="61">
        <f>1</f>
        <v>1</v>
      </c>
      <c r="D59" s="62">
        <f t="shared" si="6"/>
        <v>0</v>
      </c>
      <c r="E59" s="53">
        <v>1</v>
      </c>
      <c r="F59" s="53">
        <v>1</v>
      </c>
      <c r="G59" s="53">
        <v>1</v>
      </c>
      <c r="H59" s="53">
        <v>1</v>
      </c>
      <c r="I59" s="53">
        <v>1</v>
      </c>
      <c r="J59" s="53">
        <v>1</v>
      </c>
      <c r="K59" s="53">
        <v>1</v>
      </c>
      <c r="L59" s="53">
        <v>1</v>
      </c>
      <c r="M59" s="53">
        <v>1</v>
      </c>
      <c r="N59" s="53">
        <v>1</v>
      </c>
      <c r="O59" s="53">
        <v>1</v>
      </c>
      <c r="P59" s="53">
        <v>1</v>
      </c>
      <c r="Q59" s="53">
        <v>1</v>
      </c>
      <c r="R59" s="53">
        <v>1</v>
      </c>
      <c r="S59" s="53">
        <v>1</v>
      </c>
      <c r="T59" s="53">
        <v>1</v>
      </c>
      <c r="U59" s="53">
        <v>1</v>
      </c>
      <c r="V59" s="53">
        <v>1</v>
      </c>
      <c r="W59" s="61">
        <v>1</v>
      </c>
    </row>
    <row r="60" spans="1:23" x14ac:dyDescent="0.3">
      <c r="A60" s="35"/>
      <c r="B60" s="61">
        <f>1</f>
        <v>1</v>
      </c>
      <c r="D60" s="62">
        <f t="shared" si="6"/>
        <v>0</v>
      </c>
      <c r="E60" s="53">
        <v>1</v>
      </c>
      <c r="F60" s="53">
        <v>1</v>
      </c>
      <c r="G60" s="53">
        <v>1</v>
      </c>
      <c r="H60" s="53">
        <v>1</v>
      </c>
      <c r="I60" s="53">
        <v>1</v>
      </c>
      <c r="J60" s="53">
        <v>1</v>
      </c>
      <c r="K60" s="53">
        <v>1</v>
      </c>
      <c r="L60" s="53">
        <v>1</v>
      </c>
      <c r="M60" s="53">
        <v>1</v>
      </c>
      <c r="N60" s="53">
        <v>1</v>
      </c>
      <c r="O60" s="53">
        <v>1</v>
      </c>
      <c r="P60" s="53">
        <v>1</v>
      </c>
      <c r="Q60" s="53">
        <v>1</v>
      </c>
      <c r="R60" s="53">
        <v>1</v>
      </c>
      <c r="S60" s="53">
        <v>1</v>
      </c>
      <c r="T60" s="53">
        <v>1</v>
      </c>
      <c r="U60" s="53">
        <v>1</v>
      </c>
      <c r="V60" s="53">
        <v>1</v>
      </c>
      <c r="W60" s="61">
        <v>1</v>
      </c>
    </row>
    <row r="61" spans="1:23" ht="15" thickBot="1" x14ac:dyDescent="0.35">
      <c r="A61" s="26"/>
      <c r="B61" s="63">
        <f>1</f>
        <v>1</v>
      </c>
      <c r="D61" s="62">
        <f t="shared" si="6"/>
        <v>0</v>
      </c>
      <c r="E61" s="53">
        <v>1</v>
      </c>
      <c r="F61" s="53">
        <v>1</v>
      </c>
      <c r="G61" s="53">
        <v>1</v>
      </c>
      <c r="H61" s="53">
        <v>1</v>
      </c>
      <c r="I61" s="53">
        <v>1</v>
      </c>
      <c r="J61" s="53">
        <v>1</v>
      </c>
      <c r="K61" s="53">
        <v>1</v>
      </c>
      <c r="L61" s="53">
        <v>1</v>
      </c>
      <c r="M61" s="53">
        <v>1</v>
      </c>
      <c r="N61" s="53">
        <v>1</v>
      </c>
      <c r="O61" s="53">
        <v>1</v>
      </c>
      <c r="P61" s="53">
        <v>1</v>
      </c>
      <c r="Q61" s="53">
        <v>1</v>
      </c>
      <c r="R61" s="53">
        <v>1</v>
      </c>
      <c r="S61" s="53">
        <v>1</v>
      </c>
      <c r="T61" s="53">
        <v>1</v>
      </c>
      <c r="U61" s="53">
        <v>1</v>
      </c>
      <c r="V61" s="53">
        <v>1</v>
      </c>
      <c r="W61" s="61">
        <v>1</v>
      </c>
    </row>
    <row r="62" spans="1:23" ht="15" thickBot="1" x14ac:dyDescent="0.35">
      <c r="B62" s="53"/>
      <c r="D62" s="64">
        <f t="shared" si="6"/>
        <v>0</v>
      </c>
      <c r="E62" s="55">
        <v>1</v>
      </c>
      <c r="F62" s="55">
        <v>1</v>
      </c>
      <c r="G62" s="55">
        <v>1</v>
      </c>
      <c r="H62" s="55">
        <v>1</v>
      </c>
      <c r="I62" s="55">
        <v>1</v>
      </c>
      <c r="J62" s="55">
        <v>1</v>
      </c>
      <c r="K62" s="55">
        <v>1</v>
      </c>
      <c r="L62" s="55">
        <v>1</v>
      </c>
      <c r="M62" s="55">
        <v>1</v>
      </c>
      <c r="N62" s="55">
        <v>1</v>
      </c>
      <c r="O62" s="55">
        <v>1</v>
      </c>
      <c r="P62" s="55">
        <v>1</v>
      </c>
      <c r="Q62" s="55">
        <v>1</v>
      </c>
      <c r="R62" s="55">
        <v>1</v>
      </c>
      <c r="S62" s="55">
        <v>1</v>
      </c>
      <c r="T62" s="55">
        <v>1</v>
      </c>
      <c r="U62" s="55">
        <v>1</v>
      </c>
      <c r="V62" s="55">
        <v>1</v>
      </c>
      <c r="W62" s="63">
        <v>1</v>
      </c>
    </row>
    <row r="63" spans="1:23" x14ac:dyDescent="0.3">
      <c r="B63" s="53"/>
      <c r="D63" s="65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</row>
    <row r="64" spans="1:23" ht="15" thickBot="1" x14ac:dyDescent="0.35">
      <c r="B64" s="53"/>
      <c r="D64" s="65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</row>
    <row r="65" spans="1:23" x14ac:dyDescent="0.3">
      <c r="B65" s="53"/>
      <c r="D65" s="66" t="s">
        <v>49</v>
      </c>
      <c r="E65" s="67">
        <v>298.14999999999998</v>
      </c>
      <c r="F65" s="67">
        <f>300+100</f>
        <v>400</v>
      </c>
      <c r="G65" s="67">
        <f t="shared" ref="G65:W65" si="7">F65+100</f>
        <v>500</v>
      </c>
      <c r="H65" s="67">
        <f t="shared" si="7"/>
        <v>600</v>
      </c>
      <c r="I65" s="67">
        <f t="shared" si="7"/>
        <v>700</v>
      </c>
      <c r="J65" s="67">
        <f t="shared" si="7"/>
        <v>800</v>
      </c>
      <c r="K65" s="67">
        <f t="shared" si="7"/>
        <v>900</v>
      </c>
      <c r="L65" s="67">
        <f t="shared" si="7"/>
        <v>1000</v>
      </c>
      <c r="M65" s="67">
        <f t="shared" si="7"/>
        <v>1100</v>
      </c>
      <c r="N65" s="67">
        <f t="shared" si="7"/>
        <v>1200</v>
      </c>
      <c r="O65" s="67">
        <f t="shared" si="7"/>
        <v>1300</v>
      </c>
      <c r="P65" s="67">
        <f t="shared" si="7"/>
        <v>1400</v>
      </c>
      <c r="Q65" s="67">
        <f t="shared" si="7"/>
        <v>1500</v>
      </c>
      <c r="R65" s="67">
        <f t="shared" si="7"/>
        <v>1600</v>
      </c>
      <c r="S65" s="67">
        <f t="shared" si="7"/>
        <v>1700</v>
      </c>
      <c r="T65" s="67">
        <f t="shared" si="7"/>
        <v>1800</v>
      </c>
      <c r="U65" s="67">
        <f t="shared" si="7"/>
        <v>1900</v>
      </c>
      <c r="V65" s="67">
        <f t="shared" si="7"/>
        <v>2000</v>
      </c>
      <c r="W65" s="68">
        <f t="shared" si="7"/>
        <v>2100</v>
      </c>
    </row>
    <row r="66" spans="1:23" ht="15" thickBot="1" x14ac:dyDescent="0.35">
      <c r="B66" s="53"/>
      <c r="D66" s="64" t="s">
        <v>50</v>
      </c>
      <c r="E66" s="55">
        <f>PRODUCT(E54:E62)</f>
        <v>1</v>
      </c>
      <c r="F66" s="55">
        <f>PRODUCT(F54:F62)</f>
        <v>1</v>
      </c>
      <c r="G66" s="55">
        <f t="shared" ref="G66:W66" si="8">PRODUCT(G54:G62)</f>
        <v>1</v>
      </c>
      <c r="H66" s="55">
        <f t="shared" si="8"/>
        <v>1</v>
      </c>
      <c r="I66" s="55">
        <f t="shared" si="8"/>
        <v>1</v>
      </c>
      <c r="J66" s="55">
        <f t="shared" si="8"/>
        <v>1</v>
      </c>
      <c r="K66" s="55">
        <f t="shared" si="8"/>
        <v>1</v>
      </c>
      <c r="L66" s="55">
        <f t="shared" si="8"/>
        <v>1</v>
      </c>
      <c r="M66" s="55">
        <f t="shared" si="8"/>
        <v>1</v>
      </c>
      <c r="N66" s="55">
        <f t="shared" si="8"/>
        <v>1</v>
      </c>
      <c r="O66" s="55">
        <f t="shared" si="8"/>
        <v>1</v>
      </c>
      <c r="P66" s="55">
        <f t="shared" si="8"/>
        <v>1</v>
      </c>
      <c r="Q66" s="55">
        <f t="shared" si="8"/>
        <v>1</v>
      </c>
      <c r="R66" s="55">
        <f t="shared" si="8"/>
        <v>1</v>
      </c>
      <c r="S66" s="55">
        <f t="shared" si="8"/>
        <v>1</v>
      </c>
      <c r="T66" s="55">
        <f t="shared" si="8"/>
        <v>1</v>
      </c>
      <c r="U66" s="55">
        <f t="shared" si="8"/>
        <v>1</v>
      </c>
      <c r="V66" s="55">
        <f t="shared" si="8"/>
        <v>1</v>
      </c>
      <c r="W66" s="63">
        <f t="shared" si="8"/>
        <v>1</v>
      </c>
    </row>
    <row r="67" spans="1:23" x14ac:dyDescent="0.3">
      <c r="B67" s="53"/>
      <c r="D67" s="65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</row>
    <row r="68" spans="1:23" x14ac:dyDescent="0.3">
      <c r="B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</row>
    <row r="69" spans="1:23" x14ac:dyDescent="0.3">
      <c r="B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</row>
    <row r="70" spans="1:23" x14ac:dyDescent="0.3">
      <c r="B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</row>
    <row r="71" spans="1:23" ht="15" thickBot="1" x14ac:dyDescent="0.35"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</row>
    <row r="72" spans="1:23" x14ac:dyDescent="0.3">
      <c r="A72" s="17" t="s">
        <v>51</v>
      </c>
      <c r="B72" s="19">
        <f>COUNT(B53:B70)</f>
        <v>9</v>
      </c>
    </row>
    <row r="73" spans="1:23" ht="21" thickBot="1" x14ac:dyDescent="0.35">
      <c r="A73" s="69" t="s">
        <v>52</v>
      </c>
      <c r="B73" s="118">
        <f>PRODUCT(B53:B61)</f>
        <v>1</v>
      </c>
    </row>
    <row r="76" spans="1:23" ht="15" thickBot="1" x14ac:dyDescent="0.35"/>
    <row r="77" spans="1:23" x14ac:dyDescent="0.3">
      <c r="A77" s="16" t="s">
        <v>53</v>
      </c>
    </row>
    <row r="78" spans="1:23" x14ac:dyDescent="0.3">
      <c r="A78" s="71">
        <v>1</v>
      </c>
    </row>
    <row r="79" spans="1:23" x14ac:dyDescent="0.3">
      <c r="A79" s="72" t="s">
        <v>54</v>
      </c>
    </row>
    <row r="80" spans="1:23" ht="15" thickBot="1" x14ac:dyDescent="0.35">
      <c r="A80" s="73">
        <f>ABS(B73-A78)/B73</f>
        <v>0</v>
      </c>
    </row>
    <row r="81" spans="2:10" ht="15" thickBot="1" x14ac:dyDescent="0.35"/>
    <row r="82" spans="2:10" ht="18" x14ac:dyDescent="0.3">
      <c r="D82" s="11" t="s">
        <v>45</v>
      </c>
      <c r="E82" s="56" t="s">
        <v>55</v>
      </c>
      <c r="F82" s="52" t="s">
        <v>9</v>
      </c>
    </row>
    <row r="83" spans="2:10" ht="18.600000000000001" thickBot="1" x14ac:dyDescent="0.35">
      <c r="B83" s="74"/>
      <c r="D83" s="35">
        <f>298.15</f>
        <v>298.14999999999998</v>
      </c>
      <c r="E83" s="61">
        <f xml:space="preserve"> ( (2*$B$2*$E$2*$A$2*D83)/($C$2*$C$2) )^(1.5) * ($A$2*D83) /$F$83</f>
        <v>39745.204506497626</v>
      </c>
      <c r="F83" s="25">
        <v>101325</v>
      </c>
      <c r="H83" s="5" t="s">
        <v>56</v>
      </c>
    </row>
    <row r="84" spans="2:10" ht="15" thickBot="1" x14ac:dyDescent="0.35">
      <c r="D84" s="35">
        <f>300+100</f>
        <v>400</v>
      </c>
      <c r="E84" s="61">
        <f t="shared" ref="E84:E101" si="9" xml:space="preserve"> ( (2*$B$2*$E$2*$A$2*D84)/($C$2*$C$2) )^(1.5) * ($A$2*D84) /$F$83</f>
        <v>82860.524892792659</v>
      </c>
    </row>
    <row r="85" spans="2:10" ht="15" thickBot="1" x14ac:dyDescent="0.35">
      <c r="D85" s="35">
        <f t="shared" ref="D85:D101" si="10">D84+100</f>
        <v>500</v>
      </c>
      <c r="E85" s="61">
        <f t="shared" si="9"/>
        <v>144751.37993093667</v>
      </c>
      <c r="J85" s="16" t="s">
        <v>57</v>
      </c>
    </row>
    <row r="86" spans="2:10" x14ac:dyDescent="0.3">
      <c r="D86" s="35">
        <f t="shared" si="10"/>
        <v>600</v>
      </c>
      <c r="E86" s="61">
        <f t="shared" si="9"/>
        <v>228336.7565323434</v>
      </c>
      <c r="H86" s="75" t="s">
        <v>58</v>
      </c>
      <c r="I86" s="17" t="s">
        <v>59</v>
      </c>
      <c r="J86" s="121">
        <f xml:space="preserve"> ( (2*$B$2*$E$2*$A$2*298.15)/($C$2*$C$2) )^(1.5) * ($A$2*D83) /$F$83</f>
        <v>39745.204506497626</v>
      </c>
    </row>
    <row r="87" spans="2:10" ht="15" thickBot="1" x14ac:dyDescent="0.35">
      <c r="D87" s="35">
        <f t="shared" si="10"/>
        <v>700</v>
      </c>
      <c r="E87" s="61">
        <f t="shared" si="9"/>
        <v>335693.39925499359</v>
      </c>
      <c r="H87" s="59" t="s">
        <v>60</v>
      </c>
      <c r="I87" s="26" t="s">
        <v>59</v>
      </c>
      <c r="J87" s="122">
        <v>39767.9</v>
      </c>
    </row>
    <row r="88" spans="2:10" x14ac:dyDescent="0.3">
      <c r="D88" s="35">
        <f t="shared" si="10"/>
        <v>800</v>
      </c>
      <c r="E88" s="61">
        <f t="shared" si="9"/>
        <v>468729.9123549647</v>
      </c>
      <c r="J88" s="78" t="s">
        <v>54</v>
      </c>
    </row>
    <row r="89" spans="2:10" x14ac:dyDescent="0.3">
      <c r="D89" s="35">
        <f t="shared" si="10"/>
        <v>900</v>
      </c>
      <c r="E89" s="61">
        <f t="shared" si="9"/>
        <v>629222.11090465414</v>
      </c>
      <c r="J89" s="79">
        <f>(J86-J87)/J87</f>
        <v>-5.7069881744761547E-4</v>
      </c>
    </row>
    <row r="90" spans="2:10" x14ac:dyDescent="0.3">
      <c r="D90" s="35">
        <f t="shared" si="10"/>
        <v>1000</v>
      </c>
      <c r="E90" s="61">
        <f t="shared" si="9"/>
        <v>818837.45868220751</v>
      </c>
    </row>
    <row r="91" spans="2:10" x14ac:dyDescent="0.3">
      <c r="D91" s="35">
        <f t="shared" si="10"/>
        <v>1100</v>
      </c>
      <c r="E91" s="61">
        <f t="shared" si="9"/>
        <v>1039152.8059736693</v>
      </c>
    </row>
    <row r="92" spans="2:10" x14ac:dyDescent="0.3">
      <c r="D92" s="35">
        <f t="shared" si="10"/>
        <v>1200</v>
      </c>
      <c r="E92" s="61">
        <f t="shared" si="9"/>
        <v>1291667.7515052971</v>
      </c>
    </row>
    <row r="93" spans="2:10" x14ac:dyDescent="0.3">
      <c r="D93" s="35">
        <f t="shared" si="10"/>
        <v>1300</v>
      </c>
      <c r="E93" s="61">
        <f t="shared" si="9"/>
        <v>1577815.0073427462</v>
      </c>
    </row>
    <row r="94" spans="2:10" x14ac:dyDescent="0.3">
      <c r="D94" s="35">
        <f t="shared" si="10"/>
        <v>1400</v>
      </c>
      <c r="E94" s="61">
        <f t="shared" si="9"/>
        <v>1898968.6321021579</v>
      </c>
    </row>
    <row r="95" spans="2:10" x14ac:dyDescent="0.3">
      <c r="D95" s="35">
        <f t="shared" si="10"/>
        <v>1500</v>
      </c>
      <c r="E95" s="61">
        <f t="shared" si="9"/>
        <v>2256450.7005548179</v>
      </c>
    </row>
    <row r="96" spans="2:10" x14ac:dyDescent="0.3">
      <c r="D96" s="35">
        <f t="shared" si="10"/>
        <v>1600</v>
      </c>
      <c r="E96" s="61">
        <f t="shared" si="9"/>
        <v>2651536.7965693804</v>
      </c>
    </row>
    <row r="97" spans="1:10" x14ac:dyDescent="0.3">
      <c r="D97" s="35">
        <f t="shared" si="10"/>
        <v>1700</v>
      </c>
      <c r="E97" s="61">
        <f t="shared" si="9"/>
        <v>3085460.6012042118</v>
      </c>
    </row>
    <row r="98" spans="1:10" x14ac:dyDescent="0.3">
      <c r="D98" s="35">
        <f t="shared" si="10"/>
        <v>1800</v>
      </c>
      <c r="E98" s="61">
        <f t="shared" si="9"/>
        <v>3559417.7719455184</v>
      </c>
    </row>
    <row r="99" spans="1:10" x14ac:dyDescent="0.3">
      <c r="D99" s="35">
        <f t="shared" si="10"/>
        <v>1900</v>
      </c>
      <c r="E99" s="61">
        <f t="shared" si="9"/>
        <v>4074569.2576352647</v>
      </c>
    </row>
    <row r="100" spans="1:10" x14ac:dyDescent="0.3">
      <c r="D100" s="35">
        <f t="shared" si="10"/>
        <v>2000</v>
      </c>
      <c r="E100" s="61">
        <f t="shared" si="9"/>
        <v>4632044.1577899996</v>
      </c>
    </row>
    <row r="101" spans="1:10" ht="15" thickBot="1" x14ac:dyDescent="0.35">
      <c r="D101" s="26">
        <f t="shared" si="10"/>
        <v>2100</v>
      </c>
      <c r="E101" s="63">
        <f t="shared" si="9"/>
        <v>5232942.2094763611</v>
      </c>
    </row>
    <row r="104" spans="1:10" ht="15" thickBot="1" x14ac:dyDescent="0.35"/>
    <row r="105" spans="1:10" ht="18" x14ac:dyDescent="0.3">
      <c r="D105" s="11" t="s">
        <v>45</v>
      </c>
      <c r="E105" s="56" t="s">
        <v>61</v>
      </c>
    </row>
    <row r="106" spans="1:10" x14ac:dyDescent="0.3">
      <c r="D106" s="35">
        <f>298.15</f>
        <v>298.14999999999998</v>
      </c>
      <c r="E106" s="61">
        <v>1</v>
      </c>
    </row>
    <row r="107" spans="1:10" x14ac:dyDescent="0.3">
      <c r="D107" s="35">
        <f>300+100</f>
        <v>400</v>
      </c>
      <c r="E107" s="61">
        <v>1</v>
      </c>
    </row>
    <row r="108" spans="1:10" x14ac:dyDescent="0.3">
      <c r="D108" s="35">
        <f t="shared" ref="D108:D124" si="11">D107+100</f>
        <v>500</v>
      </c>
      <c r="E108" s="61">
        <v>1</v>
      </c>
      <c r="H108" s="5" t="s">
        <v>56</v>
      </c>
    </row>
    <row r="109" spans="1:10" ht="15" thickBot="1" x14ac:dyDescent="0.35">
      <c r="D109" s="35">
        <f t="shared" si="11"/>
        <v>600</v>
      </c>
      <c r="E109" s="61">
        <v>1</v>
      </c>
    </row>
    <row r="110" spans="1:10" ht="18.600000000000001" thickBot="1" x14ac:dyDescent="0.35">
      <c r="A110" s="80"/>
      <c r="B110" s="74"/>
      <c r="D110" s="35">
        <f t="shared" si="11"/>
        <v>700</v>
      </c>
      <c r="E110" s="61">
        <v>1</v>
      </c>
      <c r="J110" s="16" t="s">
        <v>57</v>
      </c>
    </row>
    <row r="111" spans="1:10" x14ac:dyDescent="0.3">
      <c r="D111" s="35">
        <f t="shared" si="11"/>
        <v>800</v>
      </c>
      <c r="E111" s="61">
        <v>1</v>
      </c>
      <c r="H111" s="75" t="s">
        <v>58</v>
      </c>
      <c r="I111" s="17" t="s">
        <v>62</v>
      </c>
      <c r="J111" s="76">
        <f>E106</f>
        <v>1</v>
      </c>
    </row>
    <row r="112" spans="1:10" ht="15" thickBot="1" x14ac:dyDescent="0.35">
      <c r="D112" s="35">
        <f t="shared" si="11"/>
        <v>900</v>
      </c>
      <c r="E112" s="61">
        <v>1</v>
      </c>
      <c r="H112" s="59" t="s">
        <v>60</v>
      </c>
      <c r="I112" s="26" t="s">
        <v>62</v>
      </c>
      <c r="J112" s="77">
        <v>1</v>
      </c>
    </row>
    <row r="113" spans="4:10" x14ac:dyDescent="0.3">
      <c r="D113" s="35">
        <f t="shared" si="11"/>
        <v>1000</v>
      </c>
      <c r="E113" s="61">
        <v>1</v>
      </c>
      <c r="J113" s="78" t="s">
        <v>54</v>
      </c>
    </row>
    <row r="114" spans="4:10" x14ac:dyDescent="0.3">
      <c r="D114" s="35">
        <f t="shared" si="11"/>
        <v>1100</v>
      </c>
      <c r="E114" s="61">
        <v>1</v>
      </c>
      <c r="J114" s="79">
        <f>(J111-J112)/J112</f>
        <v>0</v>
      </c>
    </row>
    <row r="115" spans="4:10" x14ac:dyDescent="0.3">
      <c r="D115" s="35">
        <f t="shared" si="11"/>
        <v>1200</v>
      </c>
      <c r="E115" s="61">
        <v>1</v>
      </c>
    </row>
    <row r="116" spans="4:10" x14ac:dyDescent="0.3">
      <c r="D116" s="35">
        <f t="shared" si="11"/>
        <v>1300</v>
      </c>
      <c r="E116" s="61">
        <v>1</v>
      </c>
      <c r="H116" s="81"/>
    </row>
    <row r="117" spans="4:10" x14ac:dyDescent="0.3">
      <c r="D117" s="35">
        <f t="shared" si="11"/>
        <v>1400</v>
      </c>
      <c r="E117" s="61">
        <v>1</v>
      </c>
    </row>
    <row r="118" spans="4:10" x14ac:dyDescent="0.3">
      <c r="D118" s="35">
        <f t="shared" si="11"/>
        <v>1500</v>
      </c>
      <c r="E118" s="61">
        <v>1</v>
      </c>
    </row>
    <row r="119" spans="4:10" x14ac:dyDescent="0.3">
      <c r="D119" s="35">
        <f t="shared" si="11"/>
        <v>1600</v>
      </c>
      <c r="E119" s="61">
        <v>1</v>
      </c>
    </row>
    <row r="120" spans="4:10" x14ac:dyDescent="0.3">
      <c r="D120" s="35">
        <f t="shared" si="11"/>
        <v>1700</v>
      </c>
      <c r="E120" s="61">
        <v>1</v>
      </c>
    </row>
    <row r="121" spans="4:10" x14ac:dyDescent="0.3">
      <c r="D121" s="35">
        <f t="shared" si="11"/>
        <v>1800</v>
      </c>
      <c r="E121" s="61">
        <v>1</v>
      </c>
    </row>
    <row r="122" spans="4:10" x14ac:dyDescent="0.3">
      <c r="D122" s="35">
        <f t="shared" si="11"/>
        <v>1900</v>
      </c>
      <c r="E122" s="61">
        <v>1</v>
      </c>
    </row>
    <row r="123" spans="4:10" x14ac:dyDescent="0.3">
      <c r="D123" s="35">
        <f t="shared" si="11"/>
        <v>2000</v>
      </c>
      <c r="E123" s="61">
        <v>1</v>
      </c>
    </row>
    <row r="124" spans="4:10" ht="15" thickBot="1" x14ac:dyDescent="0.35">
      <c r="D124" s="26">
        <f t="shared" si="11"/>
        <v>2100</v>
      </c>
      <c r="E124" s="63">
        <v>1</v>
      </c>
    </row>
    <row r="126" spans="4:10" ht="15" thickBot="1" x14ac:dyDescent="0.35"/>
    <row r="127" spans="4:10" ht="18" x14ac:dyDescent="0.3">
      <c r="D127" s="11" t="s">
        <v>45</v>
      </c>
      <c r="E127" s="13" t="s">
        <v>63</v>
      </c>
      <c r="F127" s="52" t="s">
        <v>64</v>
      </c>
    </row>
    <row r="128" spans="4:10" ht="15.6" x14ac:dyDescent="0.3">
      <c r="D128" s="35">
        <f>298.15</f>
        <v>298.14999999999998</v>
      </c>
      <c r="E128" s="82">
        <f>$B$135*EXP($B$134/($A$2*D128) )</f>
        <v>1.630928949633292E-230</v>
      </c>
      <c r="F128" s="119">
        <f>$B$135</f>
        <v>2</v>
      </c>
      <c r="G128" s="5" t="s">
        <v>65</v>
      </c>
      <c r="H128" s="83">
        <f>$B$135*EXP($B$134/($A$2*298.15) )</f>
        <v>1.630928949633292E-230</v>
      </c>
    </row>
    <row r="129" spans="1:6" ht="15.6" x14ac:dyDescent="0.2">
      <c r="A129" s="84"/>
      <c r="D129" s="35">
        <f>300+100</f>
        <v>400</v>
      </c>
      <c r="E129" s="82">
        <f t="shared" ref="E129:E146" si="12">$B$135*EXP($B$134/($A$2*D129) )</f>
        <v>6.291345441824129E-172</v>
      </c>
      <c r="F129" s="119">
        <f t="shared" ref="F129:F146" si="13">$B$135</f>
        <v>2</v>
      </c>
    </row>
    <row r="130" spans="1:6" ht="15.6" x14ac:dyDescent="0.3">
      <c r="D130" s="35">
        <f t="shared" ref="D130:D146" si="14">D129+100</f>
        <v>500</v>
      </c>
      <c r="E130" s="82">
        <f t="shared" si="12"/>
        <v>1.2566109060490926E-137</v>
      </c>
      <c r="F130" s="119">
        <f t="shared" si="13"/>
        <v>2</v>
      </c>
    </row>
    <row r="131" spans="1:6" ht="15.6" x14ac:dyDescent="0.3">
      <c r="A131" s="85" t="s">
        <v>66</v>
      </c>
      <c r="B131" s="86">
        <v>-0.50027278419099996</v>
      </c>
      <c r="D131" s="35">
        <f t="shared" si="14"/>
        <v>600</v>
      </c>
      <c r="E131" s="82">
        <f t="shared" si="12"/>
        <v>9.2506522037997393E-115</v>
      </c>
      <c r="F131" s="119">
        <f t="shared" si="13"/>
        <v>2</v>
      </c>
    </row>
    <row r="132" spans="1:6" ht="15.6" x14ac:dyDescent="0.3">
      <c r="A132" s="85" t="s">
        <v>67</v>
      </c>
      <c r="B132" s="87">
        <f>B131/(229400000000000000)</f>
        <v>-2.1807880740671315E-18</v>
      </c>
      <c r="D132" s="35">
        <f t="shared" si="14"/>
        <v>700</v>
      </c>
      <c r="E132" s="82">
        <f t="shared" si="12"/>
        <v>1.9939921530990367E-98</v>
      </c>
      <c r="F132" s="119">
        <f t="shared" si="13"/>
        <v>2</v>
      </c>
    </row>
    <row r="133" spans="1:6" ht="15.6" x14ac:dyDescent="0.3">
      <c r="A133" s="85" t="s">
        <v>68</v>
      </c>
      <c r="B133" s="85">
        <v>0</v>
      </c>
      <c r="D133" s="35">
        <f t="shared" si="14"/>
        <v>800</v>
      </c>
      <c r="E133" s="82">
        <f t="shared" si="12"/>
        <v>3.5472088863849361E-86</v>
      </c>
      <c r="F133" s="119">
        <f t="shared" si="13"/>
        <v>2</v>
      </c>
    </row>
    <row r="134" spans="1:6" ht="18" x14ac:dyDescent="0.3">
      <c r="A134" s="85" t="s">
        <v>69</v>
      </c>
      <c r="B134" s="87">
        <f>B132+B133</f>
        <v>-2.1807880740671315E-18</v>
      </c>
      <c r="D134" s="35">
        <f t="shared" si="14"/>
        <v>900</v>
      </c>
      <c r="E134" s="82">
        <f t="shared" si="12"/>
        <v>1.1961663126123631E-76</v>
      </c>
      <c r="F134" s="119">
        <f t="shared" si="13"/>
        <v>2</v>
      </c>
    </row>
    <row r="135" spans="1:6" ht="18" x14ac:dyDescent="0.3">
      <c r="A135" s="85" t="s">
        <v>70</v>
      </c>
      <c r="B135" s="85">
        <v>2</v>
      </c>
      <c r="D135" s="35">
        <f t="shared" si="14"/>
        <v>1000</v>
      </c>
      <c r="E135" s="82">
        <f t="shared" si="12"/>
        <v>5.0132043765421987E-69</v>
      </c>
      <c r="F135" s="119">
        <f t="shared" si="13"/>
        <v>2</v>
      </c>
    </row>
    <row r="136" spans="1:6" ht="15.6" x14ac:dyDescent="0.3">
      <c r="A136" s="5" t="s">
        <v>71</v>
      </c>
      <c r="B136" s="53">
        <f>A2*D128</f>
        <v>4.1162588999999997E-21</v>
      </c>
      <c r="D136" s="35">
        <f t="shared" si="14"/>
        <v>1100</v>
      </c>
      <c r="E136" s="82">
        <f t="shared" si="12"/>
        <v>8.6409638977226669E-63</v>
      </c>
      <c r="F136" s="119">
        <f t="shared" si="13"/>
        <v>2</v>
      </c>
    </row>
    <row r="137" spans="1:6" ht="15.6" x14ac:dyDescent="0.3">
      <c r="D137" s="35">
        <f t="shared" si="14"/>
        <v>1200</v>
      </c>
      <c r="E137" s="82">
        <f t="shared" si="12"/>
        <v>1.3601950010053513E-57</v>
      </c>
      <c r="F137" s="119">
        <f t="shared" si="13"/>
        <v>2</v>
      </c>
    </row>
    <row r="138" spans="1:6" ht="15.6" x14ac:dyDescent="0.3">
      <c r="D138" s="35">
        <f t="shared" si="14"/>
        <v>1300</v>
      </c>
      <c r="E138" s="82">
        <f t="shared" si="12"/>
        <v>3.3970011907667372E-53</v>
      </c>
      <c r="F138" s="119">
        <f t="shared" si="13"/>
        <v>2</v>
      </c>
    </row>
    <row r="139" spans="1:6" ht="15.6" x14ac:dyDescent="0.3">
      <c r="D139" s="35">
        <f t="shared" si="14"/>
        <v>1400</v>
      </c>
      <c r="E139" s="82">
        <f t="shared" si="12"/>
        <v>1.9969938172658604E-49</v>
      </c>
      <c r="F139" s="119">
        <f t="shared" si="13"/>
        <v>2</v>
      </c>
    </row>
    <row r="140" spans="1:6" ht="15.6" x14ac:dyDescent="0.3">
      <c r="D140" s="35">
        <f t="shared" si="14"/>
        <v>1500</v>
      </c>
      <c r="E140" s="82">
        <f t="shared" si="12"/>
        <v>3.6905146923933724E-46</v>
      </c>
      <c r="F140" s="119">
        <f t="shared" si="13"/>
        <v>2</v>
      </c>
    </row>
    <row r="141" spans="1:6" ht="15.6" x14ac:dyDescent="0.3">
      <c r="D141" s="35">
        <f t="shared" si="14"/>
        <v>1600</v>
      </c>
      <c r="E141" s="82">
        <f t="shared" si="12"/>
        <v>2.6635348266485783E-43</v>
      </c>
      <c r="F141" s="119">
        <f t="shared" si="13"/>
        <v>2</v>
      </c>
    </row>
    <row r="142" spans="1:6" ht="15.6" x14ac:dyDescent="0.3">
      <c r="D142" s="35">
        <f t="shared" si="14"/>
        <v>1700</v>
      </c>
      <c r="E142" s="82">
        <f t="shared" si="12"/>
        <v>8.8623893867190417E-41</v>
      </c>
      <c r="F142" s="119">
        <f t="shared" si="13"/>
        <v>2</v>
      </c>
    </row>
    <row r="143" spans="1:6" ht="15.6" x14ac:dyDescent="0.3">
      <c r="D143" s="35">
        <f t="shared" si="14"/>
        <v>1800</v>
      </c>
      <c r="E143" s="82">
        <f t="shared" si="12"/>
        <v>1.5467167242985143E-38</v>
      </c>
      <c r="F143" s="119">
        <f t="shared" si="13"/>
        <v>2</v>
      </c>
    </row>
    <row r="144" spans="1:6" ht="15.6" x14ac:dyDescent="0.3">
      <c r="D144" s="35">
        <f t="shared" si="14"/>
        <v>1900</v>
      </c>
      <c r="E144" s="82">
        <f t="shared" si="12"/>
        <v>1.56778128899492E-36</v>
      </c>
      <c r="F144" s="119">
        <f t="shared" si="13"/>
        <v>2</v>
      </c>
    </row>
    <row r="145" spans="4:13" ht="15.6" x14ac:dyDescent="0.3">
      <c r="D145" s="35">
        <f t="shared" si="14"/>
        <v>2000</v>
      </c>
      <c r="E145" s="82">
        <f t="shared" si="12"/>
        <v>1.0013195670256523E-34</v>
      </c>
      <c r="F145" s="119">
        <f t="shared" si="13"/>
        <v>2</v>
      </c>
    </row>
    <row r="146" spans="4:13" ht="16.2" thickBot="1" x14ac:dyDescent="0.35">
      <c r="D146" s="26">
        <f t="shared" si="14"/>
        <v>2100</v>
      </c>
      <c r="E146" s="88">
        <f t="shared" si="12"/>
        <v>4.3045505481005367E-33</v>
      </c>
      <c r="F146" s="120">
        <f t="shared" si="13"/>
        <v>2</v>
      </c>
    </row>
    <row r="151" spans="4:13" ht="15" thickBot="1" x14ac:dyDescent="0.35">
      <c r="H151" s="5" t="s">
        <v>72</v>
      </c>
    </row>
    <row r="152" spans="4:13" ht="20.399999999999999" x14ac:dyDescent="0.3">
      <c r="D152" s="89" t="s">
        <v>45</v>
      </c>
      <c r="E152" s="90" t="s">
        <v>73</v>
      </c>
      <c r="F152" s="91" t="s">
        <v>74</v>
      </c>
      <c r="G152" s="91" t="s">
        <v>75</v>
      </c>
      <c r="H152" s="91" t="s">
        <v>76</v>
      </c>
      <c r="I152" s="92" t="s">
        <v>77</v>
      </c>
    </row>
    <row r="153" spans="4:13" ht="15.6" x14ac:dyDescent="0.3">
      <c r="D153" s="35">
        <f>298.15</f>
        <v>298.14999999999998</v>
      </c>
      <c r="E153" s="93">
        <v>1</v>
      </c>
      <c r="F153" s="87">
        <v>2</v>
      </c>
      <c r="G153" s="53">
        <f xml:space="preserve"> ( (2*$B$2*$E$2*$A$2*D153)/($C$2*$C$2) )^(1.5) * ($A$2*D153) /$F$83</f>
        <v>39745.204506497626</v>
      </c>
      <c r="H153" s="53">
        <f>PRODUCT(E54:E62)</f>
        <v>1</v>
      </c>
      <c r="I153" s="123">
        <f>PRODUCT(E153:H153)</f>
        <v>79490.409012995253</v>
      </c>
      <c r="J153" s="59"/>
      <c r="K153" s="81"/>
      <c r="M153" s="53"/>
    </row>
    <row r="154" spans="4:13" ht="15.6" x14ac:dyDescent="0.3">
      <c r="D154" s="35">
        <f>300+100</f>
        <v>400</v>
      </c>
      <c r="E154" s="93">
        <v>1</v>
      </c>
      <c r="F154" s="87">
        <v>2</v>
      </c>
      <c r="G154" s="53">
        <f t="shared" ref="G154:G171" si="15" xml:space="preserve"> ( (2*$B$2*$E$2*$A$2*D154)/($C$2*$C$2) )^(1.5) * ($A$2*D154) /$F$83</f>
        <v>82860.524892792659</v>
      </c>
      <c r="H154" s="53">
        <f>PRODUCT(F54:F62)</f>
        <v>1</v>
      </c>
      <c r="I154" s="61">
        <f>PRODUCT(E154:H154)</f>
        <v>165721.04978558532</v>
      </c>
      <c r="M154" s="95"/>
    </row>
    <row r="155" spans="4:13" ht="15.6" x14ac:dyDescent="0.3">
      <c r="D155" s="35">
        <f t="shared" ref="D155:D171" si="16">D154+100</f>
        <v>500</v>
      </c>
      <c r="E155" s="93">
        <v>1</v>
      </c>
      <c r="F155" s="87">
        <v>2</v>
      </c>
      <c r="G155" s="53">
        <f t="shared" si="15"/>
        <v>144751.37993093667</v>
      </c>
      <c r="H155" s="53">
        <f>PRODUCT(G54:G62)</f>
        <v>1</v>
      </c>
      <c r="I155" s="61">
        <f>PRODUCT(E155:H155)</f>
        <v>289502.75986187335</v>
      </c>
      <c r="J155" s="5" t="s">
        <v>78</v>
      </c>
    </row>
    <row r="156" spans="4:13" ht="16.2" thickBot="1" x14ac:dyDescent="0.35">
      <c r="D156" s="35">
        <f t="shared" si="16"/>
        <v>600</v>
      </c>
      <c r="E156" s="93">
        <v>1</v>
      </c>
      <c r="F156" s="87">
        <v>2</v>
      </c>
      <c r="G156" s="53">
        <f t="shared" si="15"/>
        <v>228336.7565323434</v>
      </c>
      <c r="H156" s="53">
        <f>PRODUCT(H54:H62)</f>
        <v>1</v>
      </c>
      <c r="I156" s="61">
        <f t="shared" ref="I156:I171" si="17">PRODUCT(E156:H156)</f>
        <v>456673.51306468679</v>
      </c>
    </row>
    <row r="157" spans="4:13" ht="16.2" thickBot="1" x14ac:dyDescent="0.35">
      <c r="D157" s="35">
        <f t="shared" si="16"/>
        <v>700</v>
      </c>
      <c r="E157" s="93">
        <v>1</v>
      </c>
      <c r="F157" s="87">
        <v>2</v>
      </c>
      <c r="G157" s="53">
        <f t="shared" si="15"/>
        <v>335693.39925499359</v>
      </c>
      <c r="H157" s="53">
        <f>PRODUCT(I54:I62)</f>
        <v>1</v>
      </c>
      <c r="I157" s="61">
        <f t="shared" si="17"/>
        <v>671386.79850998719</v>
      </c>
      <c r="L157" s="16" t="s">
        <v>57</v>
      </c>
    </row>
    <row r="158" spans="4:13" ht="15.6" x14ac:dyDescent="0.3">
      <c r="D158" s="35">
        <f t="shared" si="16"/>
        <v>800</v>
      </c>
      <c r="E158" s="93">
        <v>1</v>
      </c>
      <c r="F158" s="87">
        <v>2</v>
      </c>
      <c r="G158" s="53">
        <f t="shared" si="15"/>
        <v>468729.9123549647</v>
      </c>
      <c r="H158" s="53">
        <f>PRODUCT(J54:J62)</f>
        <v>1</v>
      </c>
      <c r="I158" s="61">
        <f t="shared" si="17"/>
        <v>937459.82470992941</v>
      </c>
      <c r="J158" s="75" t="s">
        <v>58</v>
      </c>
      <c r="K158" s="17" t="s">
        <v>79</v>
      </c>
      <c r="L158" s="76">
        <f>I153</f>
        <v>79490.409012995253</v>
      </c>
    </row>
    <row r="159" spans="4:13" ht="16.2" thickBot="1" x14ac:dyDescent="0.35">
      <c r="D159" s="35">
        <f t="shared" si="16"/>
        <v>900</v>
      </c>
      <c r="E159" s="93">
        <v>1</v>
      </c>
      <c r="F159" s="87">
        <v>2</v>
      </c>
      <c r="G159" s="53">
        <f t="shared" si="15"/>
        <v>629222.11090465414</v>
      </c>
      <c r="H159" s="53">
        <f>PRODUCT(K54:K62)</f>
        <v>1</v>
      </c>
      <c r="I159" s="61">
        <f t="shared" si="17"/>
        <v>1258444.2218093083</v>
      </c>
      <c r="J159" s="59" t="s">
        <v>60</v>
      </c>
      <c r="K159" s="26" t="s">
        <v>79</v>
      </c>
      <c r="L159" s="77">
        <v>79535.8</v>
      </c>
    </row>
    <row r="160" spans="4:13" ht="15.6" x14ac:dyDescent="0.3">
      <c r="D160" s="35">
        <f t="shared" si="16"/>
        <v>1000</v>
      </c>
      <c r="E160" s="93">
        <v>1</v>
      </c>
      <c r="F160" s="87">
        <v>2</v>
      </c>
      <c r="G160" s="53">
        <f t="shared" si="15"/>
        <v>818837.45868220751</v>
      </c>
      <c r="H160" s="53">
        <f>PRODUCT(L54:L62)</f>
        <v>1</v>
      </c>
      <c r="I160" s="61">
        <f t="shared" si="17"/>
        <v>1637674.917364415</v>
      </c>
      <c r="L160" s="78" t="s">
        <v>54</v>
      </c>
    </row>
    <row r="161" spans="1:12" ht="15.6" x14ac:dyDescent="0.3">
      <c r="D161" s="35">
        <f t="shared" si="16"/>
        <v>1100</v>
      </c>
      <c r="E161" s="93">
        <v>1</v>
      </c>
      <c r="F161" s="87">
        <v>2</v>
      </c>
      <c r="G161" s="53">
        <f t="shared" si="15"/>
        <v>1039152.8059736693</v>
      </c>
      <c r="H161" s="53">
        <f>PRODUCT(M54:M62)</f>
        <v>1</v>
      </c>
      <c r="I161" s="61">
        <f t="shared" si="17"/>
        <v>2078305.6119473386</v>
      </c>
      <c r="L161" s="96">
        <f>ABS(L158-L159)/L159</f>
        <v>5.7069881744761547E-4</v>
      </c>
    </row>
    <row r="162" spans="1:12" ht="15.6" x14ac:dyDescent="0.3">
      <c r="D162" s="35">
        <f t="shared" si="16"/>
        <v>1200</v>
      </c>
      <c r="E162" s="93">
        <v>1</v>
      </c>
      <c r="F162" s="87">
        <v>2</v>
      </c>
      <c r="G162" s="53">
        <f t="shared" si="15"/>
        <v>1291667.7515052971</v>
      </c>
      <c r="H162" s="53">
        <f>PRODUCT(N54:N62)</f>
        <v>1</v>
      </c>
      <c r="I162" s="61">
        <f t="shared" si="17"/>
        <v>2583335.5030105943</v>
      </c>
      <c r="J162" s="5" t="s">
        <v>80</v>
      </c>
    </row>
    <row r="163" spans="1:12" ht="15.6" x14ac:dyDescent="0.3">
      <c r="D163" s="35">
        <f t="shared" si="16"/>
        <v>1300</v>
      </c>
      <c r="E163" s="93">
        <v>1</v>
      </c>
      <c r="F163" s="87">
        <v>2</v>
      </c>
      <c r="G163" s="53">
        <f t="shared" si="15"/>
        <v>1577815.0073427462</v>
      </c>
      <c r="H163" s="53">
        <f>PRODUCT(O54:O62)</f>
        <v>1</v>
      </c>
      <c r="I163" s="61">
        <f t="shared" si="17"/>
        <v>3155630.0146854925</v>
      </c>
      <c r="J163" s="81">
        <f>L158/L159</f>
        <v>0.99942930118255235</v>
      </c>
    </row>
    <row r="164" spans="1:12" ht="15.6" x14ac:dyDescent="0.3">
      <c r="D164" s="35">
        <f t="shared" si="16"/>
        <v>1400</v>
      </c>
      <c r="E164" s="93">
        <v>1</v>
      </c>
      <c r="F164" s="87">
        <v>2</v>
      </c>
      <c r="G164" s="53">
        <f t="shared" si="15"/>
        <v>1898968.6321021579</v>
      </c>
      <c r="H164" s="53">
        <f>PRODUCT(P54:P62)</f>
        <v>1</v>
      </c>
      <c r="I164" s="61">
        <f t="shared" si="17"/>
        <v>3797937.2642043158</v>
      </c>
    </row>
    <row r="165" spans="1:12" ht="15.6" x14ac:dyDescent="0.3">
      <c r="D165" s="35">
        <f t="shared" si="16"/>
        <v>1500</v>
      </c>
      <c r="E165" s="93">
        <v>1</v>
      </c>
      <c r="F165" s="87">
        <v>2</v>
      </c>
      <c r="G165" s="53">
        <f t="shared" si="15"/>
        <v>2256450.7005548179</v>
      </c>
      <c r="H165" s="53">
        <f>PRODUCT(Q54:Q62)</f>
        <v>1</v>
      </c>
      <c r="I165" s="61">
        <f t="shared" si="17"/>
        <v>4512901.4011096358</v>
      </c>
    </row>
    <row r="166" spans="1:12" ht="15.6" x14ac:dyDescent="0.3">
      <c r="D166" s="35">
        <f t="shared" si="16"/>
        <v>1600</v>
      </c>
      <c r="E166" s="93">
        <v>1</v>
      </c>
      <c r="F166" s="87">
        <v>2</v>
      </c>
      <c r="G166" s="53">
        <f t="shared" si="15"/>
        <v>2651536.7965693804</v>
      </c>
      <c r="H166" s="53">
        <f>PRODUCT(R54:R62)</f>
        <v>1</v>
      </c>
      <c r="I166" s="61">
        <f t="shared" si="17"/>
        <v>5303073.5931387609</v>
      </c>
    </row>
    <row r="167" spans="1:12" ht="15.6" x14ac:dyDescent="0.3">
      <c r="D167" s="35">
        <f t="shared" si="16"/>
        <v>1700</v>
      </c>
      <c r="E167" s="93">
        <v>1</v>
      </c>
      <c r="F167" s="87">
        <v>2</v>
      </c>
      <c r="G167" s="53">
        <f t="shared" si="15"/>
        <v>3085460.6012042118</v>
      </c>
      <c r="H167" s="53">
        <f>PRODUCT(S54:S62)</f>
        <v>1</v>
      </c>
      <c r="I167" s="61">
        <f t="shared" si="17"/>
        <v>6170921.2024084236</v>
      </c>
    </row>
    <row r="168" spans="1:12" ht="15.6" x14ac:dyDescent="0.3">
      <c r="D168" s="35">
        <f t="shared" si="16"/>
        <v>1800</v>
      </c>
      <c r="E168" s="93">
        <v>1</v>
      </c>
      <c r="F168" s="87">
        <v>2</v>
      </c>
      <c r="G168" s="53">
        <f t="shared" si="15"/>
        <v>3559417.7719455184</v>
      </c>
      <c r="H168" s="53">
        <f>PRODUCT(T54:T62)</f>
        <v>1</v>
      </c>
      <c r="I168" s="61">
        <f t="shared" si="17"/>
        <v>7118835.5438910369</v>
      </c>
    </row>
    <row r="169" spans="1:12" ht="15.6" x14ac:dyDescent="0.3">
      <c r="D169" s="35">
        <f t="shared" si="16"/>
        <v>1900</v>
      </c>
      <c r="E169" s="93">
        <v>1</v>
      </c>
      <c r="F169" s="87">
        <v>2</v>
      </c>
      <c r="G169" s="53">
        <f t="shared" si="15"/>
        <v>4074569.2576352647</v>
      </c>
      <c r="H169" s="53">
        <f>PRODUCT(U54:U62)</f>
        <v>1</v>
      </c>
      <c r="I169" s="61">
        <f>PRODUCT(E169:H169)</f>
        <v>8149138.5152705293</v>
      </c>
    </row>
    <row r="170" spans="1:12" ht="15.6" x14ac:dyDescent="0.3">
      <c r="D170" s="35">
        <f t="shared" si="16"/>
        <v>2000</v>
      </c>
      <c r="E170" s="93">
        <v>1</v>
      </c>
      <c r="F170" s="87">
        <v>2</v>
      </c>
      <c r="G170" s="53">
        <f t="shared" si="15"/>
        <v>4632044.1577899996</v>
      </c>
      <c r="H170" s="53">
        <f>PRODUCT(V54:V62)</f>
        <v>1</v>
      </c>
      <c r="I170" s="61">
        <f t="shared" si="17"/>
        <v>9264088.3155799992</v>
      </c>
    </row>
    <row r="171" spans="1:12" ht="16.2" thickBot="1" x14ac:dyDescent="0.35">
      <c r="D171" s="26">
        <f t="shared" si="16"/>
        <v>2100</v>
      </c>
      <c r="E171" s="97">
        <v>1</v>
      </c>
      <c r="F171" s="98">
        <v>2</v>
      </c>
      <c r="G171" s="55">
        <f t="shared" si="15"/>
        <v>5232942.2094763611</v>
      </c>
      <c r="H171" s="55">
        <f>PRODUCT(W54:W62)</f>
        <v>1</v>
      </c>
      <c r="I171" s="63">
        <f t="shared" si="17"/>
        <v>10465884.418952722</v>
      </c>
    </row>
    <row r="174" spans="1:12" ht="15" thickBot="1" x14ac:dyDescent="0.35">
      <c r="A174" s="5" t="s">
        <v>81</v>
      </c>
      <c r="B174" s="170" t="s">
        <v>82</v>
      </c>
      <c r="C174" s="170"/>
      <c r="D174" s="170"/>
      <c r="E174" s="170"/>
      <c r="F174" s="170"/>
      <c r="G174" s="99"/>
      <c r="H174" s="170" t="s">
        <v>83</v>
      </c>
      <c r="I174" s="170"/>
      <c r="J174" s="170"/>
      <c r="K174" s="170"/>
    </row>
    <row r="175" spans="1:12" ht="18" x14ac:dyDescent="0.3">
      <c r="A175" s="5" t="s">
        <v>84</v>
      </c>
      <c r="B175" s="90" t="s">
        <v>45</v>
      </c>
      <c r="C175" s="16" t="s">
        <v>85</v>
      </c>
      <c r="D175" s="16" t="s">
        <v>35</v>
      </c>
      <c r="E175" s="16" t="s">
        <v>36</v>
      </c>
      <c r="F175" s="16" t="s">
        <v>86</v>
      </c>
      <c r="G175" s="99" t="s">
        <v>87</v>
      </c>
      <c r="H175" s="90" t="s">
        <v>45</v>
      </c>
      <c r="I175" s="16" t="s">
        <v>85</v>
      </c>
      <c r="J175" s="16" t="s">
        <v>35</v>
      </c>
      <c r="K175" s="16" t="s">
        <v>36</v>
      </c>
      <c r="L175" s="16" t="s">
        <v>86</v>
      </c>
    </row>
    <row r="176" spans="1:12" ht="15" thickBot="1" x14ac:dyDescent="0.35">
      <c r="B176" s="35">
        <f>298.15</f>
        <v>298.14999999999998</v>
      </c>
      <c r="C176" s="100">
        <f>3/2*$D$2*B176</f>
        <v>3718.4397401999995</v>
      </c>
      <c r="D176" s="100">
        <v>0</v>
      </c>
      <c r="E176" s="100">
        <f>D176</f>
        <v>0</v>
      </c>
      <c r="F176" s="101">
        <v>0</v>
      </c>
      <c r="H176" s="35">
        <f>298.15</f>
        <v>298.14999999999998</v>
      </c>
      <c r="I176" s="102">
        <f>3/2*$D$2*H176 /4184</f>
        <v>0.8887284273900572</v>
      </c>
      <c r="J176" s="102">
        <v>0</v>
      </c>
      <c r="K176" s="102">
        <f>E176</f>
        <v>0</v>
      </c>
      <c r="L176" s="103">
        <f xml:space="preserve"> F176/4184</f>
        <v>0</v>
      </c>
    </row>
    <row r="177" spans="2:14" x14ac:dyDescent="0.3">
      <c r="B177" s="35">
        <f>300+100</f>
        <v>400</v>
      </c>
      <c r="C177" s="100">
        <f t="shared" ref="C177:C194" si="18">3/2*$D$2*B177</f>
        <v>4988.6831999999995</v>
      </c>
      <c r="D177" s="100">
        <v>0</v>
      </c>
      <c r="E177" s="100">
        <f t="shared" ref="E177:E194" si="19">D177</f>
        <v>0</v>
      </c>
      <c r="H177" s="35">
        <f>300+100</f>
        <v>400</v>
      </c>
      <c r="I177" s="100">
        <f t="shared" ref="I177:I194" si="20">3/2*$D$2*H177 /4184</f>
        <v>1.1923239005736137</v>
      </c>
      <c r="J177" s="100">
        <v>0</v>
      </c>
      <c r="K177" s="100">
        <f>E177</f>
        <v>0</v>
      </c>
      <c r="M177" s="174" t="s">
        <v>88</v>
      </c>
      <c r="N177" s="174"/>
    </row>
    <row r="178" spans="2:14" ht="18.600000000000001" thickBot="1" x14ac:dyDescent="0.35">
      <c r="B178" s="35">
        <f t="shared" ref="B178:B194" si="21">B177+100</f>
        <v>500</v>
      </c>
      <c r="C178" s="100">
        <f t="shared" si="18"/>
        <v>6235.8539999999994</v>
      </c>
      <c r="D178" s="100">
        <v>0</v>
      </c>
      <c r="E178" s="100">
        <f t="shared" si="19"/>
        <v>0</v>
      </c>
      <c r="H178" s="35">
        <f t="shared" ref="H178:H194" si="22">H177+100</f>
        <v>500</v>
      </c>
      <c r="I178" s="100">
        <f t="shared" si="20"/>
        <v>1.490404875717017</v>
      </c>
      <c r="J178" s="100">
        <v>0</v>
      </c>
      <c r="K178" s="100">
        <f t="shared" ref="K178:K194" si="23">E178</f>
        <v>0</v>
      </c>
      <c r="M178" s="175" t="s">
        <v>89</v>
      </c>
      <c r="N178" s="175"/>
    </row>
    <row r="179" spans="2:14" x14ac:dyDescent="0.3">
      <c r="B179" s="35">
        <f t="shared" si="21"/>
        <v>600</v>
      </c>
      <c r="C179" s="100">
        <f t="shared" si="18"/>
        <v>7483.0248000000001</v>
      </c>
      <c r="D179" s="100">
        <v>0</v>
      </c>
      <c r="E179" s="100">
        <f t="shared" si="19"/>
        <v>0</v>
      </c>
      <c r="H179" s="35">
        <f t="shared" si="22"/>
        <v>600</v>
      </c>
      <c r="I179" s="100">
        <f t="shared" si="20"/>
        <v>1.7884858508604207</v>
      </c>
      <c r="J179" s="100">
        <v>0</v>
      </c>
      <c r="K179" s="100">
        <f t="shared" si="23"/>
        <v>0</v>
      </c>
      <c r="M179" s="38"/>
      <c r="N179" s="4" t="s">
        <v>26</v>
      </c>
    </row>
    <row r="180" spans="2:14" x14ac:dyDescent="0.3">
      <c r="B180" s="35">
        <f t="shared" si="21"/>
        <v>700</v>
      </c>
      <c r="C180" s="100">
        <f t="shared" si="18"/>
        <v>8730.1955999999991</v>
      </c>
      <c r="D180" s="100">
        <v>0</v>
      </c>
      <c r="E180" s="100">
        <f t="shared" si="19"/>
        <v>0</v>
      </c>
      <c r="H180" s="35">
        <f t="shared" si="22"/>
        <v>700</v>
      </c>
      <c r="I180" s="100">
        <f t="shared" si="20"/>
        <v>2.0865668260038239</v>
      </c>
      <c r="J180" s="100">
        <v>0</v>
      </c>
      <c r="K180" s="100">
        <f t="shared" si="23"/>
        <v>0</v>
      </c>
      <c r="M180" s="39"/>
      <c r="N180" s="41" t="s">
        <v>29</v>
      </c>
    </row>
    <row r="181" spans="2:14" x14ac:dyDescent="0.3">
      <c r="B181" s="35">
        <f t="shared" si="21"/>
        <v>800</v>
      </c>
      <c r="C181" s="100">
        <f t="shared" si="18"/>
        <v>9977.366399999999</v>
      </c>
      <c r="D181" s="100">
        <v>0</v>
      </c>
      <c r="E181" s="100">
        <f t="shared" si="19"/>
        <v>0</v>
      </c>
      <c r="H181" s="35">
        <f t="shared" si="22"/>
        <v>800</v>
      </c>
      <c r="I181" s="100">
        <f t="shared" si="20"/>
        <v>2.3846478011472274</v>
      </c>
      <c r="J181" s="100">
        <v>0</v>
      </c>
      <c r="K181" s="100">
        <f t="shared" si="23"/>
        <v>0</v>
      </c>
      <c r="M181" s="39" t="s">
        <v>31</v>
      </c>
      <c r="N181" s="42">
        <v>0.88900000000000001</v>
      </c>
    </row>
    <row r="182" spans="2:14" x14ac:dyDescent="0.3">
      <c r="B182" s="35">
        <f t="shared" si="21"/>
        <v>900</v>
      </c>
      <c r="C182" s="100">
        <f t="shared" si="18"/>
        <v>11224.537199999999</v>
      </c>
      <c r="D182" s="100">
        <v>0</v>
      </c>
      <c r="E182" s="100">
        <f t="shared" si="19"/>
        <v>0</v>
      </c>
      <c r="H182" s="35">
        <f t="shared" si="22"/>
        <v>900</v>
      </c>
      <c r="I182" s="100">
        <f t="shared" si="20"/>
        <v>2.6827287762906309</v>
      </c>
      <c r="J182" s="100">
        <v>0</v>
      </c>
      <c r="K182" s="100">
        <f t="shared" si="23"/>
        <v>0</v>
      </c>
      <c r="M182" s="39" t="s">
        <v>32</v>
      </c>
      <c r="N182" s="42">
        <v>0</v>
      </c>
    </row>
    <row r="183" spans="2:14" x14ac:dyDescent="0.3">
      <c r="B183" s="35">
        <f t="shared" si="21"/>
        <v>1000</v>
      </c>
      <c r="C183" s="100">
        <f t="shared" si="18"/>
        <v>12471.707999999999</v>
      </c>
      <c r="D183" s="100">
        <v>0</v>
      </c>
      <c r="E183" s="100">
        <f t="shared" si="19"/>
        <v>0</v>
      </c>
      <c r="H183" s="35">
        <f t="shared" si="22"/>
        <v>1000</v>
      </c>
      <c r="I183" s="100">
        <f t="shared" si="20"/>
        <v>2.9808097514340339</v>
      </c>
      <c r="J183" s="100">
        <v>0</v>
      </c>
      <c r="K183" s="100">
        <f t="shared" si="23"/>
        <v>0</v>
      </c>
      <c r="M183" s="39" t="s">
        <v>34</v>
      </c>
      <c r="N183" s="42">
        <v>0.88900000000000001</v>
      </c>
    </row>
    <row r="184" spans="2:14" x14ac:dyDescent="0.3">
      <c r="B184" s="35">
        <f t="shared" si="21"/>
        <v>1100</v>
      </c>
      <c r="C184" s="100">
        <f t="shared" si="18"/>
        <v>13718.8788</v>
      </c>
      <c r="D184" s="100">
        <v>0</v>
      </c>
      <c r="E184" s="100">
        <f t="shared" si="19"/>
        <v>0</v>
      </c>
      <c r="H184" s="35">
        <f t="shared" si="22"/>
        <v>1100</v>
      </c>
      <c r="I184" s="100">
        <f t="shared" si="20"/>
        <v>3.2788907265774379</v>
      </c>
      <c r="J184" s="100">
        <v>0</v>
      </c>
      <c r="K184" s="100">
        <f t="shared" si="23"/>
        <v>0</v>
      </c>
      <c r="M184" s="39" t="s">
        <v>35</v>
      </c>
      <c r="N184" s="42">
        <v>0</v>
      </c>
    </row>
    <row r="185" spans="2:14" ht="15" thickBot="1" x14ac:dyDescent="0.35">
      <c r="B185" s="35">
        <f t="shared" si="21"/>
        <v>1200</v>
      </c>
      <c r="C185" s="100">
        <f t="shared" si="18"/>
        <v>14966.0496</v>
      </c>
      <c r="D185" s="100">
        <v>0</v>
      </c>
      <c r="E185" s="100">
        <f t="shared" si="19"/>
        <v>0</v>
      </c>
      <c r="H185" s="35">
        <f t="shared" si="22"/>
        <v>1200</v>
      </c>
      <c r="I185" s="100">
        <f t="shared" si="20"/>
        <v>3.5769717017208413</v>
      </c>
      <c r="J185" s="100">
        <v>0</v>
      </c>
      <c r="K185" s="100">
        <f t="shared" si="23"/>
        <v>0</v>
      </c>
      <c r="M185" s="44" t="s">
        <v>36</v>
      </c>
      <c r="N185" s="45">
        <v>0</v>
      </c>
    </row>
    <row r="186" spans="2:14" x14ac:dyDescent="0.3">
      <c r="B186" s="35">
        <f t="shared" si="21"/>
        <v>1300</v>
      </c>
      <c r="C186" s="100">
        <f t="shared" si="18"/>
        <v>16213.2204</v>
      </c>
      <c r="D186" s="100">
        <v>0</v>
      </c>
      <c r="E186" s="100">
        <f t="shared" si="19"/>
        <v>0</v>
      </c>
      <c r="H186" s="35">
        <f t="shared" si="22"/>
        <v>1300</v>
      </c>
      <c r="I186" s="100">
        <f t="shared" si="20"/>
        <v>3.8750526768642448</v>
      </c>
      <c r="J186" s="100">
        <v>0</v>
      </c>
      <c r="K186" s="100">
        <f t="shared" si="23"/>
        <v>0</v>
      </c>
      <c r="N186" s="47"/>
    </row>
    <row r="187" spans="2:14" x14ac:dyDescent="0.3">
      <c r="B187" s="35">
        <f t="shared" si="21"/>
        <v>1400</v>
      </c>
      <c r="C187" s="100">
        <f t="shared" si="18"/>
        <v>17460.391199999998</v>
      </c>
      <c r="D187" s="100">
        <v>0</v>
      </c>
      <c r="E187" s="100">
        <f t="shared" si="19"/>
        <v>0</v>
      </c>
      <c r="H187" s="35">
        <f t="shared" si="22"/>
        <v>1400</v>
      </c>
      <c r="I187" s="100">
        <f t="shared" si="20"/>
        <v>4.1731336520076479</v>
      </c>
      <c r="J187" s="100">
        <v>0</v>
      </c>
      <c r="K187" s="100">
        <f t="shared" si="23"/>
        <v>0</v>
      </c>
    </row>
    <row r="188" spans="2:14" ht="15" thickBot="1" x14ac:dyDescent="0.35">
      <c r="B188" s="35">
        <f t="shared" si="21"/>
        <v>1500</v>
      </c>
      <c r="C188" s="100">
        <f t="shared" si="18"/>
        <v>18707.561999999998</v>
      </c>
      <c r="D188" s="100">
        <v>0</v>
      </c>
      <c r="E188" s="100">
        <f t="shared" si="19"/>
        <v>0</v>
      </c>
      <c r="H188" s="35">
        <f t="shared" si="22"/>
        <v>1500</v>
      </c>
      <c r="I188" s="100">
        <f t="shared" si="20"/>
        <v>4.4712146271510509</v>
      </c>
      <c r="J188" s="100">
        <v>0</v>
      </c>
      <c r="K188" s="100">
        <f t="shared" si="23"/>
        <v>0</v>
      </c>
    </row>
    <row r="189" spans="2:14" ht="15" thickBot="1" x14ac:dyDescent="0.35">
      <c r="B189" s="35">
        <f t="shared" si="21"/>
        <v>1600</v>
      </c>
      <c r="C189" s="100">
        <f t="shared" si="18"/>
        <v>19954.732799999998</v>
      </c>
      <c r="D189" s="100">
        <v>0</v>
      </c>
      <c r="E189" s="100">
        <f t="shared" si="19"/>
        <v>0</v>
      </c>
      <c r="H189" s="35">
        <f t="shared" si="22"/>
        <v>1600</v>
      </c>
      <c r="I189" s="100">
        <f t="shared" si="20"/>
        <v>4.7692956022944548</v>
      </c>
      <c r="J189" s="100">
        <v>0</v>
      </c>
      <c r="K189" s="100">
        <f t="shared" si="23"/>
        <v>0</v>
      </c>
      <c r="M189" s="30" t="s">
        <v>90</v>
      </c>
      <c r="N189" s="104">
        <f>SUM(I176:L176)</f>
        <v>0.8887284273900572</v>
      </c>
    </row>
    <row r="190" spans="2:14" x14ac:dyDescent="0.3">
      <c r="B190" s="35">
        <f t="shared" si="21"/>
        <v>1700</v>
      </c>
      <c r="C190" s="100">
        <f t="shared" si="18"/>
        <v>21201.903599999998</v>
      </c>
      <c r="D190" s="100">
        <v>0</v>
      </c>
      <c r="E190" s="100">
        <f t="shared" si="19"/>
        <v>0</v>
      </c>
      <c r="H190" s="35">
        <f t="shared" si="22"/>
        <v>1700</v>
      </c>
      <c r="I190" s="100">
        <f t="shared" si="20"/>
        <v>5.0673765774378579</v>
      </c>
      <c r="J190" s="100">
        <v>0</v>
      </c>
      <c r="K190" s="100">
        <f t="shared" si="23"/>
        <v>0</v>
      </c>
    </row>
    <row r="191" spans="2:14" x14ac:dyDescent="0.3">
      <c r="B191" s="35">
        <f t="shared" si="21"/>
        <v>1800</v>
      </c>
      <c r="C191" s="100">
        <f t="shared" si="18"/>
        <v>22449.074399999998</v>
      </c>
      <c r="D191" s="100">
        <v>0</v>
      </c>
      <c r="E191" s="100">
        <f t="shared" si="19"/>
        <v>0</v>
      </c>
      <c r="H191" s="35">
        <f t="shared" si="22"/>
        <v>1800</v>
      </c>
      <c r="I191" s="100">
        <f t="shared" si="20"/>
        <v>5.3654575525812618</v>
      </c>
      <c r="J191" s="100">
        <v>0</v>
      </c>
      <c r="K191" s="100">
        <f t="shared" si="23"/>
        <v>0</v>
      </c>
    </row>
    <row r="192" spans="2:14" x14ac:dyDescent="0.3">
      <c r="B192" s="35">
        <f t="shared" si="21"/>
        <v>1900</v>
      </c>
      <c r="C192" s="100">
        <f t="shared" si="18"/>
        <v>23696.245199999998</v>
      </c>
      <c r="D192" s="100">
        <v>0</v>
      </c>
      <c r="E192" s="100">
        <f t="shared" si="19"/>
        <v>0</v>
      </c>
      <c r="H192" s="35">
        <f t="shared" si="22"/>
        <v>1900</v>
      </c>
      <c r="I192" s="100">
        <f t="shared" si="20"/>
        <v>5.6635385277246648</v>
      </c>
      <c r="J192" s="100">
        <v>0</v>
      </c>
      <c r="K192" s="100">
        <f t="shared" si="23"/>
        <v>0</v>
      </c>
    </row>
    <row r="193" spans="1:15" x14ac:dyDescent="0.3">
      <c r="B193" s="35">
        <f t="shared" si="21"/>
        <v>2000</v>
      </c>
      <c r="C193" s="100">
        <f t="shared" si="18"/>
        <v>24943.415999999997</v>
      </c>
      <c r="D193" s="100">
        <v>0</v>
      </c>
      <c r="E193" s="100">
        <f t="shared" si="19"/>
        <v>0</v>
      </c>
      <c r="H193" s="35">
        <f t="shared" si="22"/>
        <v>2000</v>
      </c>
      <c r="I193" s="100">
        <f t="shared" si="20"/>
        <v>5.9616195028680679</v>
      </c>
      <c r="J193" s="100">
        <v>0</v>
      </c>
      <c r="K193" s="100">
        <f t="shared" si="23"/>
        <v>0</v>
      </c>
    </row>
    <row r="194" spans="1:15" ht="15" thickBot="1" x14ac:dyDescent="0.35">
      <c r="B194" s="26">
        <f t="shared" si="21"/>
        <v>2100</v>
      </c>
      <c r="C194" s="101">
        <f t="shared" si="18"/>
        <v>26190.586799999997</v>
      </c>
      <c r="D194" s="101">
        <v>0</v>
      </c>
      <c r="E194" s="101">
        <f t="shared" si="19"/>
        <v>0</v>
      </c>
      <c r="F194" s="53"/>
      <c r="H194" s="26">
        <f t="shared" si="22"/>
        <v>2100</v>
      </c>
      <c r="I194" s="101">
        <f t="shared" si="20"/>
        <v>6.2597004780114718</v>
      </c>
      <c r="J194" s="101">
        <v>0</v>
      </c>
      <c r="K194" s="101">
        <f t="shared" si="23"/>
        <v>0</v>
      </c>
      <c r="L194" s="53"/>
    </row>
    <row r="196" spans="1:15" ht="15" thickBot="1" x14ac:dyDescent="0.35"/>
    <row r="197" spans="1:15" ht="15" thickBot="1" x14ac:dyDescent="0.35">
      <c r="F197" s="17"/>
      <c r="G197" s="18"/>
      <c r="H197" s="18"/>
      <c r="I197" s="19"/>
      <c r="K197" s="52" t="s">
        <v>91</v>
      </c>
    </row>
    <row r="198" spans="1:15" ht="16.8" thickBot="1" x14ac:dyDescent="0.35">
      <c r="B198" s="105" t="s">
        <v>92</v>
      </c>
      <c r="C198" s="106">
        <f xml:space="preserve"> ($C$2*$C$2) /(8*$B$2*$B$2*$A$2*$H$198)</f>
        <v>1.222890457844473</v>
      </c>
      <c r="F198" s="35"/>
      <c r="H198" s="5">
        <f>SQRT(E6*E6+F6*F6+G6*G6)</f>
        <v>3.2935734495583509E-46</v>
      </c>
      <c r="I198" s="36" t="s">
        <v>93</v>
      </c>
      <c r="K198" s="25">
        <v>1.18</v>
      </c>
    </row>
    <row r="199" spans="1:15" ht="15" thickBot="1" x14ac:dyDescent="0.35">
      <c r="F199" s="26"/>
      <c r="G199" s="27"/>
      <c r="H199" s="27"/>
      <c r="I199" s="28"/>
    </row>
    <row r="200" spans="1:15" ht="15" thickBot="1" x14ac:dyDescent="0.35">
      <c r="A200" s="5" t="s">
        <v>94</v>
      </c>
      <c r="B200" s="170" t="s">
        <v>95</v>
      </c>
      <c r="C200" s="170"/>
      <c r="D200" s="170"/>
      <c r="E200" s="170"/>
      <c r="F200" s="170"/>
      <c r="H200" s="170" t="s">
        <v>96</v>
      </c>
      <c r="I200" s="170"/>
      <c r="J200" s="170"/>
      <c r="K200" s="170"/>
      <c r="L200" s="170"/>
    </row>
    <row r="201" spans="1:15" ht="18" x14ac:dyDescent="0.3">
      <c r="A201" s="5" t="s">
        <v>95</v>
      </c>
      <c r="B201" s="89" t="s">
        <v>45</v>
      </c>
      <c r="C201" s="16" t="s">
        <v>97</v>
      </c>
      <c r="D201" s="16" t="s">
        <v>85</v>
      </c>
      <c r="E201" s="16" t="s">
        <v>35</v>
      </c>
      <c r="F201" s="16" t="s">
        <v>36</v>
      </c>
      <c r="G201" s="16" t="s">
        <v>86</v>
      </c>
      <c r="H201" s="89" t="s">
        <v>45</v>
      </c>
      <c r="I201" s="16" t="s">
        <v>85</v>
      </c>
      <c r="J201" s="16" t="s">
        <v>35</v>
      </c>
      <c r="K201" s="16" t="s">
        <v>36</v>
      </c>
      <c r="L201" s="16" t="s">
        <v>86</v>
      </c>
      <c r="O201" s="78"/>
    </row>
    <row r="202" spans="1:15" ht="15" thickBot="1" x14ac:dyDescent="0.35">
      <c r="B202" s="35">
        <f>298.15</f>
        <v>298.14999999999998</v>
      </c>
      <c r="C202" s="100">
        <f>($A$2*B202)/$J$2</f>
        <v>4.062431680236861E-26</v>
      </c>
      <c r="D202" s="107">
        <f xml:space="preserve"> $D$2 *( 5/2  +   LN(  ((2*$B$2*$E$2*$A$2*B202)/($C$2*$C$2) )^1.5  * ($D$2*B202 )/($F$2*$J$2)  ) )</f>
        <v>108.83877560341737</v>
      </c>
      <c r="E202" s="100">
        <v>0</v>
      </c>
      <c r="F202" s="100">
        <f>0</f>
        <v>0</v>
      </c>
      <c r="G202" s="101">
        <f>$D$2*LN(K198)</f>
        <v>1.3761651643175061</v>
      </c>
      <c r="H202" s="35">
        <f>298.15</f>
        <v>298.14999999999998</v>
      </c>
      <c r="I202" s="102">
        <f xml:space="preserve"> $D$2 *( 5/2  +   LN(  ((2*$B$2*$E$2*$A$2*B202)/($C$2*$C$2) )^1.5  * ($D$2*B202 )/($F$2*$J$2)  ) ) / 4.184</f>
        <v>26.013091683417155</v>
      </c>
      <c r="J202" s="102">
        <v>0</v>
      </c>
      <c r="K202" s="102">
        <f>F202</f>
        <v>0</v>
      </c>
      <c r="L202" s="109">
        <f>$D$2*LN(K198)</f>
        <v>1.3761651643175061</v>
      </c>
      <c r="O202" s="78"/>
    </row>
    <row r="203" spans="1:15" x14ac:dyDescent="0.3">
      <c r="B203" s="35">
        <f>300+100</f>
        <v>400</v>
      </c>
      <c r="C203" s="100">
        <f t="shared" ref="C203:C220" si="24">($A$2*B203)/$J$2</f>
        <v>5.4501850481125095E-26</v>
      </c>
      <c r="D203" s="107">
        <f t="shared" ref="D203:D220" si="25" xml:space="preserve"> $D$2 *( 5/2  +   LN(  ((2*$B$2*$E$2*$A$2*B203)/($C$2*$C$2) )^1.5  * ($D$2*B203 )/($F$2*$J$2)  ) )</f>
        <v>114.9471652459938</v>
      </c>
      <c r="E203" s="100">
        <v>0</v>
      </c>
      <c r="F203" s="100">
        <f>0</f>
        <v>0</v>
      </c>
      <c r="H203" s="35">
        <f>300+100</f>
        <v>400</v>
      </c>
      <c r="I203" s="107">
        <f xml:space="preserve"> $D$2 *( 5/2  +   LN(  ((2*$B$2*$E$2*$A$2*B203)/($C$2*$C$2) )^1.5  * ($D$2*B203 )/($F$2*$J$2)  ) )/ 4.184</f>
        <v>27.473031846556836</v>
      </c>
      <c r="J203" s="100">
        <v>0</v>
      </c>
      <c r="K203" s="100">
        <f>F203</f>
        <v>0</v>
      </c>
      <c r="O203" s="47"/>
    </row>
    <row r="204" spans="1:15" ht="18" x14ac:dyDescent="0.3">
      <c r="B204" s="35">
        <f t="shared" ref="B204:B220" si="26">B203+100</f>
        <v>500</v>
      </c>
      <c r="C204" s="100">
        <f t="shared" si="24"/>
        <v>6.8127313101406362E-26</v>
      </c>
      <c r="D204" s="107">
        <f t="shared" si="25"/>
        <v>119.58546726945025</v>
      </c>
      <c r="E204" s="100">
        <v>0</v>
      </c>
      <c r="F204" s="100">
        <f>0</f>
        <v>0</v>
      </c>
      <c r="H204" s="35">
        <f t="shared" ref="H204:H220" si="27">H203+100</f>
        <v>500</v>
      </c>
      <c r="I204" s="107">
        <f t="shared" ref="I204:I220" si="28" xml:space="preserve"> $D$2 *( 5/2  +   LN(  ((2*$B$2*$E$2*$A$2*B204)/($C$2*$C$2) )^1.5  * ($D$2*B204 )/($F$2*$J$2)  ) )/ 4.184</f>
        <v>28.581612636101873</v>
      </c>
      <c r="J204" s="100">
        <v>0</v>
      </c>
      <c r="K204" s="100">
        <f t="shared" ref="K204:K220" si="29">F204</f>
        <v>0</v>
      </c>
      <c r="M204" s="176"/>
      <c r="N204" s="176"/>
      <c r="O204" s="47"/>
    </row>
    <row r="205" spans="1:15" ht="18.600000000000001" thickBot="1" x14ac:dyDescent="0.35">
      <c r="B205" s="35">
        <f t="shared" si="26"/>
        <v>600</v>
      </c>
      <c r="C205" s="100">
        <f t="shared" si="24"/>
        <v>8.175277572168763E-26</v>
      </c>
      <c r="D205" s="107">
        <f t="shared" si="25"/>
        <v>123.37523596684963</v>
      </c>
      <c r="E205" s="100">
        <v>0</v>
      </c>
      <c r="F205" s="100">
        <f>0</f>
        <v>0</v>
      </c>
      <c r="H205" s="35">
        <f t="shared" si="27"/>
        <v>600</v>
      </c>
      <c r="I205" s="107">
        <f t="shared" si="28"/>
        <v>29.487389093415302</v>
      </c>
      <c r="J205" s="100">
        <v>0</v>
      </c>
      <c r="K205" s="100">
        <f t="shared" si="29"/>
        <v>0</v>
      </c>
      <c r="M205" s="176" t="s">
        <v>89</v>
      </c>
      <c r="N205" s="176"/>
      <c r="O205" s="47"/>
    </row>
    <row r="206" spans="1:15" x14ac:dyDescent="0.3">
      <c r="B206" s="35">
        <f t="shared" si="26"/>
        <v>700</v>
      </c>
      <c r="C206" s="100">
        <f t="shared" si="24"/>
        <v>9.5378238341968898E-26</v>
      </c>
      <c r="D206" s="107">
        <f t="shared" si="25"/>
        <v>126.57943974486139</v>
      </c>
      <c r="E206" s="100">
        <v>0</v>
      </c>
      <c r="F206" s="100">
        <f>0</f>
        <v>0</v>
      </c>
      <c r="H206" s="35">
        <f t="shared" si="27"/>
        <v>700</v>
      </c>
      <c r="I206" s="107">
        <f t="shared" si="28"/>
        <v>30.253212176114097</v>
      </c>
      <c r="J206" s="100">
        <v>0</v>
      </c>
      <c r="K206" s="100">
        <f t="shared" si="29"/>
        <v>0</v>
      </c>
      <c r="M206" s="38"/>
      <c r="N206" s="4" t="s">
        <v>28</v>
      </c>
      <c r="O206" s="47"/>
    </row>
    <row r="207" spans="1:15" x14ac:dyDescent="0.3">
      <c r="B207" s="35">
        <f t="shared" si="26"/>
        <v>800</v>
      </c>
      <c r="C207" s="100">
        <f t="shared" si="24"/>
        <v>1.0900370096225019E-25</v>
      </c>
      <c r="D207" s="107">
        <f t="shared" si="25"/>
        <v>129.35504730760536</v>
      </c>
      <c r="E207" s="100">
        <v>0</v>
      </c>
      <c r="F207" s="100">
        <f>0</f>
        <v>0</v>
      </c>
      <c r="H207" s="35">
        <f t="shared" si="27"/>
        <v>800</v>
      </c>
      <c r="I207" s="107">
        <f t="shared" si="28"/>
        <v>30.916598304876999</v>
      </c>
      <c r="J207" s="100">
        <v>0</v>
      </c>
      <c r="K207" s="100">
        <f t="shared" si="29"/>
        <v>0</v>
      </c>
      <c r="M207" s="39"/>
      <c r="N207" s="41" t="s">
        <v>30</v>
      </c>
      <c r="O207" s="47"/>
    </row>
    <row r="208" spans="1:15" x14ac:dyDescent="0.3">
      <c r="B208" s="35">
        <f t="shared" si="26"/>
        <v>900</v>
      </c>
      <c r="C208" s="100">
        <f t="shared" si="24"/>
        <v>1.2262916358253145E-25</v>
      </c>
      <c r="D208" s="107">
        <f t="shared" si="25"/>
        <v>131.80330668770546</v>
      </c>
      <c r="E208" s="100">
        <v>0</v>
      </c>
      <c r="F208" s="100">
        <f>0</f>
        <v>0</v>
      </c>
      <c r="H208" s="35">
        <f t="shared" si="27"/>
        <v>900</v>
      </c>
      <c r="I208" s="107">
        <f t="shared" si="28"/>
        <v>31.501746340273769</v>
      </c>
      <c r="J208" s="100">
        <v>0</v>
      </c>
      <c r="K208" s="100">
        <f t="shared" si="29"/>
        <v>0</v>
      </c>
      <c r="M208" s="39" t="s">
        <v>31</v>
      </c>
      <c r="N208" s="41">
        <v>27.391999999999999</v>
      </c>
      <c r="O208" s="47"/>
    </row>
    <row r="209" spans="1:14" x14ac:dyDescent="0.3">
      <c r="B209" s="35">
        <f t="shared" si="26"/>
        <v>1000</v>
      </c>
      <c r="C209" s="100">
        <f t="shared" si="24"/>
        <v>1.3625462620281272E-25</v>
      </c>
      <c r="D209" s="107">
        <f t="shared" si="25"/>
        <v>133.99334933106181</v>
      </c>
      <c r="E209" s="100">
        <v>0</v>
      </c>
      <c r="F209" s="100">
        <f>0</f>
        <v>0</v>
      </c>
      <c r="H209" s="35">
        <f t="shared" si="27"/>
        <v>1000</v>
      </c>
      <c r="I209" s="107">
        <f t="shared" si="28"/>
        <v>32.025179094422036</v>
      </c>
      <c r="J209" s="100">
        <v>0</v>
      </c>
      <c r="K209" s="100">
        <f t="shared" si="29"/>
        <v>0</v>
      </c>
      <c r="M209" s="39" t="s">
        <v>32</v>
      </c>
      <c r="N209" s="41">
        <v>1.377</v>
      </c>
    </row>
    <row r="210" spans="1:14" x14ac:dyDescent="0.3">
      <c r="B210" s="35">
        <f t="shared" si="26"/>
        <v>1100</v>
      </c>
      <c r="C210" s="100">
        <f t="shared" si="24"/>
        <v>1.4988008882309398E-25</v>
      </c>
      <c r="D210" s="107">
        <f t="shared" si="25"/>
        <v>135.97448388430692</v>
      </c>
      <c r="E210" s="100">
        <v>0</v>
      </c>
      <c r="F210" s="100">
        <f>0</f>
        <v>0</v>
      </c>
      <c r="H210" s="35">
        <f t="shared" si="27"/>
        <v>1100</v>
      </c>
      <c r="I210" s="107">
        <f t="shared" si="28"/>
        <v>32.498681616708154</v>
      </c>
      <c r="J210" s="100">
        <v>0</v>
      </c>
      <c r="K210" s="100">
        <f t="shared" si="29"/>
        <v>0</v>
      </c>
      <c r="M210" s="39" t="s">
        <v>34</v>
      </c>
      <c r="N210" s="41">
        <v>26.013999999999999</v>
      </c>
    </row>
    <row r="211" spans="1:14" x14ac:dyDescent="0.3">
      <c r="A211" s="53"/>
      <c r="B211" s="35">
        <f t="shared" si="26"/>
        <v>1200</v>
      </c>
      <c r="C211" s="100">
        <f t="shared" si="24"/>
        <v>1.6350555144337526E-25</v>
      </c>
      <c r="D211" s="107">
        <f t="shared" si="25"/>
        <v>137.78311802846119</v>
      </c>
      <c r="E211" s="100">
        <v>0</v>
      </c>
      <c r="F211" s="100">
        <f>0</f>
        <v>0</v>
      </c>
      <c r="H211" s="35">
        <f t="shared" si="27"/>
        <v>1200</v>
      </c>
      <c r="I211" s="107">
        <f t="shared" si="28"/>
        <v>32.930955551735465</v>
      </c>
      <c r="J211" s="100">
        <v>0</v>
      </c>
      <c r="K211" s="100">
        <f t="shared" si="29"/>
        <v>0</v>
      </c>
      <c r="M211" s="39" t="s">
        <v>35</v>
      </c>
      <c r="N211" s="41">
        <v>0</v>
      </c>
    </row>
    <row r="212" spans="1:14" ht="15" thickBot="1" x14ac:dyDescent="0.35">
      <c r="B212" s="35">
        <f t="shared" si="26"/>
        <v>1300</v>
      </c>
      <c r="C212" s="100">
        <f t="shared" si="24"/>
        <v>1.7713101406365654E-25</v>
      </c>
      <c r="D212" s="107">
        <f t="shared" si="25"/>
        <v>139.44690015785071</v>
      </c>
      <c r="E212" s="100">
        <v>0</v>
      </c>
      <c r="F212" s="100">
        <f>0</f>
        <v>0</v>
      </c>
      <c r="H212" s="35">
        <f t="shared" si="27"/>
        <v>1300</v>
      </c>
      <c r="I212" s="107">
        <f t="shared" si="28"/>
        <v>33.328609024342903</v>
      </c>
      <c r="J212" s="100">
        <v>0</v>
      </c>
      <c r="K212" s="100">
        <f t="shared" si="29"/>
        <v>0</v>
      </c>
      <c r="M212" s="44" t="s">
        <v>36</v>
      </c>
      <c r="N212" s="115">
        <v>0</v>
      </c>
    </row>
    <row r="213" spans="1:14" x14ac:dyDescent="0.3">
      <c r="B213" s="35">
        <f t="shared" si="26"/>
        <v>1400</v>
      </c>
      <c r="C213" s="100">
        <f t="shared" si="24"/>
        <v>1.907564766839378E-25</v>
      </c>
      <c r="D213" s="107">
        <f t="shared" si="25"/>
        <v>140.98732180647292</v>
      </c>
      <c r="E213" s="100">
        <v>0</v>
      </c>
      <c r="F213" s="100">
        <f>0</f>
        <v>0</v>
      </c>
      <c r="H213" s="35">
        <f t="shared" si="27"/>
        <v>1400</v>
      </c>
      <c r="I213" s="107">
        <f t="shared" si="28"/>
        <v>33.696778634434253</v>
      </c>
      <c r="J213" s="100">
        <v>0</v>
      </c>
      <c r="K213" s="100">
        <f t="shared" si="29"/>
        <v>0</v>
      </c>
    </row>
    <row r="214" spans="1:14" x14ac:dyDescent="0.3">
      <c r="B214" s="35">
        <f t="shared" si="26"/>
        <v>1500</v>
      </c>
      <c r="C214" s="100">
        <f t="shared" si="24"/>
        <v>2.0438193930421908E-25</v>
      </c>
      <c r="D214" s="107">
        <f t="shared" si="25"/>
        <v>142.42142005191764</v>
      </c>
      <c r="E214" s="100">
        <v>0</v>
      </c>
      <c r="F214" s="100">
        <f>0</f>
        <v>0</v>
      </c>
      <c r="H214" s="35">
        <f t="shared" si="27"/>
        <v>1500</v>
      </c>
      <c r="I214" s="107">
        <f t="shared" si="28"/>
        <v>34.039536341280503</v>
      </c>
      <c r="J214" s="100">
        <v>0</v>
      </c>
      <c r="K214" s="100">
        <f t="shared" si="29"/>
        <v>0</v>
      </c>
    </row>
    <row r="215" spans="1:14" x14ac:dyDescent="0.3">
      <c r="B215" s="35">
        <f t="shared" si="26"/>
        <v>1600</v>
      </c>
      <c r="C215" s="100">
        <f t="shared" si="24"/>
        <v>2.1800740192450038E-25</v>
      </c>
      <c r="D215" s="107">
        <f t="shared" si="25"/>
        <v>143.76292936921692</v>
      </c>
      <c r="E215" s="100">
        <v>0</v>
      </c>
      <c r="F215" s="100">
        <f>0</f>
        <v>0</v>
      </c>
      <c r="H215" s="35">
        <f t="shared" si="27"/>
        <v>1600</v>
      </c>
      <c r="I215" s="107">
        <f t="shared" si="28"/>
        <v>34.360164763197162</v>
      </c>
      <c r="J215" s="100">
        <v>0</v>
      </c>
      <c r="K215" s="100">
        <f t="shared" si="29"/>
        <v>0</v>
      </c>
      <c r="M215" s="5" t="s">
        <v>90</v>
      </c>
      <c r="N215" s="110">
        <f>SUM(I202:L202)</f>
        <v>27.389256847734661</v>
      </c>
    </row>
    <row r="216" spans="1:14" x14ac:dyDescent="0.3">
      <c r="B216" s="35">
        <f t="shared" si="26"/>
        <v>1700</v>
      </c>
      <c r="C216" s="100">
        <f t="shared" si="24"/>
        <v>2.3163286454478159E-25</v>
      </c>
      <c r="D216" s="107">
        <f t="shared" si="25"/>
        <v>145.0230836707253</v>
      </c>
      <c r="E216" s="100">
        <v>0</v>
      </c>
      <c r="F216" s="100">
        <f>0</f>
        <v>0</v>
      </c>
      <c r="H216" s="35">
        <f t="shared" si="27"/>
        <v>1700</v>
      </c>
      <c r="I216" s="107">
        <f t="shared" si="28"/>
        <v>34.661348869676218</v>
      </c>
      <c r="J216" s="100">
        <v>0</v>
      </c>
      <c r="K216" s="100">
        <f t="shared" si="29"/>
        <v>0</v>
      </c>
    </row>
    <row r="217" spans="1:14" x14ac:dyDescent="0.3">
      <c r="B217" s="35">
        <f t="shared" si="26"/>
        <v>1800</v>
      </c>
      <c r="C217" s="100">
        <f t="shared" si="24"/>
        <v>2.4525832716506289E-25</v>
      </c>
      <c r="D217" s="107">
        <f t="shared" si="25"/>
        <v>146.21118874931688</v>
      </c>
      <c r="E217" s="100">
        <v>0</v>
      </c>
      <c r="F217" s="100">
        <f>0</f>
        <v>0</v>
      </c>
      <c r="H217" s="35">
        <f t="shared" si="27"/>
        <v>1800</v>
      </c>
      <c r="I217" s="107">
        <f t="shared" si="28"/>
        <v>34.945312798593896</v>
      </c>
      <c r="J217" s="100">
        <v>0</v>
      </c>
      <c r="K217" s="100">
        <f t="shared" si="29"/>
        <v>0</v>
      </c>
    </row>
    <row r="218" spans="1:14" x14ac:dyDescent="0.3">
      <c r="B218" s="35">
        <f t="shared" si="26"/>
        <v>1900</v>
      </c>
      <c r="C218" s="100">
        <f t="shared" si="24"/>
        <v>2.5888378978534419E-25</v>
      </c>
      <c r="D218" s="107">
        <f t="shared" si="25"/>
        <v>147.33503974274069</v>
      </c>
      <c r="E218" s="100">
        <v>0</v>
      </c>
      <c r="F218" s="100">
        <f>0</f>
        <v>0</v>
      </c>
      <c r="H218" s="35">
        <f t="shared" si="27"/>
        <v>1900</v>
      </c>
      <c r="I218" s="107">
        <f t="shared" si="28"/>
        <v>35.213919632586205</v>
      </c>
      <c r="J218" s="100">
        <v>0</v>
      </c>
      <c r="K218" s="100">
        <f t="shared" si="29"/>
        <v>0</v>
      </c>
    </row>
    <row r="219" spans="1:14" x14ac:dyDescent="0.3">
      <c r="B219" s="35">
        <f t="shared" si="26"/>
        <v>2000</v>
      </c>
      <c r="C219" s="100">
        <f t="shared" si="24"/>
        <v>2.7250925240562545E-25</v>
      </c>
      <c r="D219" s="107">
        <f t="shared" si="25"/>
        <v>148.40123139267337</v>
      </c>
      <c r="E219" s="100">
        <v>0</v>
      </c>
      <c r="F219" s="100">
        <f>0</f>
        <v>0</v>
      </c>
      <c r="H219" s="35">
        <f t="shared" si="27"/>
        <v>2000</v>
      </c>
      <c r="I219" s="107">
        <f t="shared" si="28"/>
        <v>35.468745552742199</v>
      </c>
      <c r="J219" s="100">
        <v>0</v>
      </c>
      <c r="K219" s="100">
        <f t="shared" si="29"/>
        <v>0</v>
      </c>
    </row>
    <row r="220" spans="1:14" ht="15" thickBot="1" x14ac:dyDescent="0.35">
      <c r="B220" s="26">
        <f t="shared" si="26"/>
        <v>2100</v>
      </c>
      <c r="C220" s="101">
        <f t="shared" si="24"/>
        <v>2.8613471502590675E-25</v>
      </c>
      <c r="D220" s="111">
        <f t="shared" si="25"/>
        <v>149.41539252732866</v>
      </c>
      <c r="E220" s="101">
        <v>0</v>
      </c>
      <c r="F220" s="101">
        <f>0</f>
        <v>0</v>
      </c>
      <c r="G220" s="53"/>
      <c r="H220" s="26">
        <f t="shared" si="27"/>
        <v>2100</v>
      </c>
      <c r="I220" s="111">
        <f t="shared" si="28"/>
        <v>35.711135881292698</v>
      </c>
      <c r="J220" s="101">
        <v>0</v>
      </c>
      <c r="K220" s="101">
        <f t="shared" si="29"/>
        <v>0</v>
      </c>
      <c r="L220" s="53"/>
    </row>
    <row r="224" spans="1:14" ht="15" thickBot="1" x14ac:dyDescent="0.35">
      <c r="A224" s="5" t="s">
        <v>98</v>
      </c>
      <c r="B224" s="170" t="s">
        <v>99</v>
      </c>
      <c r="C224" s="170"/>
      <c r="D224" s="170"/>
      <c r="E224" s="170"/>
      <c r="F224" s="170"/>
      <c r="H224" s="170" t="s">
        <v>100</v>
      </c>
      <c r="I224" s="170"/>
      <c r="J224" s="170"/>
      <c r="K224" s="170"/>
      <c r="L224" s="170"/>
    </row>
    <row r="225" spans="1:15" ht="18" x14ac:dyDescent="0.3">
      <c r="A225" s="5" t="s">
        <v>95</v>
      </c>
      <c r="B225" s="89" t="s">
        <v>45</v>
      </c>
      <c r="C225" s="16" t="s">
        <v>85</v>
      </c>
      <c r="D225" s="16" t="s">
        <v>35</v>
      </c>
      <c r="E225" s="16" t="s">
        <v>36</v>
      </c>
      <c r="F225" s="16" t="s">
        <v>86</v>
      </c>
      <c r="H225" s="89" t="s">
        <v>45</v>
      </c>
      <c r="I225" s="16" t="s">
        <v>85</v>
      </c>
      <c r="J225" s="16" t="s">
        <v>35</v>
      </c>
      <c r="K225" s="16" t="s">
        <v>36</v>
      </c>
      <c r="L225" s="16" t="s">
        <v>86</v>
      </c>
    </row>
    <row r="226" spans="1:15" ht="15" thickBot="1" x14ac:dyDescent="0.35">
      <c r="B226" s="35">
        <f>298.15</f>
        <v>298.14999999999998</v>
      </c>
      <c r="C226" s="100">
        <f>3/2*$D$2</f>
        <v>12.471708</v>
      </c>
      <c r="D226" s="100">
        <v>0</v>
      </c>
      <c r="E226" s="100">
        <v>0</v>
      </c>
      <c r="F226" s="101">
        <v>0</v>
      </c>
      <c r="H226" s="35">
        <f>298.15</f>
        <v>298.14999999999998</v>
      </c>
      <c r="I226" s="102">
        <f>3/2*$D$2 / 4.184</f>
        <v>2.9808097514340344</v>
      </c>
      <c r="J226" s="102">
        <f>D226</f>
        <v>0</v>
      </c>
      <c r="K226" s="102">
        <f>E226</f>
        <v>0</v>
      </c>
      <c r="L226" s="109">
        <v>0</v>
      </c>
    </row>
    <row r="227" spans="1:15" x14ac:dyDescent="0.3">
      <c r="B227" s="35">
        <f>300+100</f>
        <v>400</v>
      </c>
      <c r="C227" s="100">
        <f t="shared" ref="C227:C244" si="30">3/2*$D$2</f>
        <v>12.471708</v>
      </c>
      <c r="D227" s="100">
        <v>0</v>
      </c>
      <c r="E227" s="100">
        <v>0</v>
      </c>
      <c r="H227" s="35">
        <f>300+100</f>
        <v>400</v>
      </c>
      <c r="I227" s="100">
        <f t="shared" ref="I227:I244" si="31">3/2*$D$2 / 4.184</f>
        <v>2.9808097514340344</v>
      </c>
      <c r="J227" s="100">
        <f>D227</f>
        <v>0</v>
      </c>
      <c r="K227" s="100">
        <f>E227</f>
        <v>0</v>
      </c>
    </row>
    <row r="228" spans="1:15" ht="18.600000000000001" thickBot="1" x14ac:dyDescent="0.35">
      <c r="B228" s="35">
        <f t="shared" ref="B228:B244" si="32">B227+100</f>
        <v>500</v>
      </c>
      <c r="C228" s="100">
        <f t="shared" si="30"/>
        <v>12.471708</v>
      </c>
      <c r="D228" s="100">
        <v>0</v>
      </c>
      <c r="E228" s="100">
        <v>0</v>
      </c>
      <c r="H228" s="35">
        <f t="shared" ref="H228:H244" si="33">H227+100</f>
        <v>500</v>
      </c>
      <c r="I228" s="100">
        <f t="shared" si="31"/>
        <v>2.9808097514340344</v>
      </c>
      <c r="J228" s="100">
        <f t="shared" ref="J228:J244" si="34">D228</f>
        <v>0</v>
      </c>
      <c r="K228" s="100">
        <f t="shared" ref="K228:K244" si="35">E228</f>
        <v>0</v>
      </c>
      <c r="M228" s="176" t="s">
        <v>89</v>
      </c>
      <c r="N228" s="176"/>
    </row>
    <row r="229" spans="1:15" x14ac:dyDescent="0.3">
      <c r="B229" s="35">
        <f t="shared" si="32"/>
        <v>600</v>
      </c>
      <c r="C229" s="100">
        <f t="shared" si="30"/>
        <v>12.471708</v>
      </c>
      <c r="D229" s="100">
        <v>0</v>
      </c>
      <c r="E229" s="100">
        <v>0</v>
      </c>
      <c r="H229" s="35">
        <f t="shared" si="33"/>
        <v>600</v>
      </c>
      <c r="I229" s="100">
        <f t="shared" si="31"/>
        <v>2.9808097514340344</v>
      </c>
      <c r="J229" s="100">
        <f t="shared" si="34"/>
        <v>0</v>
      </c>
      <c r="K229" s="100">
        <f t="shared" si="35"/>
        <v>0</v>
      </c>
      <c r="M229" s="38"/>
      <c r="N229" s="4" t="s">
        <v>27</v>
      </c>
      <c r="O229" s="78"/>
    </row>
    <row r="230" spans="1:15" x14ac:dyDescent="0.3">
      <c r="B230" s="35">
        <f t="shared" si="32"/>
        <v>700</v>
      </c>
      <c r="C230" s="100">
        <f t="shared" si="30"/>
        <v>12.471708</v>
      </c>
      <c r="D230" s="100">
        <v>0</v>
      </c>
      <c r="E230" s="100">
        <v>0</v>
      </c>
      <c r="H230" s="35">
        <f t="shared" si="33"/>
        <v>700</v>
      </c>
      <c r="I230" s="100">
        <f t="shared" si="31"/>
        <v>2.9808097514340344</v>
      </c>
      <c r="J230" s="100">
        <f t="shared" si="34"/>
        <v>0</v>
      </c>
      <c r="K230" s="100">
        <f t="shared" si="35"/>
        <v>0</v>
      </c>
      <c r="M230" s="39"/>
      <c r="N230" s="41" t="s">
        <v>30</v>
      </c>
      <c r="O230" s="78"/>
    </row>
    <row r="231" spans="1:15" x14ac:dyDescent="0.3">
      <c r="B231" s="35">
        <f t="shared" si="32"/>
        <v>800</v>
      </c>
      <c r="C231" s="100">
        <f t="shared" si="30"/>
        <v>12.471708</v>
      </c>
      <c r="D231" s="100">
        <v>0</v>
      </c>
      <c r="E231" s="100">
        <v>0</v>
      </c>
      <c r="H231" s="35">
        <f t="shared" si="33"/>
        <v>800</v>
      </c>
      <c r="I231" s="100">
        <f t="shared" si="31"/>
        <v>2.9808097514340344</v>
      </c>
      <c r="J231" s="100">
        <f t="shared" si="34"/>
        <v>0</v>
      </c>
      <c r="K231" s="100">
        <f t="shared" si="35"/>
        <v>0</v>
      </c>
      <c r="M231" s="39" t="s">
        <v>31</v>
      </c>
      <c r="N231" s="43">
        <v>2.9809999999999999</v>
      </c>
      <c r="O231" s="47"/>
    </row>
    <row r="232" spans="1:15" x14ac:dyDescent="0.3">
      <c r="B232" s="35">
        <f t="shared" si="32"/>
        <v>900</v>
      </c>
      <c r="C232" s="100">
        <f t="shared" si="30"/>
        <v>12.471708</v>
      </c>
      <c r="D232" s="100">
        <v>0</v>
      </c>
      <c r="E232" s="100">
        <v>0</v>
      </c>
      <c r="H232" s="35">
        <f t="shared" si="33"/>
        <v>900</v>
      </c>
      <c r="I232" s="100">
        <f t="shared" si="31"/>
        <v>2.9808097514340344</v>
      </c>
      <c r="J232" s="100">
        <f t="shared" si="34"/>
        <v>0</v>
      </c>
      <c r="K232" s="100">
        <f t="shared" si="35"/>
        <v>0</v>
      </c>
      <c r="M232" s="39" t="s">
        <v>32</v>
      </c>
      <c r="N232" s="43">
        <v>0</v>
      </c>
      <c r="O232" s="47"/>
    </row>
    <row r="233" spans="1:15" x14ac:dyDescent="0.3">
      <c r="B233" s="35">
        <f t="shared" si="32"/>
        <v>1000</v>
      </c>
      <c r="C233" s="100">
        <f t="shared" si="30"/>
        <v>12.471708</v>
      </c>
      <c r="D233" s="100">
        <v>0</v>
      </c>
      <c r="E233" s="100">
        <v>0</v>
      </c>
      <c r="H233" s="35">
        <f t="shared" si="33"/>
        <v>1000</v>
      </c>
      <c r="I233" s="100">
        <f t="shared" si="31"/>
        <v>2.9808097514340344</v>
      </c>
      <c r="J233" s="100">
        <f t="shared" si="34"/>
        <v>0</v>
      </c>
      <c r="K233" s="100">
        <f t="shared" si="35"/>
        <v>0</v>
      </c>
      <c r="M233" s="39" t="s">
        <v>34</v>
      </c>
      <c r="N233" s="43">
        <v>2.9809999999999999</v>
      </c>
      <c r="O233" s="47"/>
    </row>
    <row r="234" spans="1:15" x14ac:dyDescent="0.3">
      <c r="B234" s="35">
        <f t="shared" si="32"/>
        <v>1100</v>
      </c>
      <c r="C234" s="100">
        <f t="shared" si="30"/>
        <v>12.471708</v>
      </c>
      <c r="D234" s="100">
        <v>0</v>
      </c>
      <c r="E234" s="100">
        <v>0</v>
      </c>
      <c r="H234" s="35">
        <f t="shared" si="33"/>
        <v>1100</v>
      </c>
      <c r="I234" s="100">
        <f t="shared" si="31"/>
        <v>2.9808097514340344</v>
      </c>
      <c r="J234" s="100">
        <f t="shared" si="34"/>
        <v>0</v>
      </c>
      <c r="K234" s="100">
        <f t="shared" si="35"/>
        <v>0</v>
      </c>
      <c r="M234" s="39" t="s">
        <v>35</v>
      </c>
      <c r="N234" s="43">
        <v>0</v>
      </c>
      <c r="O234" s="47"/>
    </row>
    <row r="235" spans="1:15" ht="15" thickBot="1" x14ac:dyDescent="0.35">
      <c r="B235" s="35">
        <f t="shared" si="32"/>
        <v>1200</v>
      </c>
      <c r="C235" s="100">
        <f t="shared" si="30"/>
        <v>12.471708</v>
      </c>
      <c r="D235" s="100">
        <v>0</v>
      </c>
      <c r="E235" s="100">
        <v>0</v>
      </c>
      <c r="H235" s="35">
        <f t="shared" si="33"/>
        <v>1200</v>
      </c>
      <c r="I235" s="100">
        <f t="shared" si="31"/>
        <v>2.9808097514340344</v>
      </c>
      <c r="J235" s="100">
        <f t="shared" si="34"/>
        <v>0</v>
      </c>
      <c r="K235" s="100">
        <f t="shared" si="35"/>
        <v>0</v>
      </c>
      <c r="M235" s="44" t="s">
        <v>36</v>
      </c>
      <c r="N235" s="46">
        <v>0</v>
      </c>
      <c r="O235" s="47"/>
    </row>
    <row r="236" spans="1:15" x14ac:dyDescent="0.3">
      <c r="B236" s="35">
        <f t="shared" si="32"/>
        <v>1300</v>
      </c>
      <c r="C236" s="100">
        <f t="shared" si="30"/>
        <v>12.471708</v>
      </c>
      <c r="D236" s="100">
        <v>0</v>
      </c>
      <c r="E236" s="100">
        <v>0</v>
      </c>
      <c r="H236" s="35">
        <f t="shared" si="33"/>
        <v>1300</v>
      </c>
      <c r="I236" s="100">
        <f t="shared" si="31"/>
        <v>2.9808097514340344</v>
      </c>
      <c r="J236" s="100">
        <f t="shared" si="34"/>
        <v>0</v>
      </c>
      <c r="K236" s="100">
        <f t="shared" si="35"/>
        <v>0</v>
      </c>
      <c r="N236" s="47"/>
      <c r="O236" s="47"/>
    </row>
    <row r="237" spans="1:15" x14ac:dyDescent="0.3">
      <c r="B237" s="35">
        <f t="shared" si="32"/>
        <v>1400</v>
      </c>
      <c r="C237" s="100">
        <f t="shared" si="30"/>
        <v>12.471708</v>
      </c>
      <c r="D237" s="100">
        <v>0</v>
      </c>
      <c r="E237" s="100">
        <v>0</v>
      </c>
      <c r="H237" s="35">
        <f t="shared" si="33"/>
        <v>1400</v>
      </c>
      <c r="I237" s="100">
        <f t="shared" si="31"/>
        <v>2.9808097514340344</v>
      </c>
      <c r="J237" s="100">
        <f t="shared" si="34"/>
        <v>0</v>
      </c>
      <c r="K237" s="100">
        <f t="shared" si="35"/>
        <v>0</v>
      </c>
    </row>
    <row r="238" spans="1:15" x14ac:dyDescent="0.3">
      <c r="B238" s="35">
        <f t="shared" si="32"/>
        <v>1500</v>
      </c>
      <c r="C238" s="100">
        <f t="shared" si="30"/>
        <v>12.471708</v>
      </c>
      <c r="D238" s="100">
        <v>0</v>
      </c>
      <c r="E238" s="100">
        <v>0</v>
      </c>
      <c r="H238" s="35">
        <f t="shared" si="33"/>
        <v>1500</v>
      </c>
      <c r="I238" s="100">
        <f t="shared" si="31"/>
        <v>2.9808097514340344</v>
      </c>
      <c r="J238" s="100">
        <f t="shared" si="34"/>
        <v>0</v>
      </c>
      <c r="K238" s="100">
        <f t="shared" si="35"/>
        <v>0</v>
      </c>
    </row>
    <row r="239" spans="1:15" x14ac:dyDescent="0.3">
      <c r="B239" s="35">
        <f t="shared" si="32"/>
        <v>1600</v>
      </c>
      <c r="C239" s="100">
        <f t="shared" si="30"/>
        <v>12.471708</v>
      </c>
      <c r="D239" s="100">
        <v>0</v>
      </c>
      <c r="E239" s="100">
        <v>0</v>
      </c>
      <c r="H239" s="35">
        <f t="shared" si="33"/>
        <v>1600</v>
      </c>
      <c r="I239" s="100">
        <f t="shared" si="31"/>
        <v>2.9808097514340344</v>
      </c>
      <c r="J239" s="100">
        <f t="shared" si="34"/>
        <v>0</v>
      </c>
      <c r="K239" s="100">
        <f t="shared" si="35"/>
        <v>0</v>
      </c>
      <c r="M239" s="5" t="s">
        <v>90</v>
      </c>
      <c r="N239" s="112">
        <f>SUM(I226:L226)</f>
        <v>2.9808097514340344</v>
      </c>
    </row>
    <row r="240" spans="1:15" x14ac:dyDescent="0.3">
      <c r="B240" s="35">
        <f t="shared" si="32"/>
        <v>1700</v>
      </c>
      <c r="C240" s="100">
        <f t="shared" si="30"/>
        <v>12.471708</v>
      </c>
      <c r="D240" s="100">
        <v>0</v>
      </c>
      <c r="E240" s="100">
        <v>0</v>
      </c>
      <c r="H240" s="35">
        <f t="shared" si="33"/>
        <v>1700</v>
      </c>
      <c r="I240" s="100">
        <f t="shared" si="31"/>
        <v>2.9808097514340344</v>
      </c>
      <c r="J240" s="100">
        <f t="shared" si="34"/>
        <v>0</v>
      </c>
      <c r="K240" s="100">
        <f t="shared" si="35"/>
        <v>0</v>
      </c>
    </row>
    <row r="241" spans="2:12" x14ac:dyDescent="0.3">
      <c r="B241" s="35">
        <f t="shared" si="32"/>
        <v>1800</v>
      </c>
      <c r="C241" s="100">
        <f t="shared" si="30"/>
        <v>12.471708</v>
      </c>
      <c r="D241" s="100">
        <v>0</v>
      </c>
      <c r="E241" s="100">
        <v>0</v>
      </c>
      <c r="H241" s="35">
        <f t="shared" si="33"/>
        <v>1800</v>
      </c>
      <c r="I241" s="100">
        <f t="shared" si="31"/>
        <v>2.9808097514340344</v>
      </c>
      <c r="J241" s="100">
        <f t="shared" si="34"/>
        <v>0</v>
      </c>
      <c r="K241" s="100">
        <f t="shared" si="35"/>
        <v>0</v>
      </c>
    </row>
    <row r="242" spans="2:12" x14ac:dyDescent="0.3">
      <c r="B242" s="35">
        <f t="shared" si="32"/>
        <v>1900</v>
      </c>
      <c r="C242" s="100">
        <f t="shared" si="30"/>
        <v>12.471708</v>
      </c>
      <c r="D242" s="100">
        <v>0</v>
      </c>
      <c r="E242" s="100">
        <v>0</v>
      </c>
      <c r="H242" s="35">
        <f t="shared" si="33"/>
        <v>1900</v>
      </c>
      <c r="I242" s="100">
        <f t="shared" si="31"/>
        <v>2.9808097514340344</v>
      </c>
      <c r="J242" s="100">
        <f t="shared" si="34"/>
        <v>0</v>
      </c>
      <c r="K242" s="100">
        <f t="shared" si="35"/>
        <v>0</v>
      </c>
    </row>
    <row r="243" spans="2:12" x14ac:dyDescent="0.3">
      <c r="B243" s="35">
        <f t="shared" si="32"/>
        <v>2000</v>
      </c>
      <c r="C243" s="100">
        <f t="shared" si="30"/>
        <v>12.471708</v>
      </c>
      <c r="D243" s="100">
        <v>0</v>
      </c>
      <c r="E243" s="100">
        <v>0</v>
      </c>
      <c r="H243" s="35">
        <f t="shared" si="33"/>
        <v>2000</v>
      </c>
      <c r="I243" s="100">
        <f t="shared" si="31"/>
        <v>2.9808097514340344</v>
      </c>
      <c r="J243" s="100">
        <f t="shared" si="34"/>
        <v>0</v>
      </c>
      <c r="K243" s="100">
        <f t="shared" si="35"/>
        <v>0</v>
      </c>
    </row>
    <row r="244" spans="2:12" ht="15" thickBot="1" x14ac:dyDescent="0.35">
      <c r="B244" s="26">
        <f t="shared" si="32"/>
        <v>2100</v>
      </c>
      <c r="C244" s="101">
        <f t="shared" si="30"/>
        <v>12.471708</v>
      </c>
      <c r="D244" s="101">
        <v>0</v>
      </c>
      <c r="E244" s="101">
        <v>0</v>
      </c>
      <c r="F244" s="53"/>
      <c r="H244" s="26">
        <f t="shared" si="33"/>
        <v>2100</v>
      </c>
      <c r="I244" s="101">
        <f t="shared" si="31"/>
        <v>2.9808097514340344</v>
      </c>
      <c r="J244" s="101">
        <f t="shared" si="34"/>
        <v>0</v>
      </c>
      <c r="K244" s="101">
        <f t="shared" si="35"/>
        <v>0</v>
      </c>
      <c r="L244" s="53"/>
    </row>
    <row r="248" spans="2:12" ht="18" x14ac:dyDescent="0.3">
      <c r="B248" s="80"/>
    </row>
    <row r="249" spans="2:12" x14ac:dyDescent="0.3">
      <c r="C249" s="53"/>
      <c r="D249" s="53"/>
      <c r="E249" s="53"/>
      <c r="F249" s="53"/>
    </row>
    <row r="250" spans="2:12" x14ac:dyDescent="0.3">
      <c r="C250" s="53"/>
      <c r="D250" s="53"/>
      <c r="E250" s="53"/>
    </row>
    <row r="251" spans="2:12" x14ac:dyDescent="0.3">
      <c r="C251" s="53"/>
      <c r="D251" s="53"/>
      <c r="E251" s="53"/>
    </row>
    <row r="252" spans="2:12" x14ac:dyDescent="0.3">
      <c r="C252" s="53"/>
      <c r="D252" s="53"/>
      <c r="E252" s="53"/>
    </row>
    <row r="253" spans="2:12" x14ac:dyDescent="0.3">
      <c r="C253" s="53"/>
      <c r="D253" s="53"/>
      <c r="E253" s="53"/>
    </row>
    <row r="254" spans="2:12" x14ac:dyDescent="0.3">
      <c r="C254" s="53"/>
      <c r="D254" s="53"/>
      <c r="E254" s="53"/>
    </row>
    <row r="255" spans="2:12" x14ac:dyDescent="0.3">
      <c r="C255" s="53"/>
      <c r="D255" s="53"/>
      <c r="E255" s="53"/>
    </row>
    <row r="256" spans="2:12" x14ac:dyDescent="0.3">
      <c r="C256" s="53"/>
      <c r="D256" s="53"/>
      <c r="E256" s="53"/>
    </row>
    <row r="257" spans="1:12" x14ac:dyDescent="0.3">
      <c r="C257" s="53"/>
      <c r="D257" s="53"/>
      <c r="E257" s="53"/>
    </row>
    <row r="258" spans="1:12" x14ac:dyDescent="0.3">
      <c r="C258" s="53"/>
      <c r="D258" s="53"/>
      <c r="E258" s="53"/>
    </row>
    <row r="259" spans="1:12" x14ac:dyDescent="0.3">
      <c r="C259" s="53"/>
      <c r="D259" s="53"/>
      <c r="E259" s="53"/>
    </row>
    <row r="260" spans="1:12" x14ac:dyDescent="0.3">
      <c r="C260" s="53"/>
      <c r="D260" s="53"/>
      <c r="E260" s="53"/>
    </row>
    <row r="261" spans="1:12" x14ac:dyDescent="0.3">
      <c r="C261" s="53"/>
      <c r="D261" s="53"/>
      <c r="E261" s="53"/>
    </row>
    <row r="262" spans="1:12" x14ac:dyDescent="0.3">
      <c r="C262" s="53"/>
      <c r="D262" s="53"/>
      <c r="E262" s="53"/>
    </row>
    <row r="263" spans="1:12" x14ac:dyDescent="0.3">
      <c r="C263" s="53"/>
      <c r="D263" s="53"/>
      <c r="E263" s="53"/>
    </row>
    <row r="264" spans="1:12" x14ac:dyDescent="0.3">
      <c r="C264" s="53"/>
      <c r="D264" s="53"/>
      <c r="E264" s="53"/>
    </row>
    <row r="265" spans="1:12" x14ac:dyDescent="0.3">
      <c r="C265" s="53"/>
      <c r="D265" s="53"/>
      <c r="E265" s="53"/>
    </row>
    <row r="266" spans="1:12" x14ac:dyDescent="0.3">
      <c r="C266" s="53"/>
      <c r="D266" s="53"/>
      <c r="E266" s="53"/>
    </row>
    <row r="267" spans="1:12" x14ac:dyDescent="0.3">
      <c r="C267" s="53"/>
      <c r="D267" s="53"/>
      <c r="E267" s="53"/>
      <c r="F267" s="53"/>
    </row>
    <row r="272" spans="1:12" ht="15" thickBot="1" x14ac:dyDescent="0.35">
      <c r="A272" s="5" t="s">
        <v>102</v>
      </c>
      <c r="B272" s="170" t="s">
        <v>99</v>
      </c>
      <c r="C272" s="170"/>
      <c r="D272" s="170"/>
      <c r="E272" s="170"/>
      <c r="F272" s="170"/>
      <c r="H272" s="170" t="s">
        <v>100</v>
      </c>
      <c r="I272" s="170"/>
      <c r="J272" s="170"/>
      <c r="K272" s="170"/>
      <c r="L272" s="170"/>
    </row>
    <row r="273" spans="1:12" ht="18" x14ac:dyDescent="0.3">
      <c r="A273" s="5" t="s">
        <v>95</v>
      </c>
      <c r="B273" s="89" t="s">
        <v>45</v>
      </c>
      <c r="C273" s="16" t="s">
        <v>85</v>
      </c>
      <c r="D273" s="16" t="s">
        <v>35</v>
      </c>
      <c r="E273" s="16" t="s">
        <v>36</v>
      </c>
      <c r="F273" s="16" t="s">
        <v>86</v>
      </c>
      <c r="H273" s="89" t="s">
        <v>45</v>
      </c>
      <c r="I273" s="113" t="s">
        <v>85</v>
      </c>
      <c r="J273" s="113" t="s">
        <v>35</v>
      </c>
      <c r="K273" s="113" t="s">
        <v>36</v>
      </c>
      <c r="L273" s="16" t="s">
        <v>86</v>
      </c>
    </row>
    <row r="274" spans="1:12" ht="15" thickBot="1" x14ac:dyDescent="0.35">
      <c r="B274" s="35">
        <f>298.15</f>
        <v>298.14999999999998</v>
      </c>
      <c r="C274" s="100">
        <f>3/2*$D$2 + $D$2</f>
        <v>20.786180000000002</v>
      </c>
      <c r="D274" s="100">
        <f>3/2*$D$2  + $D$2</f>
        <v>20.786180000000002</v>
      </c>
      <c r="E274" s="100" t="e" cm="1">
        <f t="array" ref="E274">$D$2*SUM( ( ($B$12:$B$20) * ($B$12:$B$20)* EXP($B$12:$B$20/B274) ) / ( B274*B274* ( EXP(( $B$12:$B$20)/B274 )  -1)^2 ) ) +   $D$2</f>
        <v>#DIV/0!</v>
      </c>
      <c r="F274" s="101" t="s">
        <v>103</v>
      </c>
      <c r="H274" s="35">
        <f>298.15</f>
        <v>298.14999999999998</v>
      </c>
      <c r="I274" s="102">
        <f>(3/2*$D$2  + $D$2)/ 4.184</f>
        <v>4.9680162523900577</v>
      </c>
      <c r="J274" s="102">
        <f>(3/2*$D$2 + $D$2) / 4.184</f>
        <v>4.9680162523900577</v>
      </c>
      <c r="K274" s="102" t="e" cm="1">
        <f t="array" ref="K274" xml:space="preserve"> ($D$2*SUM( ( ($B$12:$B$20) * ($B$12:$B$20)* EXP($B$12:$B$20/B274) ) / ( B274*B274* ( EXP(( $B$12:$B$20)/B274 )  -1)^2 ) ) +   $D$2 ) / 4.184</f>
        <v>#DIV/0!</v>
      </c>
      <c r="L274" s="114" t="s">
        <v>103</v>
      </c>
    </row>
    <row r="275" spans="1:12" x14ac:dyDescent="0.3">
      <c r="B275" s="35">
        <f>300+100</f>
        <v>400</v>
      </c>
      <c r="C275" s="100">
        <f t="shared" ref="C275:C292" si="36">3/2*$D$2 + $D$2</f>
        <v>20.786180000000002</v>
      </c>
      <c r="D275" s="100">
        <f t="shared" ref="D275:D292" si="37">3/2*$D$2  + $D$2</f>
        <v>20.786180000000002</v>
      </c>
      <c r="E275" s="100" t="e" cm="1">
        <f t="array" ref="E275">$D$2*SUM( ( ($B$12:$B$20) * ($B$12:$B$20)* EXP($B$12:$B$20/B275) ) / ( B275*B275* ( EXP(( $B$12:$B$20)/B275 )  -1)^2 ) ) +   $D$2</f>
        <v>#DIV/0!</v>
      </c>
      <c r="H275" s="35">
        <f>300+100</f>
        <v>400</v>
      </c>
      <c r="I275" s="100">
        <f t="shared" ref="I275:I292" si="38">(3/2*$D$2  + $D$2)/ 4.184</f>
        <v>4.9680162523900577</v>
      </c>
      <c r="J275" s="100">
        <f t="shared" ref="J275:J292" si="39">(3/2*$D$2 + $D$2) / 4.184</f>
        <v>4.9680162523900577</v>
      </c>
      <c r="K275" s="100" t="e" cm="1">
        <f t="array" ref="K275" xml:space="preserve"> ($D$2*SUM( ( ($B$12:$B$20) * ($B$12:$B$20)* EXP($B$12:$B$20/B275) ) / ( B275*B275* ( EXP(( $B$12:$B$20)/B275)  -1)^2 ) ) +   $D$2 ) / 4.184</f>
        <v>#DIV/0!</v>
      </c>
    </row>
    <row r="276" spans="1:12" x14ac:dyDescent="0.3">
      <c r="B276" s="35">
        <f t="shared" ref="B276:B292" si="40">B275+100</f>
        <v>500</v>
      </c>
      <c r="C276" s="100">
        <f t="shared" si="36"/>
        <v>20.786180000000002</v>
      </c>
      <c r="D276" s="100">
        <f t="shared" si="37"/>
        <v>20.786180000000002</v>
      </c>
      <c r="E276" s="100" t="e" cm="1">
        <f t="array" ref="E276">$D$2*SUM( ( ($B$12:$B$20) * ($B$12:$B$20)* EXP($B$12:$B$20/B276) ) / ( B276*B276* ( EXP(( $B$12:$B$20)/B276 )  -1)^2 ) ) +   $D$2</f>
        <v>#DIV/0!</v>
      </c>
      <c r="H276" s="35">
        <f t="shared" ref="H276:H292" si="41">H275+100</f>
        <v>500</v>
      </c>
      <c r="I276" s="100">
        <f t="shared" si="38"/>
        <v>4.9680162523900577</v>
      </c>
      <c r="J276" s="100">
        <f t="shared" si="39"/>
        <v>4.9680162523900577</v>
      </c>
      <c r="K276" s="100" t="e" cm="1">
        <f t="array" ref="K276" xml:space="preserve"> ($D$2*SUM( ( ($B$12:$B$20) * ($B$12:$B$20)* EXP($B$12:$B$20/B276) ) / ( B276*B276* ( EXP(( $B$12:$B$20)/B276)  -1)^2 ) ) +   $D$2 ) / 4.184</f>
        <v>#DIV/0!</v>
      </c>
    </row>
    <row r="277" spans="1:12" x14ac:dyDescent="0.3">
      <c r="B277" s="35">
        <f t="shared" si="40"/>
        <v>600</v>
      </c>
      <c r="C277" s="100">
        <f t="shared" si="36"/>
        <v>20.786180000000002</v>
      </c>
      <c r="D277" s="100">
        <f t="shared" si="37"/>
        <v>20.786180000000002</v>
      </c>
      <c r="E277" s="100" t="e" cm="1">
        <f t="array" ref="E277">$D$2*SUM( ( ($B$12:$B$20) * ($B$12:$B$20)* EXP($B$12:$B$20/B277) ) / ( B277*B277* ( EXP(( $B$12:$B$20)/B277 )  -1)^2 ) ) +   $D$2</f>
        <v>#DIV/0!</v>
      </c>
      <c r="H277" s="35">
        <f t="shared" si="41"/>
        <v>600</v>
      </c>
      <c r="I277" s="100">
        <f t="shared" si="38"/>
        <v>4.9680162523900577</v>
      </c>
      <c r="J277" s="100">
        <f t="shared" si="39"/>
        <v>4.9680162523900577</v>
      </c>
      <c r="K277" s="100" t="e" cm="1">
        <f t="array" ref="K277" xml:space="preserve"> ($D$2*SUM( ( ($B$12:$B$20) * ($B$12:$B$20)* EXP($B$12:$B$20/B277) ) / ( B277*B277* ( EXP(( $B$12:$B$20)/B277)  -1)^2 ) ) +   $D$2 ) / 4.184</f>
        <v>#DIV/0!</v>
      </c>
    </row>
    <row r="278" spans="1:12" x14ac:dyDescent="0.3">
      <c r="B278" s="35">
        <f t="shared" si="40"/>
        <v>700</v>
      </c>
      <c r="C278" s="100">
        <f t="shared" si="36"/>
        <v>20.786180000000002</v>
      </c>
      <c r="D278" s="100">
        <f t="shared" si="37"/>
        <v>20.786180000000002</v>
      </c>
      <c r="E278" s="100" t="e" cm="1">
        <f t="array" ref="E278">$D$2*SUM( ( ($B$12:$B$20) * ($B$12:$B$20)* EXP($B$12:$B$20/B278) ) / ( B278*B278* ( EXP(( $B$12:$B$20)/B278 )  -1)^2 ) ) +   $D$2</f>
        <v>#DIV/0!</v>
      </c>
      <c r="H278" s="35">
        <f t="shared" si="41"/>
        <v>700</v>
      </c>
      <c r="I278" s="100">
        <f t="shared" si="38"/>
        <v>4.9680162523900577</v>
      </c>
      <c r="J278" s="100">
        <f t="shared" si="39"/>
        <v>4.9680162523900577</v>
      </c>
      <c r="K278" s="100" t="e" cm="1">
        <f t="array" ref="K278" xml:space="preserve"> ($D$2*SUM( ( ($B$12:$B$20) * ($B$12:$B$20)* EXP($B$12:$B$20/B278) ) / ( B278*B278* ( EXP(( $B$12:$B$20)/B278)  -1)^2 ) ) +   $D$2 ) / 4.184</f>
        <v>#DIV/0!</v>
      </c>
    </row>
    <row r="279" spans="1:12" x14ac:dyDescent="0.3">
      <c r="B279" s="35">
        <f t="shared" si="40"/>
        <v>800</v>
      </c>
      <c r="C279" s="100">
        <f t="shared" si="36"/>
        <v>20.786180000000002</v>
      </c>
      <c r="D279" s="100">
        <f t="shared" si="37"/>
        <v>20.786180000000002</v>
      </c>
      <c r="E279" s="100" t="e" cm="1">
        <f t="array" ref="E279">$D$2*SUM( ( ($B$12:$B$20) * ($B$12:$B$20)* EXP($B$12:$B$20/B279) ) / ( B279*B279* ( EXP(( $B$12:$B$20)/B279 )  -1)^2 ) ) +   $D$2</f>
        <v>#DIV/0!</v>
      </c>
      <c r="H279" s="35">
        <f t="shared" si="41"/>
        <v>800</v>
      </c>
      <c r="I279" s="100">
        <f t="shared" si="38"/>
        <v>4.9680162523900577</v>
      </c>
      <c r="J279" s="100">
        <f t="shared" si="39"/>
        <v>4.9680162523900577</v>
      </c>
      <c r="K279" s="100" t="e" cm="1">
        <f t="array" ref="K279" xml:space="preserve"> ($D$2*SUM( ( ($B$12:$B$20) * ($B$12:$B$20)* EXP($B$12:$B$20/B279) ) / ( B279*B279* ( EXP(( $B$12:$B$20)/B279)  -1)^2 ) ) +   $D$2 ) / 4.184</f>
        <v>#DIV/0!</v>
      </c>
    </row>
    <row r="280" spans="1:12" x14ac:dyDescent="0.3">
      <c r="B280" s="35">
        <f t="shared" si="40"/>
        <v>900</v>
      </c>
      <c r="C280" s="100">
        <f t="shared" si="36"/>
        <v>20.786180000000002</v>
      </c>
      <c r="D280" s="100">
        <f t="shared" si="37"/>
        <v>20.786180000000002</v>
      </c>
      <c r="E280" s="100" t="e" cm="1">
        <f t="array" ref="E280">$D$2*SUM( ( ($B$12:$B$20) * ($B$12:$B$20)* EXP($B$12:$B$20/B280) ) / ( B280*B280* ( EXP(( $B$12:$B$20)/B280 )  -1)^2 ) ) +   $D$2</f>
        <v>#DIV/0!</v>
      </c>
      <c r="H280" s="35">
        <f t="shared" si="41"/>
        <v>900</v>
      </c>
      <c r="I280" s="100">
        <f t="shared" si="38"/>
        <v>4.9680162523900577</v>
      </c>
      <c r="J280" s="100">
        <f t="shared" si="39"/>
        <v>4.9680162523900577</v>
      </c>
      <c r="K280" s="100" t="e" cm="1">
        <f t="array" ref="K280" xml:space="preserve"> ($D$2*SUM( ( ($B$12:$B$20) * ($B$12:$B$20)* EXP($B$12:$B$20/B280) ) / ( B280*B280* ( EXP(( $B$12:$B$20)/B280)  -1)^2 ) ) +   $D$2 ) / 4.184</f>
        <v>#DIV/0!</v>
      </c>
    </row>
    <row r="281" spans="1:12" x14ac:dyDescent="0.3">
      <c r="B281" s="35">
        <f t="shared" si="40"/>
        <v>1000</v>
      </c>
      <c r="C281" s="100">
        <f t="shared" si="36"/>
        <v>20.786180000000002</v>
      </c>
      <c r="D281" s="100">
        <f t="shared" si="37"/>
        <v>20.786180000000002</v>
      </c>
      <c r="E281" s="100" t="e" cm="1">
        <f t="array" ref="E281">$D$2*SUM( ( ($B$12:$B$20) * ($B$12:$B$20)* EXP($B$12:$B$20/B281) ) / ( B281*B281* ( EXP(( $B$12:$B$20)/B281 )  -1)^2 ) ) +   $D$2</f>
        <v>#DIV/0!</v>
      </c>
      <c r="H281" s="35">
        <f t="shared" si="41"/>
        <v>1000</v>
      </c>
      <c r="I281" s="100">
        <f t="shared" si="38"/>
        <v>4.9680162523900577</v>
      </c>
      <c r="J281" s="100">
        <f t="shared" si="39"/>
        <v>4.9680162523900577</v>
      </c>
      <c r="K281" s="100" t="e" cm="1">
        <f t="array" ref="K281" xml:space="preserve"> ($D$2*SUM( ( ($B$12:$B$20) * ($B$12:$B$20)* EXP($B$12:$B$20/B281) ) / ( B281*B281* ( EXP(( $B$12:$B$20)/B281)  -1)^2 ) ) +   $D$2 ) / 4.184</f>
        <v>#DIV/0!</v>
      </c>
    </row>
    <row r="282" spans="1:12" x14ac:dyDescent="0.3">
      <c r="B282" s="35">
        <f t="shared" si="40"/>
        <v>1100</v>
      </c>
      <c r="C282" s="100">
        <f t="shared" si="36"/>
        <v>20.786180000000002</v>
      </c>
      <c r="D282" s="100">
        <f t="shared" si="37"/>
        <v>20.786180000000002</v>
      </c>
      <c r="E282" s="100" t="e" cm="1">
        <f t="array" ref="E282">$D$2*SUM( ( ($B$12:$B$20) * ($B$12:$B$20)* EXP($B$12:$B$20/B282) ) / ( B282*B282* ( EXP(( $B$12:$B$20)/B282 )  -1)^2 ) ) +   $D$2</f>
        <v>#DIV/0!</v>
      </c>
      <c r="H282" s="35">
        <f t="shared" si="41"/>
        <v>1100</v>
      </c>
      <c r="I282" s="100">
        <f t="shared" si="38"/>
        <v>4.9680162523900577</v>
      </c>
      <c r="J282" s="100">
        <f t="shared" si="39"/>
        <v>4.9680162523900577</v>
      </c>
      <c r="K282" s="100" t="e" cm="1">
        <f t="array" ref="K282" xml:space="preserve"> ($D$2*SUM( ( ($B$12:$B$20) * ($B$12:$B$20)* EXP($B$12:$B$20/B282) ) / ( B282*B282* ( EXP(( $B$12:$B$20)/B282)  -1)^2 ) ) +   $D$2 ) / 4.184</f>
        <v>#DIV/0!</v>
      </c>
    </row>
    <row r="283" spans="1:12" x14ac:dyDescent="0.3">
      <c r="B283" s="35">
        <f t="shared" si="40"/>
        <v>1200</v>
      </c>
      <c r="C283" s="100">
        <f t="shared" si="36"/>
        <v>20.786180000000002</v>
      </c>
      <c r="D283" s="100">
        <f t="shared" si="37"/>
        <v>20.786180000000002</v>
      </c>
      <c r="E283" s="100" t="e" cm="1">
        <f t="array" ref="E283">$D$2*SUM( ( ($B$12:$B$20) * ($B$12:$B$20)* EXP($B$12:$B$20/B283) ) / ( B283*B283* ( EXP(( $B$12:$B$20)/B283 )  -1)^2 ) ) +   $D$2</f>
        <v>#DIV/0!</v>
      </c>
      <c r="H283" s="35">
        <f t="shared" si="41"/>
        <v>1200</v>
      </c>
      <c r="I283" s="100">
        <f t="shared" si="38"/>
        <v>4.9680162523900577</v>
      </c>
      <c r="J283" s="100">
        <f t="shared" si="39"/>
        <v>4.9680162523900577</v>
      </c>
      <c r="K283" s="100" t="e" cm="1">
        <f t="array" ref="K283" xml:space="preserve"> ($D$2*SUM( ( ($B$12:$B$20) * ($B$12:$B$20)* EXP($B$12:$B$20/B283) ) / ( B283*B283* ( EXP(( $B$12:$B$20)/B283)  -1)^2 ) ) +   $D$2 ) / 4.184</f>
        <v>#DIV/0!</v>
      </c>
    </row>
    <row r="284" spans="1:12" x14ac:dyDescent="0.3">
      <c r="B284" s="35">
        <f t="shared" si="40"/>
        <v>1300</v>
      </c>
      <c r="C284" s="100">
        <f t="shared" si="36"/>
        <v>20.786180000000002</v>
      </c>
      <c r="D284" s="100">
        <f t="shared" si="37"/>
        <v>20.786180000000002</v>
      </c>
      <c r="E284" s="100" t="e" cm="1">
        <f t="array" ref="E284">$D$2*SUM( ( ($B$12:$B$20) * ($B$12:$B$20)* EXP($B$12:$B$20/B284) ) / ( B284*B284* ( EXP(( $B$12:$B$20)/B284 )  -1)^2 ) ) +   $D$2</f>
        <v>#DIV/0!</v>
      </c>
      <c r="H284" s="35">
        <f t="shared" si="41"/>
        <v>1300</v>
      </c>
      <c r="I284" s="100">
        <f t="shared" si="38"/>
        <v>4.9680162523900577</v>
      </c>
      <c r="J284" s="100">
        <f t="shared" si="39"/>
        <v>4.9680162523900577</v>
      </c>
      <c r="K284" s="100" t="e" cm="1">
        <f t="array" ref="K284" xml:space="preserve"> ($D$2*SUM( ( ($B$12:$B$20) * ($B$12:$B$20)* EXP($B$12:$B$20/B284) ) / ( B284*B284* ( EXP(( $B$12:$B$20)/B284)  -1)^2 ) ) +   $D$2 ) / 4.184</f>
        <v>#DIV/0!</v>
      </c>
    </row>
    <row r="285" spans="1:12" x14ac:dyDescent="0.3">
      <c r="B285" s="35">
        <f t="shared" si="40"/>
        <v>1400</v>
      </c>
      <c r="C285" s="100">
        <f t="shared" si="36"/>
        <v>20.786180000000002</v>
      </c>
      <c r="D285" s="100">
        <f t="shared" si="37"/>
        <v>20.786180000000002</v>
      </c>
      <c r="E285" s="100" t="e" cm="1">
        <f t="array" ref="E285">$D$2*SUM( ( ($B$12:$B$20) * ($B$12:$B$20)* EXP($B$12:$B$20/B285) ) / ( B285*B285* ( EXP(( $B$12:$B$20)/B285 )  -1)^2 ) ) +   $D$2</f>
        <v>#DIV/0!</v>
      </c>
      <c r="H285" s="35">
        <f t="shared" si="41"/>
        <v>1400</v>
      </c>
      <c r="I285" s="100">
        <f t="shared" si="38"/>
        <v>4.9680162523900577</v>
      </c>
      <c r="J285" s="100">
        <f t="shared" si="39"/>
        <v>4.9680162523900577</v>
      </c>
      <c r="K285" s="100" t="e" cm="1">
        <f t="array" ref="K285" xml:space="preserve"> ($D$2*SUM( ( ($B$12:$B$20) * ($B$12:$B$20)* EXP($B$12:$B$20/B285) ) / ( B285*B285* ( EXP(( $B$12:$B$20)/B285)  -1)^2 ) ) +   $D$2 ) / 4.184</f>
        <v>#DIV/0!</v>
      </c>
    </row>
    <row r="286" spans="1:12" x14ac:dyDescent="0.3">
      <c r="B286" s="35">
        <f t="shared" si="40"/>
        <v>1500</v>
      </c>
      <c r="C286" s="100">
        <f t="shared" si="36"/>
        <v>20.786180000000002</v>
      </c>
      <c r="D286" s="100">
        <f t="shared" si="37"/>
        <v>20.786180000000002</v>
      </c>
      <c r="E286" s="100" t="e" cm="1">
        <f t="array" ref="E286">$D$2*SUM( ( ($B$12:$B$20) * ($B$12:$B$20)* EXP($B$12:$B$20/B286) ) / ( B286*B286* ( EXP(( $B$12:$B$20)/B286 )  -1)^2 ) ) +   $D$2</f>
        <v>#DIV/0!</v>
      </c>
      <c r="H286" s="35">
        <f t="shared" si="41"/>
        <v>1500</v>
      </c>
      <c r="I286" s="100">
        <f t="shared" si="38"/>
        <v>4.9680162523900577</v>
      </c>
      <c r="J286" s="100">
        <f t="shared" si="39"/>
        <v>4.9680162523900577</v>
      </c>
      <c r="K286" s="100" t="e" cm="1">
        <f t="array" ref="K286" xml:space="preserve"> ($D$2*SUM( ( ($B$12:$B$20) * ($B$12:$B$20)* EXP($B$12:$B$20/B286) ) / ( B286*B286* ( EXP(( $B$12:$B$20)/B286)  -1)^2 ) ) +   $D$2 ) / 4.184</f>
        <v>#DIV/0!</v>
      </c>
    </row>
    <row r="287" spans="1:12" x14ac:dyDescent="0.3">
      <c r="B287" s="35">
        <f t="shared" si="40"/>
        <v>1600</v>
      </c>
      <c r="C287" s="100">
        <f t="shared" si="36"/>
        <v>20.786180000000002</v>
      </c>
      <c r="D287" s="100">
        <f t="shared" si="37"/>
        <v>20.786180000000002</v>
      </c>
      <c r="E287" s="100" t="e" cm="1">
        <f t="array" ref="E287">$D$2*SUM( ( ($B$12:$B$20) * ($B$12:$B$20)* EXP($B$12:$B$20/B287) ) / ( B287*B287* ( EXP(( $B$12:$B$20)/B287 )  -1)^2 ) ) +   $D$2</f>
        <v>#DIV/0!</v>
      </c>
      <c r="H287" s="35">
        <f t="shared" si="41"/>
        <v>1600</v>
      </c>
      <c r="I287" s="100">
        <f t="shared" si="38"/>
        <v>4.9680162523900577</v>
      </c>
      <c r="J287" s="100">
        <f t="shared" si="39"/>
        <v>4.9680162523900577</v>
      </c>
      <c r="K287" s="100" t="e" cm="1">
        <f t="array" ref="K287" xml:space="preserve"> ($D$2*SUM( ( ($B$12:$B$20) * ($B$12:$B$20)* EXP($B$12:$B$20/B287) ) / ( B287*B287* ( EXP(( $B$12:$B$20)/B287)  -1)^2 ) ) +   $D$2 ) / 4.184</f>
        <v>#DIV/0!</v>
      </c>
    </row>
    <row r="288" spans="1:12" x14ac:dyDescent="0.3">
      <c r="B288" s="35">
        <f t="shared" si="40"/>
        <v>1700</v>
      </c>
      <c r="C288" s="100">
        <f t="shared" si="36"/>
        <v>20.786180000000002</v>
      </c>
      <c r="D288" s="100">
        <f t="shared" si="37"/>
        <v>20.786180000000002</v>
      </c>
      <c r="E288" s="100" t="e" cm="1">
        <f t="array" ref="E288">$D$2*SUM( ( ($B$12:$B$20) * ($B$12:$B$20)* EXP($B$12:$B$20/B288) ) / ( B288*B288* ( EXP(( $B$12:$B$20)/B288 )  -1)^2 ) ) +   $D$2</f>
        <v>#DIV/0!</v>
      </c>
      <c r="H288" s="35">
        <f t="shared" si="41"/>
        <v>1700</v>
      </c>
      <c r="I288" s="100">
        <f t="shared" si="38"/>
        <v>4.9680162523900577</v>
      </c>
      <c r="J288" s="100">
        <f t="shared" si="39"/>
        <v>4.9680162523900577</v>
      </c>
      <c r="K288" s="100" t="e" cm="1">
        <f t="array" ref="K288" xml:space="preserve"> ($D$2*SUM( ( ($B$12:$B$20) * ($B$12:$B$20)* EXP($B$12:$B$20/B288) ) / ( B288*B288* ( EXP(( $B$12:$B$20)/B288)  -1)^2 ) ) +   $D$2 ) / 4.184</f>
        <v>#DIV/0!</v>
      </c>
    </row>
    <row r="289" spans="2:12" x14ac:dyDescent="0.3">
      <c r="B289" s="35">
        <f t="shared" si="40"/>
        <v>1800</v>
      </c>
      <c r="C289" s="100">
        <f t="shared" si="36"/>
        <v>20.786180000000002</v>
      </c>
      <c r="D289" s="100">
        <f t="shared" si="37"/>
        <v>20.786180000000002</v>
      </c>
      <c r="E289" s="100" t="e" cm="1">
        <f t="array" ref="E289">$D$2*SUM( ( ($B$12:$B$20) * ($B$12:$B$20)* EXP($B$12:$B$20/B289) ) / ( B289*B289* ( EXP(( $B$12:$B$20)/B289 )  -1)^2 ) ) +   $D$2</f>
        <v>#DIV/0!</v>
      </c>
      <c r="H289" s="35">
        <f t="shared" si="41"/>
        <v>1800</v>
      </c>
      <c r="I289" s="100">
        <f t="shared" si="38"/>
        <v>4.9680162523900577</v>
      </c>
      <c r="J289" s="100">
        <f t="shared" si="39"/>
        <v>4.9680162523900577</v>
      </c>
      <c r="K289" s="100" t="e" cm="1">
        <f t="array" ref="K289" xml:space="preserve"> ($D$2*SUM( ( ($B$12:$B$20) * ($B$12:$B$20)* EXP($B$12:$B$20/B289) ) / ( B289*B289* ( EXP(( $B$12:$B$20)/B289)  -1)^2 ) ) +   $D$2 ) / 4.184</f>
        <v>#DIV/0!</v>
      </c>
    </row>
    <row r="290" spans="2:12" x14ac:dyDescent="0.3">
      <c r="B290" s="35">
        <f t="shared" si="40"/>
        <v>1900</v>
      </c>
      <c r="C290" s="100">
        <f t="shared" si="36"/>
        <v>20.786180000000002</v>
      </c>
      <c r="D290" s="100">
        <f t="shared" si="37"/>
        <v>20.786180000000002</v>
      </c>
      <c r="E290" s="100" t="e" cm="1">
        <f t="array" ref="E290">$D$2*SUM( ( ($B$12:$B$20) * ($B$12:$B$20)* EXP($B$12:$B$20/B290) ) / ( B290*B290* ( EXP(( $B$12:$B$20)/B290 )  -1)^2 ) ) +   $D$2</f>
        <v>#DIV/0!</v>
      </c>
      <c r="H290" s="35">
        <f t="shared" si="41"/>
        <v>1900</v>
      </c>
      <c r="I290" s="100">
        <f t="shared" si="38"/>
        <v>4.9680162523900577</v>
      </c>
      <c r="J290" s="100">
        <f t="shared" si="39"/>
        <v>4.9680162523900577</v>
      </c>
      <c r="K290" s="100" t="e" cm="1">
        <f t="array" ref="K290" xml:space="preserve"> ($D$2*SUM( ( ($B$12:$B$20) * ($B$12:$B$20)* EXP($B$12:$B$20/B290) ) / ( B290*B290* ( EXP(( $B$12:$B$20)/B290)  -1)^2 ) ) +   $D$2 ) / 4.184</f>
        <v>#DIV/0!</v>
      </c>
    </row>
    <row r="291" spans="2:12" x14ac:dyDescent="0.3">
      <c r="B291" s="35">
        <f t="shared" si="40"/>
        <v>2000</v>
      </c>
      <c r="C291" s="100">
        <f t="shared" si="36"/>
        <v>20.786180000000002</v>
      </c>
      <c r="D291" s="100">
        <f t="shared" si="37"/>
        <v>20.786180000000002</v>
      </c>
      <c r="E291" s="100" t="e" cm="1">
        <f t="array" ref="E291">$D$2*SUM( ( ($B$12:$B$20) * ($B$12:$B$20)* EXP($B$12:$B$20/B291) ) / ( B291*B291* ( EXP(( $B$12:$B$20)/B291 )  -1)^2 ) ) +   $D$2</f>
        <v>#DIV/0!</v>
      </c>
      <c r="H291" s="35">
        <f t="shared" si="41"/>
        <v>2000</v>
      </c>
      <c r="I291" s="100">
        <f t="shared" si="38"/>
        <v>4.9680162523900577</v>
      </c>
      <c r="J291" s="100">
        <f t="shared" si="39"/>
        <v>4.9680162523900577</v>
      </c>
      <c r="K291" s="100" t="e" cm="1">
        <f t="array" ref="K291" xml:space="preserve"> ($D$2*SUM( ( ($B$12:$B$20) * ($B$12:$B$20)* EXP($B$12:$B$20/B291) ) / ( B291*B291* ( EXP(( $B$12:$B$20)/B291)  -1)^2 ) ) +   $D$2 ) / 4.184</f>
        <v>#DIV/0!</v>
      </c>
    </row>
    <row r="292" spans="2:12" ht="15" thickBot="1" x14ac:dyDescent="0.35">
      <c r="B292" s="26">
        <f t="shared" si="40"/>
        <v>2100</v>
      </c>
      <c r="C292" s="101">
        <f t="shared" si="36"/>
        <v>20.786180000000002</v>
      </c>
      <c r="D292" s="101">
        <f t="shared" si="37"/>
        <v>20.786180000000002</v>
      </c>
      <c r="E292" s="101" t="e" cm="1">
        <f t="array" ref="E292">$D$2*SUM( ( ($B$12:$B$20) * ($B$12:$B$20)* EXP($B$12:$B$20/B292) ) / ( B292*B292* ( EXP(( $B$12:$B$20)/B292 )  -1)^2 ) ) +   $D$2</f>
        <v>#DIV/0!</v>
      </c>
      <c r="F292" s="53"/>
      <c r="H292" s="26">
        <f t="shared" si="41"/>
        <v>2100</v>
      </c>
      <c r="I292" s="101">
        <f t="shared" si="38"/>
        <v>4.9680162523900577</v>
      </c>
      <c r="J292" s="101">
        <f t="shared" si="39"/>
        <v>4.9680162523900577</v>
      </c>
      <c r="K292" s="101" t="e" cm="1">
        <f t="array" ref="K292" xml:space="preserve"> ($D$2*SUM( ( ($B$12:$B$20) * ($B$12:$B$20)* EXP($B$12:$B$20/B292) ) / ( B292*B292* ( EXP(( $B$12:$B$20)/B292)  -1)^2 ) ) +   $D$2 ) / 4.184</f>
        <v>#DIV/0!</v>
      </c>
      <c r="L292" s="53"/>
    </row>
  </sheetData>
  <mergeCells count="14">
    <mergeCell ref="B272:F272"/>
    <mergeCell ref="H272:L272"/>
    <mergeCell ref="D52:W52"/>
    <mergeCell ref="B174:F174"/>
    <mergeCell ref="H174:K174"/>
    <mergeCell ref="M177:N177"/>
    <mergeCell ref="M178:N178"/>
    <mergeCell ref="B200:F200"/>
    <mergeCell ref="H200:L200"/>
    <mergeCell ref="M204:N204"/>
    <mergeCell ref="M205:N205"/>
    <mergeCell ref="B224:F224"/>
    <mergeCell ref="H224:L224"/>
    <mergeCell ref="M228:N228"/>
  </mergeCells>
  <pageMargins left="0.7" right="0.7" top="0.75" bottom="0.75" header="0.3" footer="0.3"/>
  <ignoredErrors>
    <ignoredError sqref="E66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E875-7581-42D3-B8A6-720F895F8578}">
  <dimension ref="A1:U25"/>
  <sheetViews>
    <sheetView tabSelected="1" workbookViewId="0">
      <selection activeCell="K3" sqref="K3"/>
    </sheetView>
  </sheetViews>
  <sheetFormatPr defaultRowHeight="14.4" x14ac:dyDescent="0.3"/>
  <cols>
    <col min="4" max="4" width="12.109375" bestFit="1" customWidth="1"/>
    <col min="5" max="5" width="10.44140625" bestFit="1" customWidth="1"/>
    <col min="6" max="6" width="12.88671875" bestFit="1" customWidth="1"/>
    <col min="7" max="7" width="11.109375" bestFit="1" customWidth="1"/>
    <col min="8" max="9" width="10.44140625" bestFit="1" customWidth="1"/>
    <col min="10" max="10" width="11.109375" bestFit="1" customWidth="1"/>
    <col min="11" max="11" width="10.44140625" bestFit="1" customWidth="1"/>
    <col min="12" max="12" width="10.109375" bestFit="1" customWidth="1"/>
    <col min="17" max="17" width="10.44140625" bestFit="1" customWidth="1"/>
  </cols>
  <sheetData>
    <row r="1" spans="1:21" x14ac:dyDescent="0.3">
      <c r="A1" s="185" t="s">
        <v>123</v>
      </c>
      <c r="B1" s="186"/>
      <c r="C1" s="187"/>
      <c r="D1" t="s">
        <v>128</v>
      </c>
    </row>
    <row r="2" spans="1:21" x14ac:dyDescent="0.3">
      <c r="A2" s="152" t="s">
        <v>118</v>
      </c>
      <c r="B2" t="s">
        <v>119</v>
      </c>
      <c r="C2" s="153" t="s">
        <v>120</v>
      </c>
    </row>
    <row r="3" spans="1:21" ht="15" thickBot="1" x14ac:dyDescent="0.35">
      <c r="A3" s="154">
        <v>1</v>
      </c>
      <c r="B3" s="155">
        <v>-1</v>
      </c>
      <c r="C3" s="156">
        <v>-1</v>
      </c>
    </row>
    <row r="4" spans="1:21" ht="15" thickBot="1" x14ac:dyDescent="0.35"/>
    <row r="5" spans="1:21" ht="16.2" thickBot="1" x14ac:dyDescent="0.4">
      <c r="D5" s="188" t="s">
        <v>121</v>
      </c>
      <c r="E5" s="189"/>
      <c r="F5" s="190"/>
      <c r="G5" s="188" t="s">
        <v>122</v>
      </c>
      <c r="H5" s="189"/>
      <c r="I5" s="190"/>
      <c r="J5" s="188" t="s">
        <v>120</v>
      </c>
      <c r="K5" s="189"/>
      <c r="L5" s="190"/>
    </row>
    <row r="6" spans="1:21" ht="18.600000000000001" thickBot="1" x14ac:dyDescent="0.35">
      <c r="B6" s="160" t="s">
        <v>45</v>
      </c>
      <c r="C6" s="165" t="s">
        <v>116</v>
      </c>
      <c r="D6" s="165" t="s">
        <v>124</v>
      </c>
      <c r="E6" s="167" t="s">
        <v>125</v>
      </c>
      <c r="F6" s="166" t="s">
        <v>126</v>
      </c>
      <c r="G6" s="165" t="s">
        <v>124</v>
      </c>
      <c r="H6" s="167" t="s">
        <v>125</v>
      </c>
      <c r="I6" s="166" t="s">
        <v>126</v>
      </c>
      <c r="J6" s="165" t="s">
        <v>124</v>
      </c>
      <c r="K6" s="167" t="s">
        <v>125</v>
      </c>
      <c r="L6" s="166" t="s">
        <v>126</v>
      </c>
      <c r="M6" s="191" t="s">
        <v>127</v>
      </c>
      <c r="N6" s="192"/>
      <c r="O6" s="193"/>
      <c r="P6" s="5"/>
      <c r="Q6" s="53"/>
      <c r="R6" s="5"/>
      <c r="S6" s="5"/>
      <c r="T6" s="5"/>
      <c r="U6" s="5"/>
    </row>
    <row r="7" spans="1:21" x14ac:dyDescent="0.3">
      <c r="B7" s="54">
        <f>298.15</f>
        <v>298.14999999999998</v>
      </c>
      <c r="C7" s="100">
        <v>4.06E-26</v>
      </c>
      <c r="D7" s="157">
        <v>0.99996300000000005</v>
      </c>
      <c r="E7" s="158">
        <v>2.2899999999999998E-13</v>
      </c>
      <c r="F7" s="134">
        <f>(E7/D7)^($A$3)</f>
        <v>2.2900847331351255E-13</v>
      </c>
      <c r="G7" s="161">
        <v>0.99996300000000005</v>
      </c>
      <c r="H7" s="83">
        <v>4.0799999999999999E-6</v>
      </c>
      <c r="I7" s="162">
        <f>(H7/G7)^($B$3)</f>
        <v>245088.97058823533</v>
      </c>
      <c r="J7" s="161">
        <v>0.99996300000000005</v>
      </c>
      <c r="K7" s="158">
        <v>79490</v>
      </c>
      <c r="L7" s="162">
        <f>(K7/J7)^($C$3)</f>
        <v>1.2579733299786137E-5</v>
      </c>
      <c r="M7" s="182">
        <f>PRODUCT(F7,I7,L7)</f>
        <v>7.0606836413015317E-13</v>
      </c>
      <c r="N7" s="183"/>
      <c r="O7" s="184"/>
      <c r="P7" s="5"/>
      <c r="R7" s="5"/>
      <c r="S7" s="5"/>
      <c r="T7" s="5"/>
      <c r="U7" s="5"/>
    </row>
    <row r="8" spans="1:21" x14ac:dyDescent="0.3">
      <c r="B8" s="54">
        <f>300+100</f>
        <v>400</v>
      </c>
      <c r="C8" s="100">
        <v>5.4499999999999995E-26</v>
      </c>
      <c r="D8" s="134">
        <v>0.99996300000000005</v>
      </c>
      <c r="E8" s="158">
        <v>1.35E-7</v>
      </c>
      <c r="F8" s="134">
        <f t="shared" ref="F8:F25" si="0">(E8/D8)^($A$3)</f>
        <v>1.3500499518482184E-7</v>
      </c>
      <c r="G8" s="161">
        <v>0.99996300000000005</v>
      </c>
      <c r="H8" s="83">
        <v>4.4999999999999998E-2</v>
      </c>
      <c r="I8" s="162">
        <f t="shared" ref="I8:I25" si="1">(H8/G8)^($B$3)</f>
        <v>22.221399999999999</v>
      </c>
      <c r="J8" s="161">
        <v>0.99996300000000005</v>
      </c>
      <c r="K8" s="158">
        <v>166000</v>
      </c>
      <c r="L8" s="162">
        <f t="shared" ref="L8:L25" si="2">(K8/J8)^($C$3)</f>
        <v>6.0238734939759034E-6</v>
      </c>
      <c r="M8" s="177">
        <f>PRODUCT(F8,I8,L8)</f>
        <v>1.807162048192771E-11</v>
      </c>
      <c r="N8" s="178"/>
      <c r="O8" s="179"/>
      <c r="P8" s="5"/>
      <c r="R8" s="5"/>
      <c r="S8" s="5"/>
      <c r="T8" s="5"/>
      <c r="U8" s="5"/>
    </row>
    <row r="9" spans="1:21" x14ac:dyDescent="0.3">
      <c r="B9" s="54">
        <f t="shared" ref="B9:B25" si="3">B8+100</f>
        <v>500</v>
      </c>
      <c r="C9" s="100">
        <v>6.8100000000000002E-26</v>
      </c>
      <c r="D9" s="134">
        <v>0.99996300000000005</v>
      </c>
      <c r="E9" s="158">
        <v>4.0999999999999999E-4</v>
      </c>
      <c r="F9" s="134">
        <f t="shared" si="0"/>
        <v>4.1001517056131075E-4</v>
      </c>
      <c r="G9" s="161">
        <v>0.99996300000000005</v>
      </c>
      <c r="H9" s="83">
        <v>13.6</v>
      </c>
      <c r="I9" s="162">
        <f t="shared" si="1"/>
        <v>7.3526691176470593E-2</v>
      </c>
      <c r="J9" s="161">
        <v>0.99996300000000005</v>
      </c>
      <c r="K9" s="158">
        <v>290000</v>
      </c>
      <c r="L9" s="162">
        <f t="shared" si="2"/>
        <v>3.4481482758620694E-6</v>
      </c>
      <c r="M9" s="177">
        <f t="shared" ref="M9:M25" si="4">PRODUCT(F9,I9,L9)</f>
        <v>1.0395152890466533E-10</v>
      </c>
      <c r="N9" s="178"/>
      <c r="O9" s="179"/>
      <c r="P9" s="5"/>
      <c r="R9" s="5"/>
      <c r="S9" s="5"/>
      <c r="T9" s="5"/>
      <c r="U9" s="5"/>
    </row>
    <row r="10" spans="1:21" x14ac:dyDescent="0.3">
      <c r="B10" s="54">
        <f t="shared" si="3"/>
        <v>600</v>
      </c>
      <c r="C10" s="100">
        <v>8.1799999999999998E-26</v>
      </c>
      <c r="D10" s="134">
        <v>0.99996300000000005</v>
      </c>
      <c r="E10" s="158">
        <v>0.10299999999999999</v>
      </c>
      <c r="F10" s="134">
        <f t="shared" si="0"/>
        <v>0.1030038111410122</v>
      </c>
      <c r="G10" s="161">
        <v>0.99996300000000005</v>
      </c>
      <c r="H10" s="83">
        <v>730</v>
      </c>
      <c r="I10" s="162">
        <f t="shared" si="1"/>
        <v>1.3698123287671233E-3</v>
      </c>
      <c r="J10" s="161">
        <v>0.99996300000000005</v>
      </c>
      <c r="K10" s="158">
        <v>457000</v>
      </c>
      <c r="L10" s="162">
        <f t="shared" si="2"/>
        <v>2.1881028446389496E-6</v>
      </c>
      <c r="M10" s="177">
        <f t="shared" si="4"/>
        <v>3.0873231917508459E-10</v>
      </c>
      <c r="N10" s="178"/>
      <c r="O10" s="179"/>
      <c r="P10" s="5"/>
      <c r="R10" s="5"/>
      <c r="S10" s="5"/>
      <c r="T10" s="5"/>
      <c r="U10" s="5"/>
    </row>
    <row r="11" spans="1:21" x14ac:dyDescent="0.3">
      <c r="B11" s="54">
        <f t="shared" si="3"/>
        <v>700</v>
      </c>
      <c r="C11" s="100">
        <v>9.5400000000000005E-26</v>
      </c>
      <c r="D11" s="134">
        <v>0.99996300000000005</v>
      </c>
      <c r="E11" s="158">
        <v>6.21</v>
      </c>
      <c r="F11" s="134">
        <f t="shared" si="0"/>
        <v>6.2102297785018044</v>
      </c>
      <c r="G11" s="161">
        <v>0.99996300000000005</v>
      </c>
      <c r="H11" s="83">
        <v>14500</v>
      </c>
      <c r="I11" s="162">
        <f t="shared" si="1"/>
        <v>6.8962965517241389E-5</v>
      </c>
      <c r="J11" s="161">
        <v>0.99996300000000005</v>
      </c>
      <c r="K11" s="158">
        <v>671000</v>
      </c>
      <c r="L11" s="162">
        <f t="shared" si="2"/>
        <v>1.4902578241430701E-6</v>
      </c>
      <c r="M11" s="177">
        <f t="shared" si="4"/>
        <v>6.3824145433989418E-10</v>
      </c>
      <c r="N11" s="178"/>
      <c r="O11" s="179"/>
      <c r="P11" s="5"/>
      <c r="R11" s="5"/>
      <c r="S11" s="5"/>
      <c r="T11" s="5"/>
      <c r="U11" s="5"/>
    </row>
    <row r="12" spans="1:21" x14ac:dyDescent="0.3">
      <c r="B12" s="54">
        <f t="shared" si="3"/>
        <v>800</v>
      </c>
      <c r="C12" s="100">
        <v>1.0899999999999999E-25</v>
      </c>
      <c r="D12" s="134">
        <v>0.99996300000000005</v>
      </c>
      <c r="E12" s="158">
        <v>152</v>
      </c>
      <c r="F12" s="134">
        <f t="shared" si="0"/>
        <v>152.0056242080957</v>
      </c>
      <c r="G12" s="161">
        <v>0.99996300000000005</v>
      </c>
      <c r="H12" s="83">
        <v>152000</v>
      </c>
      <c r="I12" s="162">
        <f t="shared" si="1"/>
        <v>6.5787039473684215E-6</v>
      </c>
      <c r="J12" s="161">
        <v>0.99996300000000005</v>
      </c>
      <c r="K12" s="158">
        <v>937000</v>
      </c>
      <c r="L12" s="162">
        <f t="shared" si="2"/>
        <v>1.067196371398079E-6</v>
      </c>
      <c r="M12" s="177">
        <f t="shared" si="4"/>
        <v>1.0671963713980791E-9</v>
      </c>
      <c r="N12" s="178"/>
      <c r="O12" s="179"/>
      <c r="P12" s="5"/>
      <c r="R12" s="5"/>
      <c r="S12" s="5"/>
      <c r="T12" s="5"/>
      <c r="U12" s="5"/>
    </row>
    <row r="13" spans="1:21" x14ac:dyDescent="0.3">
      <c r="B13" s="54">
        <f t="shared" si="3"/>
        <v>900</v>
      </c>
      <c r="C13" s="100">
        <v>1.23E-25</v>
      </c>
      <c r="D13" s="134">
        <v>0.99996300000000005</v>
      </c>
      <c r="E13" s="158">
        <v>2020</v>
      </c>
      <c r="F13" s="134">
        <f t="shared" si="0"/>
        <v>2020.0747427654821</v>
      </c>
      <c r="G13" s="161">
        <v>0.99996300000000005</v>
      </c>
      <c r="H13" s="83">
        <v>1030000</v>
      </c>
      <c r="I13" s="162">
        <f t="shared" si="1"/>
        <v>9.7083786407766997E-7</v>
      </c>
      <c r="J13" s="161">
        <v>0.99996300000000005</v>
      </c>
      <c r="K13" s="158">
        <v>1260000</v>
      </c>
      <c r="L13" s="162">
        <f t="shared" si="2"/>
        <v>7.9362142857142868E-7</v>
      </c>
      <c r="M13" s="177">
        <f t="shared" si="4"/>
        <v>1.556422607489598E-9</v>
      </c>
      <c r="N13" s="178"/>
      <c r="O13" s="179"/>
      <c r="P13" s="5"/>
      <c r="R13" s="5"/>
      <c r="S13" s="5"/>
      <c r="T13" s="5"/>
      <c r="U13" s="5"/>
    </row>
    <row r="14" spans="1:21" x14ac:dyDescent="0.3">
      <c r="B14" s="54">
        <f t="shared" si="3"/>
        <v>1000</v>
      </c>
      <c r="C14" s="100">
        <v>1.3600000000000001E-25</v>
      </c>
      <c r="D14" s="134">
        <v>0.99996300000000005</v>
      </c>
      <c r="E14" s="158">
        <v>17500</v>
      </c>
      <c r="F14" s="134">
        <f t="shared" si="0"/>
        <v>17500.647523958385</v>
      </c>
      <c r="G14" s="161">
        <v>0.99996300000000005</v>
      </c>
      <c r="H14" s="83">
        <v>5140000</v>
      </c>
      <c r="I14" s="162">
        <f t="shared" si="1"/>
        <v>1.945453307392996E-7</v>
      </c>
      <c r="J14" s="161">
        <v>0.99996300000000005</v>
      </c>
      <c r="K14" s="158">
        <v>1640000</v>
      </c>
      <c r="L14" s="162">
        <f t="shared" si="2"/>
        <v>6.0973353658536579E-7</v>
      </c>
      <c r="M14" s="177">
        <f t="shared" si="4"/>
        <v>2.0759410292303308E-9</v>
      </c>
      <c r="N14" s="178"/>
      <c r="O14" s="179"/>
      <c r="P14" s="5"/>
      <c r="R14" s="5"/>
      <c r="S14" s="5"/>
      <c r="T14" s="5"/>
      <c r="U14" s="5"/>
    </row>
    <row r="15" spans="1:21" x14ac:dyDescent="0.3">
      <c r="B15" s="54">
        <f t="shared" si="3"/>
        <v>1100</v>
      </c>
      <c r="C15" s="100">
        <v>1.4999999999999999E-25</v>
      </c>
      <c r="D15" s="134">
        <v>0.99996300000000005</v>
      </c>
      <c r="E15" s="158">
        <v>110000</v>
      </c>
      <c r="F15" s="134">
        <f t="shared" si="0"/>
        <v>110004.07015059557</v>
      </c>
      <c r="G15" s="161">
        <v>0.99996300000000005</v>
      </c>
      <c r="H15" s="83">
        <v>20400000</v>
      </c>
      <c r="I15" s="162">
        <f t="shared" si="1"/>
        <v>4.9017794117647063E-8</v>
      </c>
      <c r="J15" s="161">
        <v>0.99996300000000005</v>
      </c>
      <c r="K15" s="158">
        <v>2080000</v>
      </c>
      <c r="L15" s="162">
        <f t="shared" si="2"/>
        <v>4.8075144230769229E-7</v>
      </c>
      <c r="M15" s="177">
        <f t="shared" si="4"/>
        <v>2.5922871889140269E-9</v>
      </c>
      <c r="N15" s="178"/>
      <c r="O15" s="179"/>
      <c r="P15" s="5"/>
      <c r="R15" s="5"/>
      <c r="S15" s="5"/>
      <c r="T15" s="5"/>
      <c r="U15" s="5"/>
    </row>
    <row r="16" spans="1:21" x14ac:dyDescent="0.3">
      <c r="B16" s="54">
        <f t="shared" si="3"/>
        <v>1200</v>
      </c>
      <c r="C16" s="100">
        <v>1.6399999999999999E-25</v>
      </c>
      <c r="D16" s="134">
        <v>0.99996300000000005</v>
      </c>
      <c r="E16" s="158">
        <v>548000</v>
      </c>
      <c r="F16" s="134">
        <f t="shared" si="0"/>
        <v>548020.27675023978</v>
      </c>
      <c r="G16" s="161">
        <v>0.99996300000000005</v>
      </c>
      <c r="H16" s="83">
        <v>68100000</v>
      </c>
      <c r="I16" s="162">
        <f t="shared" si="1"/>
        <v>1.468374449339207E-8</v>
      </c>
      <c r="J16" s="161">
        <v>0.99996300000000005</v>
      </c>
      <c r="K16" s="158">
        <v>2580000</v>
      </c>
      <c r="L16" s="162">
        <f t="shared" si="2"/>
        <v>3.8758255813953486E-7</v>
      </c>
      <c r="M16" s="177">
        <f t="shared" si="4"/>
        <v>3.1188728613871524E-9</v>
      </c>
      <c r="N16" s="178"/>
      <c r="O16" s="179"/>
      <c r="P16" s="5"/>
      <c r="R16" s="5"/>
      <c r="S16" s="5"/>
      <c r="T16" s="5"/>
      <c r="U16" s="5"/>
    </row>
    <row r="17" spans="2:21" x14ac:dyDescent="0.3">
      <c r="B17" s="54">
        <f t="shared" si="3"/>
        <v>1300</v>
      </c>
      <c r="C17" s="100">
        <v>1.77E-25</v>
      </c>
      <c r="D17" s="134">
        <v>0.99996300000000005</v>
      </c>
      <c r="E17" s="158">
        <v>2260000</v>
      </c>
      <c r="F17" s="134">
        <f t="shared" si="0"/>
        <v>2260083.6230940544</v>
      </c>
      <c r="G17" s="161">
        <v>0.99996300000000005</v>
      </c>
      <c r="H17" s="83">
        <v>198000000</v>
      </c>
      <c r="I17" s="162">
        <f t="shared" si="1"/>
        <v>5.0503181818181816E-9</v>
      </c>
      <c r="J17" s="161">
        <v>0.99996300000000005</v>
      </c>
      <c r="K17" s="158">
        <v>3160000</v>
      </c>
      <c r="L17" s="162">
        <f t="shared" si="2"/>
        <v>3.1644398734177213E-7</v>
      </c>
      <c r="M17" s="177">
        <f t="shared" si="4"/>
        <v>3.6119364211737623E-9</v>
      </c>
      <c r="N17" s="178"/>
      <c r="O17" s="179"/>
      <c r="P17" s="5"/>
      <c r="R17" s="5"/>
      <c r="S17" s="5"/>
      <c r="T17" s="5"/>
      <c r="U17" s="5"/>
    </row>
    <row r="18" spans="2:21" x14ac:dyDescent="0.3">
      <c r="B18" s="54">
        <f t="shared" si="3"/>
        <v>1400</v>
      </c>
      <c r="C18" s="100">
        <v>1.9100000000000001E-25</v>
      </c>
      <c r="D18" s="134">
        <v>0.99996300000000005</v>
      </c>
      <c r="E18" s="158">
        <v>8030000</v>
      </c>
      <c r="F18" s="134">
        <f t="shared" si="0"/>
        <v>8030297.1209934764</v>
      </c>
      <c r="G18" s="161">
        <v>0.99996300000000005</v>
      </c>
      <c r="H18" s="83">
        <v>516000000</v>
      </c>
      <c r="I18" s="162">
        <f t="shared" si="1"/>
        <v>1.9379127906976745E-9</v>
      </c>
      <c r="J18" s="161">
        <v>0.99996300000000005</v>
      </c>
      <c r="K18" s="158">
        <v>3800000</v>
      </c>
      <c r="L18" s="162">
        <f t="shared" si="2"/>
        <v>2.6314815789473685E-7</v>
      </c>
      <c r="M18" s="177">
        <f t="shared" si="4"/>
        <v>4.0951157129742966E-9</v>
      </c>
      <c r="N18" s="178"/>
      <c r="O18" s="179"/>
      <c r="P18" s="5"/>
      <c r="R18" s="5"/>
      <c r="S18" s="5"/>
      <c r="T18" s="5"/>
      <c r="U18" s="5"/>
    </row>
    <row r="19" spans="2:21" x14ac:dyDescent="0.3">
      <c r="B19" s="54">
        <f t="shared" si="3"/>
        <v>1500</v>
      </c>
      <c r="C19" s="100">
        <v>2.04E-25</v>
      </c>
      <c r="D19" s="134">
        <v>0.99996300000000005</v>
      </c>
      <c r="E19" s="158">
        <v>25300000</v>
      </c>
      <c r="F19" s="134">
        <f t="shared" si="0"/>
        <v>25300936.13463698</v>
      </c>
      <c r="G19" s="161">
        <v>0.99996300000000005</v>
      </c>
      <c r="H19" s="83">
        <v>1230000000</v>
      </c>
      <c r="I19" s="162">
        <f t="shared" si="1"/>
        <v>8.1297804878048785E-10</v>
      </c>
      <c r="J19" s="161">
        <v>0.99996300000000005</v>
      </c>
      <c r="K19" s="158">
        <v>4510000</v>
      </c>
      <c r="L19" s="162">
        <f t="shared" si="2"/>
        <v>2.2172128603104213E-7</v>
      </c>
      <c r="M19" s="177">
        <f t="shared" si="4"/>
        <v>4.5606085663295656E-9</v>
      </c>
      <c r="N19" s="178"/>
      <c r="O19" s="179"/>
      <c r="P19" s="5"/>
      <c r="R19" s="5"/>
      <c r="S19" s="5"/>
      <c r="T19" s="5"/>
      <c r="U19" s="5"/>
    </row>
    <row r="20" spans="2:21" x14ac:dyDescent="0.3">
      <c r="B20" s="54">
        <f t="shared" si="3"/>
        <v>1600</v>
      </c>
      <c r="C20" s="100">
        <v>2.1799999999999998E-25</v>
      </c>
      <c r="D20" s="134">
        <v>0.99996300000000005</v>
      </c>
      <c r="E20" s="158">
        <v>71900000</v>
      </c>
      <c r="F20" s="134">
        <f t="shared" si="0"/>
        <v>71902660.398434743</v>
      </c>
      <c r="G20" s="161">
        <v>0.99996300000000005</v>
      </c>
      <c r="H20" s="83">
        <v>2720000000</v>
      </c>
      <c r="I20" s="162">
        <f t="shared" si="1"/>
        <v>3.6763345588235292E-10</v>
      </c>
      <c r="J20" s="161">
        <v>0.99996300000000005</v>
      </c>
      <c r="K20" s="158">
        <v>5300000</v>
      </c>
      <c r="L20" s="162">
        <f t="shared" si="2"/>
        <v>1.886722641509434E-7</v>
      </c>
      <c r="M20" s="177">
        <f t="shared" si="4"/>
        <v>4.9873293354605994E-9</v>
      </c>
      <c r="N20" s="178"/>
      <c r="O20" s="179"/>
      <c r="P20" s="5"/>
      <c r="R20" s="5"/>
      <c r="S20" s="5"/>
      <c r="T20" s="5"/>
      <c r="U20" s="5"/>
    </row>
    <row r="21" spans="2:21" x14ac:dyDescent="0.3">
      <c r="B21" s="54">
        <f t="shared" si="3"/>
        <v>1700</v>
      </c>
      <c r="C21" s="100">
        <v>2.3199999999999999E-25</v>
      </c>
      <c r="D21" s="134">
        <v>0.99996300000000005</v>
      </c>
      <c r="E21" s="158">
        <v>188000000</v>
      </c>
      <c r="F21" s="134">
        <f t="shared" si="0"/>
        <v>188006956.25738153</v>
      </c>
      <c r="G21" s="161">
        <v>0.99996300000000005</v>
      </c>
      <c r="H21" s="83">
        <v>5640000000</v>
      </c>
      <c r="I21" s="162">
        <f t="shared" si="1"/>
        <v>1.7729840425531918E-10</v>
      </c>
      <c r="J21" s="161">
        <v>0.99996300000000005</v>
      </c>
      <c r="K21" s="158">
        <v>6170000</v>
      </c>
      <c r="L21" s="162">
        <f t="shared" si="2"/>
        <v>1.6206855753646678E-7</v>
      </c>
      <c r="M21" s="177">
        <f t="shared" si="4"/>
        <v>5.4022852512155602E-9</v>
      </c>
      <c r="N21" s="178"/>
      <c r="O21" s="179"/>
      <c r="P21" s="5"/>
      <c r="R21" s="5"/>
      <c r="S21" s="5"/>
      <c r="T21" s="5"/>
      <c r="U21" s="5"/>
    </row>
    <row r="22" spans="2:21" x14ac:dyDescent="0.3">
      <c r="B22" s="54">
        <f t="shared" si="3"/>
        <v>1800</v>
      </c>
      <c r="C22" s="100">
        <v>2.45E-25</v>
      </c>
      <c r="D22" s="134">
        <v>0.99996300000000005</v>
      </c>
      <c r="E22" s="158">
        <v>458000000</v>
      </c>
      <c r="F22" s="134">
        <f t="shared" si="0"/>
        <v>458016946.62702519</v>
      </c>
      <c r="G22" s="161">
        <v>0.99996300000000005</v>
      </c>
      <c r="H22" s="83">
        <v>11100000000</v>
      </c>
      <c r="I22" s="162">
        <f t="shared" si="1"/>
        <v>9.0086756756756753E-11</v>
      </c>
      <c r="J22" s="161">
        <v>0.99996300000000005</v>
      </c>
      <c r="K22" s="158">
        <v>7120000</v>
      </c>
      <c r="L22" s="162">
        <f t="shared" si="2"/>
        <v>1.4044424157303371E-7</v>
      </c>
      <c r="M22" s="177">
        <f t="shared" si="4"/>
        <v>5.7949065441846332E-9</v>
      </c>
      <c r="N22" s="178"/>
      <c r="O22" s="179"/>
      <c r="P22" s="5"/>
      <c r="R22" s="5"/>
      <c r="S22" s="5"/>
      <c r="T22" s="5"/>
      <c r="U22" s="5"/>
    </row>
    <row r="23" spans="2:21" x14ac:dyDescent="0.3">
      <c r="B23" s="54">
        <f t="shared" si="3"/>
        <v>1900</v>
      </c>
      <c r="C23" s="100">
        <v>2.59E-25</v>
      </c>
      <c r="D23" s="134">
        <v>0.99996300000000005</v>
      </c>
      <c r="E23" s="158">
        <v>1050000000</v>
      </c>
      <c r="F23" s="134">
        <f t="shared" si="0"/>
        <v>1050038851.4375031</v>
      </c>
      <c r="G23" s="161">
        <v>0.99996300000000005</v>
      </c>
      <c r="H23" s="83">
        <v>20800000000</v>
      </c>
      <c r="I23" s="162">
        <f t="shared" si="1"/>
        <v>4.807514423076923E-11</v>
      </c>
      <c r="J23" s="161">
        <v>0.99996300000000005</v>
      </c>
      <c r="K23" s="158">
        <v>8150000</v>
      </c>
      <c r="L23" s="162">
        <f t="shared" si="2"/>
        <v>1.2269484662576687E-7</v>
      </c>
      <c r="M23" s="177">
        <f t="shared" si="4"/>
        <v>6.1937302383199615E-9</v>
      </c>
      <c r="N23" s="178"/>
      <c r="O23" s="179"/>
      <c r="P23" s="5"/>
      <c r="R23" s="5"/>
      <c r="S23" s="5"/>
      <c r="T23" s="5"/>
      <c r="U23" s="5"/>
    </row>
    <row r="24" spans="2:21" x14ac:dyDescent="0.3">
      <c r="B24" s="54">
        <f t="shared" si="3"/>
        <v>2000</v>
      </c>
      <c r="C24" s="100">
        <v>2.7300000000000001E-25</v>
      </c>
      <c r="D24" s="134">
        <v>0.99996300000000005</v>
      </c>
      <c r="E24" s="158">
        <v>2270000000</v>
      </c>
      <c r="F24" s="134">
        <f t="shared" si="0"/>
        <v>2270083993.1077447</v>
      </c>
      <c r="G24" s="161">
        <v>0.99996300000000005</v>
      </c>
      <c r="H24" s="83">
        <v>37600000000</v>
      </c>
      <c r="I24" s="162">
        <f t="shared" si="1"/>
        <v>2.6594760638297875E-11</v>
      </c>
      <c r="J24" s="161">
        <v>0.99996300000000005</v>
      </c>
      <c r="K24" s="158">
        <v>9260000</v>
      </c>
      <c r="L24" s="162">
        <f t="shared" si="2"/>
        <v>1.0798736501079915E-7</v>
      </c>
      <c r="M24" s="177">
        <f t="shared" si="4"/>
        <v>6.5194499620881402E-9</v>
      </c>
      <c r="N24" s="178"/>
      <c r="O24" s="179"/>
      <c r="P24" s="5"/>
      <c r="R24" s="5"/>
      <c r="S24" s="5"/>
      <c r="T24" s="5"/>
      <c r="U24" s="5"/>
    </row>
    <row r="25" spans="2:21" ht="15" thickBot="1" x14ac:dyDescent="0.35">
      <c r="B25" s="25">
        <f t="shared" si="3"/>
        <v>2100</v>
      </c>
      <c r="C25" s="101">
        <v>2.8600000000000002E-25</v>
      </c>
      <c r="D25" s="135">
        <v>0.99996300000000005</v>
      </c>
      <c r="E25" s="159">
        <v>4700000000</v>
      </c>
      <c r="F25" s="135">
        <f t="shared" si="0"/>
        <v>4700173906.4345379</v>
      </c>
      <c r="G25" s="163">
        <v>0.99996300000000005</v>
      </c>
      <c r="H25" s="168">
        <v>65500000000</v>
      </c>
      <c r="I25" s="164">
        <f t="shared" si="1"/>
        <v>1.5266610687022901E-11</v>
      </c>
      <c r="J25" s="163">
        <v>0.99996300000000005</v>
      </c>
      <c r="K25" s="159">
        <v>10500000</v>
      </c>
      <c r="L25" s="164">
        <f t="shared" si="2"/>
        <v>9.5234571428571432E-8</v>
      </c>
      <c r="M25" s="180">
        <f t="shared" si="4"/>
        <v>6.8336257360959657E-9</v>
      </c>
      <c r="N25" s="170"/>
      <c r="O25" s="181"/>
      <c r="P25" s="5"/>
      <c r="R25" s="5"/>
      <c r="S25" s="5"/>
      <c r="T25" s="5"/>
      <c r="U25" s="5"/>
    </row>
  </sheetData>
  <mergeCells count="24">
    <mergeCell ref="M19:O19"/>
    <mergeCell ref="M20:O20"/>
    <mergeCell ref="M21:O21"/>
    <mergeCell ref="A1:C1"/>
    <mergeCell ref="D5:F5"/>
    <mergeCell ref="G5:I5"/>
    <mergeCell ref="J5:L5"/>
    <mergeCell ref="M6:O6"/>
    <mergeCell ref="M22:O22"/>
    <mergeCell ref="M23:O23"/>
    <mergeCell ref="M24:O24"/>
    <mergeCell ref="M25:O25"/>
    <mergeCell ref="M7:O7"/>
    <mergeCell ref="M8:O8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CH4</vt:lpstr>
      <vt:lpstr>CH3</vt:lpstr>
      <vt:lpstr>H</vt:lpstr>
      <vt:lpstr>keq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broggini</dc:creator>
  <cp:lastModifiedBy>Emanuele Broggini</cp:lastModifiedBy>
  <dcterms:created xsi:type="dcterms:W3CDTF">2015-06-05T18:17:20Z</dcterms:created>
  <dcterms:modified xsi:type="dcterms:W3CDTF">2024-07-03T06:15:55Z</dcterms:modified>
</cp:coreProperties>
</file>