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0120_polimi_it/Documents/POLIMI/II ANNO/II SEMESTRE/MOLECULAR MODELING IN PROCESS ENGINEERING/Practicals/Project6/"/>
    </mc:Choice>
  </mc:AlternateContent>
  <xr:revisionPtr revIDLastSave="837" documentId="11_F25DC773A252ABDACC1048AE819955225ADE58F2" xr6:coauthVersionLast="47" xr6:coauthVersionMax="47" xr10:uidLastSave="{8DA36091-6692-4393-ACE0-D89C1CBFF09A}"/>
  <bookViews>
    <workbookView xWindow="-108" yWindow="-108" windowWidth="23256" windowHeight="12456" xr2:uid="{00000000-000D-0000-FFFF-FFFF00000000}"/>
  </bookViews>
  <sheets>
    <sheet name="H2 -&gt; 2H" sheetId="1" r:id="rId1"/>
    <sheet name="CH4 -&gt; CH3 +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2" l="1"/>
  <c r="P57" i="2"/>
  <c r="P58" i="2"/>
  <c r="P59" i="2"/>
  <c r="O56" i="2"/>
  <c r="O57" i="2"/>
  <c r="O58" i="2"/>
  <c r="O59" i="2"/>
  <c r="N56" i="2"/>
  <c r="N57" i="2"/>
  <c r="N58" i="2"/>
  <c r="N59" i="2"/>
  <c r="M56" i="2"/>
  <c r="M57" i="2"/>
  <c r="M58" i="2"/>
  <c r="M59" i="2"/>
  <c r="M55" i="2"/>
  <c r="N55" i="2"/>
  <c r="O55" i="2"/>
  <c r="P55" i="2"/>
  <c r="L56" i="2"/>
  <c r="L57" i="2"/>
  <c r="L58" i="2"/>
  <c r="L59" i="2"/>
  <c r="L55" i="2"/>
  <c r="H43" i="2"/>
  <c r="H44" i="2"/>
  <c r="H45" i="2"/>
  <c r="H46" i="2"/>
  <c r="H47" i="2"/>
  <c r="G47" i="2"/>
  <c r="G46" i="2"/>
  <c r="G45" i="2"/>
  <c r="G44" i="2"/>
  <c r="G43" i="2"/>
  <c r="F47" i="2"/>
  <c r="F46" i="2"/>
  <c r="F45" i="2"/>
  <c r="F44" i="2"/>
  <c r="F43" i="2"/>
  <c r="E43" i="2"/>
  <c r="E44" i="2"/>
  <c r="E45" i="2"/>
  <c r="E46" i="2"/>
  <c r="E47" i="2"/>
  <c r="D47" i="2"/>
  <c r="D46" i="2"/>
  <c r="D45" i="2"/>
  <c r="D44" i="2"/>
  <c r="D43" i="2"/>
  <c r="H34" i="2"/>
  <c r="H33" i="2"/>
  <c r="H32" i="2"/>
  <c r="H31" i="2"/>
  <c r="H30" i="2"/>
  <c r="G34" i="2"/>
  <c r="G33" i="2"/>
  <c r="G32" i="2"/>
  <c r="G31" i="2"/>
  <c r="G30" i="2"/>
  <c r="F30" i="2"/>
  <c r="F31" i="2"/>
  <c r="F32" i="2"/>
  <c r="F33" i="2"/>
  <c r="F34" i="2"/>
  <c r="E34" i="2"/>
  <c r="E33" i="2"/>
  <c r="E32" i="2"/>
  <c r="E31" i="2"/>
  <c r="E30" i="2"/>
  <c r="D34" i="2"/>
  <c r="D33" i="2"/>
  <c r="D32" i="2"/>
  <c r="D31" i="2"/>
  <c r="D30" i="2"/>
  <c r="F32" i="1"/>
  <c r="F31" i="1"/>
  <c r="F30" i="1"/>
  <c r="F29" i="1"/>
  <c r="F28" i="1"/>
  <c r="F27" i="1"/>
  <c r="E27" i="1"/>
  <c r="E28" i="1"/>
  <c r="E30" i="1"/>
  <c r="E29" i="1"/>
  <c r="E31" i="1"/>
  <c r="E32" i="1"/>
  <c r="D32" i="1"/>
  <c r="D31" i="1"/>
  <c r="D30" i="1"/>
  <c r="D29" i="1"/>
  <c r="D28" i="1"/>
  <c r="D27" i="1"/>
  <c r="H28" i="1"/>
  <c r="G27" i="1"/>
  <c r="G28" i="1"/>
  <c r="G29" i="1"/>
  <c r="G30" i="1"/>
  <c r="G31" i="1"/>
  <c r="G32" i="1"/>
  <c r="H32" i="1"/>
  <c r="H31" i="1"/>
  <c r="H30" i="1"/>
  <c r="H29" i="1"/>
  <c r="H27" i="1"/>
  <c r="F69" i="2" l="1"/>
  <c r="D69" i="2"/>
  <c r="D68" i="2"/>
  <c r="H69" i="2"/>
  <c r="G69" i="2"/>
  <c r="H68" i="2"/>
  <c r="G68" i="2"/>
  <c r="F68" i="2"/>
  <c r="D59" i="1"/>
  <c r="D62" i="1"/>
  <c r="D61" i="1"/>
  <c r="D60" i="1"/>
  <c r="D58" i="1"/>
  <c r="D57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8" i="2" l="1"/>
  <c r="H58" i="2" s="1"/>
  <c r="E6" i="2"/>
  <c r="E56" i="2" s="1"/>
  <c r="H10" i="2"/>
  <c r="G10" i="2"/>
  <c r="F10" i="2"/>
  <c r="E10" i="2"/>
  <c r="D10" i="2"/>
  <c r="H9" i="2"/>
  <c r="H59" i="2" s="1"/>
  <c r="G9" i="2"/>
  <c r="G59" i="2" s="1"/>
  <c r="F9" i="2"/>
  <c r="F59" i="2" s="1"/>
  <c r="E9" i="2"/>
  <c r="E59" i="2" s="1"/>
  <c r="D9" i="2"/>
  <c r="D59" i="2" s="1"/>
  <c r="G8" i="2"/>
  <c r="G58" i="2" s="1"/>
  <c r="F8" i="2"/>
  <c r="F58" i="2" s="1"/>
  <c r="E8" i="2"/>
  <c r="E58" i="2" s="1"/>
  <c r="D8" i="2"/>
  <c r="D58" i="2" s="1"/>
  <c r="H7" i="2"/>
  <c r="H57" i="2" s="1"/>
  <c r="G7" i="2"/>
  <c r="G57" i="2" s="1"/>
  <c r="F7" i="2"/>
  <c r="E7" i="2"/>
  <c r="E57" i="2" s="1"/>
  <c r="D7" i="2"/>
  <c r="D57" i="2" s="1"/>
  <c r="H6" i="2"/>
  <c r="H56" i="2" s="1"/>
  <c r="G6" i="2"/>
  <c r="G56" i="2" s="1"/>
  <c r="F6" i="2"/>
  <c r="F56" i="2" s="1"/>
  <c r="D6" i="2"/>
  <c r="D56" i="2" s="1"/>
  <c r="H5" i="2"/>
  <c r="H55" i="2" s="1"/>
  <c r="G5" i="2"/>
  <c r="G55" i="2" s="1"/>
  <c r="F5" i="2"/>
  <c r="E5" i="2"/>
  <c r="E55" i="2" s="1"/>
  <c r="D5" i="2"/>
  <c r="D55" i="2" s="1"/>
  <c r="H45" i="1"/>
  <c r="P45" i="1" s="1"/>
  <c r="H46" i="1"/>
  <c r="P46" i="1" s="1"/>
  <c r="H47" i="1"/>
  <c r="P47" i="1" s="1"/>
  <c r="G43" i="1"/>
  <c r="O43" i="1" s="1"/>
  <c r="F44" i="1"/>
  <c r="N44" i="1" s="1"/>
  <c r="F45" i="1"/>
  <c r="N45" i="1" s="1"/>
  <c r="F46" i="1"/>
  <c r="N46" i="1" s="1"/>
  <c r="E42" i="1"/>
  <c r="M42" i="1" s="1"/>
  <c r="F42" i="1"/>
  <c r="N42" i="1" s="1"/>
  <c r="H42" i="1"/>
  <c r="P42" i="1" s="1"/>
  <c r="E46" i="1"/>
  <c r="M46" i="1" s="1"/>
  <c r="D45" i="1"/>
  <c r="L45" i="1" s="1"/>
  <c r="D46" i="1"/>
  <c r="L46" i="1" s="1"/>
  <c r="D47" i="1"/>
  <c r="L47" i="1" s="1"/>
  <c r="D42" i="1"/>
  <c r="L42" i="1" s="1"/>
  <c r="E10" i="1"/>
  <c r="E47" i="1" s="1"/>
  <c r="M47" i="1" s="1"/>
  <c r="D10" i="1"/>
  <c r="E9" i="1"/>
  <c r="E8" i="1"/>
  <c r="E45" i="1" s="1"/>
  <c r="M45" i="1" s="1"/>
  <c r="D8" i="1"/>
  <c r="D9" i="1"/>
  <c r="H10" i="1"/>
  <c r="H9" i="1"/>
  <c r="H8" i="1"/>
  <c r="G8" i="1"/>
  <c r="G45" i="1" s="1"/>
  <c r="O45" i="1" s="1"/>
  <c r="G9" i="1"/>
  <c r="G46" i="1" s="1"/>
  <c r="O46" i="1" s="1"/>
  <c r="G10" i="1"/>
  <c r="G47" i="1" s="1"/>
  <c r="O47" i="1" s="1"/>
  <c r="F10" i="1"/>
  <c r="F47" i="1" s="1"/>
  <c r="N47" i="1" s="1"/>
  <c r="F9" i="1"/>
  <c r="F8" i="1"/>
  <c r="E5" i="1"/>
  <c r="E6" i="1"/>
  <c r="E43" i="1" s="1"/>
  <c r="M43" i="1" s="1"/>
  <c r="D6" i="1"/>
  <c r="D43" i="1" s="1"/>
  <c r="L43" i="1" s="1"/>
  <c r="E7" i="1"/>
  <c r="E44" i="1" s="1"/>
  <c r="M44" i="1" s="1"/>
  <c r="D5" i="1"/>
  <c r="D7" i="1"/>
  <c r="D44" i="1" s="1"/>
  <c r="L44" i="1" s="1"/>
  <c r="H7" i="1"/>
  <c r="H44" i="1" s="1"/>
  <c r="P44" i="1" s="1"/>
  <c r="H6" i="1"/>
  <c r="H43" i="1" s="1"/>
  <c r="P43" i="1" s="1"/>
  <c r="H5" i="1"/>
  <c r="G5" i="1"/>
  <c r="G42" i="1" s="1"/>
  <c r="O42" i="1" s="1"/>
  <c r="G7" i="1"/>
  <c r="G44" i="1" s="1"/>
  <c r="O44" i="1" s="1"/>
  <c r="G6" i="1"/>
  <c r="F7" i="1"/>
  <c r="F6" i="1"/>
  <c r="F43" i="1" s="1"/>
  <c r="N43" i="1" s="1"/>
  <c r="F5" i="1"/>
  <c r="F57" i="2" l="1"/>
  <c r="F55" i="2"/>
</calcChain>
</file>

<file path=xl/sharedStrings.xml><?xml version="1.0" encoding="utf-8"?>
<sst xmlns="http://schemas.openxmlformats.org/spreadsheetml/2006/main" count="222" uniqueCount="31">
  <si>
    <t>Level of theory</t>
  </si>
  <si>
    <t>HF</t>
  </si>
  <si>
    <t>Temperature</t>
  </si>
  <si>
    <t>298,15 K</t>
  </si>
  <si>
    <t>Basis set</t>
  </si>
  <si>
    <t>Pople</t>
  </si>
  <si>
    <t>Correlation Consistent</t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</si>
  <si>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</si>
  <si>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B3LYP</t>
  </si>
  <si>
    <t>1 Hartree = 627,5 Kcal/mol</t>
  </si>
  <si>
    <t>All energies converted in Kcal/mol</t>
  </si>
  <si>
    <t>B3P86 </t>
  </si>
  <si>
    <t>O3LYP </t>
  </si>
  <si>
    <t>DFT methods</t>
  </si>
  <si>
    <t>6-31+g(d,p)</t>
  </si>
  <si>
    <r>
      <t>3-21G </t>
    </r>
    <r>
      <rPr>
        <sz val="11"/>
        <color theme="1"/>
        <rFont val="Calibri"/>
        <family val="2"/>
        <scheme val="minor"/>
      </rPr>
      <t xml:space="preserve"> (3-21G (6D, 7F))</t>
    </r>
  </si>
  <si>
    <r>
      <t xml:space="preserve">STO-3G </t>
    </r>
    <r>
      <rPr>
        <sz val="11"/>
        <color theme="1"/>
        <rFont val="Calibri"/>
        <family val="2"/>
        <scheme val="minor"/>
      </rPr>
      <t>(STO-3G (5D, 7F))</t>
    </r>
  </si>
  <si>
    <r>
      <t>Commento: theory B3P86 + 6-31+g(d,p) gave</t>
    </r>
    <r>
      <rPr>
        <u/>
        <sz val="11"/>
        <color rgb="FFFF0000"/>
        <rFont val="Calibri"/>
        <family val="2"/>
        <scheme val="minor"/>
      </rPr>
      <t xml:space="preserve"> error termination</t>
    </r>
  </si>
  <si>
    <r>
      <t xml:space="preserve">cc-pVDZ </t>
    </r>
    <r>
      <rPr>
        <sz val="11"/>
        <color theme="1"/>
        <rFont val="Calibri"/>
        <family val="2"/>
        <scheme val="minor"/>
      </rPr>
      <t>(5D, 7F)</t>
    </r>
  </si>
  <si>
    <r>
      <t xml:space="preserve">cc-pVQZ </t>
    </r>
    <r>
      <rPr>
        <sz val="11"/>
        <color theme="1"/>
        <rFont val="Calibri"/>
        <family val="2"/>
        <scheme val="minor"/>
      </rPr>
      <t>(5D, 7F)</t>
    </r>
  </si>
  <si>
    <r>
      <t xml:space="preserve">cc-pVTZ </t>
    </r>
    <r>
      <rPr>
        <sz val="11"/>
        <color theme="1"/>
        <rFont val="Calibri"/>
        <family val="2"/>
        <scheme val="minor"/>
      </rPr>
      <t>(5D, 7F)</t>
    </r>
  </si>
  <si>
    <t>MP2: Error termination in NtrErr:
 NtrErr Called from FileIO.</t>
  </si>
  <si>
    <t>Reaction energy</t>
  </si>
  <si>
    <t>GAUSSIAN</t>
  </si>
  <si>
    <t>MOLPRO</t>
  </si>
  <si>
    <t>Percentual errors</t>
  </si>
  <si>
    <t>Experimental Energy Bond</t>
  </si>
  <si>
    <t xml:space="preserve"> [kcal/mol] </t>
  </si>
  <si>
    <t xml:space="preserve">Experimental Energy Bond </t>
  </si>
  <si>
    <t xml:space="preserve">[kcal/mol] </t>
  </si>
  <si>
    <t>Reaction: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</si>
</sst>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E+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vertical="center" textRotation="90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65" fontId="0" fillId="0" borderId="2" xfId="0" applyNumberForma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9" fillId="0" borderId="7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 textRotation="90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/>
    <xf numFmtId="0" fontId="2" fillId="0" borderId="12" xfId="0" applyFont="1" applyBorder="1" applyAlignment="1">
      <alignment vertical="center" wrapText="1"/>
    </xf>
    <xf numFmtId="0" fontId="12" fillId="0" borderId="0" xfId="0" applyFont="1"/>
    <xf numFmtId="0" fontId="9" fillId="0" borderId="7" xfId="0" applyFont="1" applyBorder="1" applyAlignment="1">
      <alignment horizontal="center" vertical="center"/>
    </xf>
    <xf numFmtId="167" fontId="0" fillId="0" borderId="5" xfId="1" applyNumberFormat="1" applyFont="1" applyBorder="1" applyAlignment="1">
      <alignment horizontal="center" vertical="center"/>
    </xf>
    <xf numFmtId="167" fontId="0" fillId="0" borderId="8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167" fontId="2" fillId="0" borderId="1" xfId="1" applyNumberFormat="1" applyFont="1" applyBorder="1" applyAlignment="1">
      <alignment horizontal="center" vertical="center"/>
    </xf>
    <xf numFmtId="167" fontId="2" fillId="0" borderId="7" xfId="1" applyNumberFormat="1" applyFont="1" applyBorder="1" applyAlignment="1">
      <alignment horizontal="center" vertical="center"/>
    </xf>
    <xf numFmtId="167" fontId="2" fillId="0" borderId="2" xfId="1" applyNumberFormat="1" applyFont="1" applyBorder="1" applyAlignment="1">
      <alignment horizontal="center" vertical="center"/>
    </xf>
    <xf numFmtId="167" fontId="2" fillId="0" borderId="3" xfId="1" applyNumberFormat="1" applyFont="1" applyBorder="1" applyAlignment="1">
      <alignment horizontal="center" vertical="center"/>
    </xf>
    <xf numFmtId="167" fontId="2" fillId="0" borderId="0" xfId="1" applyNumberFormat="1" applyFont="1" applyBorder="1" applyAlignment="1">
      <alignment horizontal="center" vertical="center"/>
    </xf>
    <xf numFmtId="167" fontId="2" fillId="0" borderId="4" xfId="1" applyNumberFormat="1" applyFont="1" applyBorder="1" applyAlignment="1">
      <alignment horizontal="center" vertical="center"/>
    </xf>
    <xf numFmtId="167" fontId="2" fillId="0" borderId="5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7" fontId="9" fillId="0" borderId="8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164" fontId="0" fillId="0" borderId="14" xfId="0" applyNumberForma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99060</xdr:colOff>
      <xdr:row>3</xdr:row>
      <xdr:rowOff>186690</xdr:rowOff>
    </xdr:from>
    <xdr:ext cx="104233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C77F67D-E468-64CD-9AE2-29645144369A}"/>
                </a:ext>
              </a:extLst>
            </xdr:cNvPr>
            <xdr:cNvSpPr txBox="1"/>
          </xdr:nvSpPr>
          <xdr:spPr>
            <a:xfrm>
              <a:off x="9471660" y="834390"/>
              <a:ext cx="104233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→2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2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C77F67D-E468-64CD-9AE2-29645144369A}"/>
                </a:ext>
              </a:extLst>
            </xdr:cNvPr>
            <xdr:cNvSpPr txBox="1"/>
          </xdr:nvSpPr>
          <xdr:spPr>
            <a:xfrm>
              <a:off x="9471660" y="834390"/>
              <a:ext cx="104233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000" b="0" i="0">
                  <a:latin typeface="Cambria Math" panose="02040503050406030204" pitchFamily="18" charset="0"/>
                </a:rPr>
                <a:t>𝐻_2→2𝐻</a:t>
              </a:r>
              <a:endParaRPr lang="it-IT" sz="1200"/>
            </a:p>
          </xdr:txBody>
        </xdr:sp>
      </mc:Fallback>
    </mc:AlternateContent>
    <xdr:clientData/>
  </xdr:oneCellAnchor>
  <xdr:oneCellAnchor>
    <xdr:from>
      <xdr:col>1</xdr:col>
      <xdr:colOff>472440</xdr:colOff>
      <xdr:row>1</xdr:row>
      <xdr:rowOff>125730</xdr:rowOff>
    </xdr:from>
    <xdr:ext cx="302712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BC27A4A-863D-17A5-0ABE-A1D43CE2BC59}"/>
                </a:ext>
              </a:extLst>
            </xdr:cNvPr>
            <xdr:cNvSpPr txBox="1"/>
          </xdr:nvSpPr>
          <xdr:spPr>
            <a:xfrm>
              <a:off x="2689860" y="3619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BC27A4A-863D-17A5-0ABE-A1D43CE2BC59}"/>
                </a:ext>
              </a:extLst>
            </xdr:cNvPr>
            <xdr:cNvSpPr txBox="1"/>
          </xdr:nvSpPr>
          <xdr:spPr>
            <a:xfrm>
              <a:off x="2689860" y="3619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400" b="0" i="0">
                  <a:latin typeface="Cambria Math" panose="02040503050406030204" pitchFamily="18" charset="0"/>
                </a:rPr>
                <a:t>𝐻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3</xdr:col>
      <xdr:colOff>7620</xdr:colOff>
      <xdr:row>14</xdr:row>
      <xdr:rowOff>7620</xdr:rowOff>
    </xdr:from>
    <xdr:to>
      <xdr:col>6</xdr:col>
      <xdr:colOff>533400</xdr:colOff>
      <xdr:row>20</xdr:row>
      <xdr:rowOff>175260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8943708B-2200-E7B5-F912-FDF5CC91DF7F}"/>
            </a:ext>
          </a:extLst>
        </xdr:cNvPr>
        <xdr:cNvSpPr txBox="1"/>
      </xdr:nvSpPr>
      <xdr:spPr>
        <a:xfrm>
          <a:off x="5097780" y="3657600"/>
          <a:ext cx="310134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B0F0"/>
              </a:solidFill>
            </a:rPr>
            <a:t>B3P86 + corr.consist.basis sets </a:t>
          </a:r>
          <a:r>
            <a:rPr lang="it-IT" sz="1100"/>
            <a:t>:'AX will form     3 AO Fock derivatives at one time.</a:t>
          </a:r>
        </a:p>
        <a:p>
          <a:r>
            <a:rPr lang="it-IT" sz="1100"/>
            <a:t> No inversion for dimension     3 Det= 0.00D+00</a:t>
          </a:r>
        </a:p>
        <a:p>
          <a:r>
            <a:rPr lang="it-IT" sz="1100"/>
            <a:t> No inversion for dimension     2 Det= 0.00D+00</a:t>
          </a:r>
        </a:p>
        <a:p>
          <a:r>
            <a:rPr lang="it-IT" sz="1100"/>
            <a:t> No inversion for dimension     1 Det= 0.00D+00</a:t>
          </a:r>
        </a:p>
        <a:p>
          <a:r>
            <a:rPr lang="it-IT" sz="1100"/>
            <a:t> NDone reduced to 0 in LinEq2.</a:t>
          </a:r>
        </a:p>
        <a:p>
          <a:r>
            <a:rPr lang="it-IT" sz="1100"/>
            <a:t> Error termination ' </a:t>
          </a:r>
        </a:p>
      </xdr:txBody>
    </xdr:sp>
    <xdr:clientData/>
  </xdr:twoCellAnchor>
  <xdr:oneCellAnchor>
    <xdr:from>
      <xdr:col>1</xdr:col>
      <xdr:colOff>472440</xdr:colOff>
      <xdr:row>23</xdr:row>
      <xdr:rowOff>125730</xdr:rowOff>
    </xdr:from>
    <xdr:ext cx="418383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DE34D1E2-AD22-4376-AE2A-83699303533B}"/>
                </a:ext>
              </a:extLst>
            </xdr:cNvPr>
            <xdr:cNvSpPr txBox="1"/>
          </xdr:nvSpPr>
          <xdr:spPr>
            <a:xfrm>
              <a:off x="2689860" y="5429250"/>
              <a:ext cx="41838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DE34D1E2-AD22-4376-AE2A-83699303533B}"/>
                </a:ext>
              </a:extLst>
            </xdr:cNvPr>
            <xdr:cNvSpPr txBox="1"/>
          </xdr:nvSpPr>
          <xdr:spPr>
            <a:xfrm>
              <a:off x="2689860" y="5429250"/>
              <a:ext cx="41838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𝐻_2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182880</xdr:colOff>
      <xdr:row>37</xdr:row>
      <xdr:rowOff>125730</xdr:rowOff>
    </xdr:from>
    <xdr:ext cx="2149435" cy="334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27000AD-3876-A19B-E9EA-92342D2F07E3}"/>
                </a:ext>
              </a:extLst>
            </xdr:cNvPr>
            <xdr:cNvSpPr txBox="1"/>
          </xdr:nvSpPr>
          <xdr:spPr>
            <a:xfrm>
              <a:off x="2400300" y="8911590"/>
              <a:ext cx="2149435" cy="334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20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=2×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it-IT" sz="12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27000AD-3876-A19B-E9EA-92342D2F07E3}"/>
                </a:ext>
              </a:extLst>
            </xdr:cNvPr>
            <xdr:cNvSpPr txBox="1"/>
          </xdr:nvSpPr>
          <xdr:spPr>
            <a:xfrm>
              <a:off x="2400300" y="8911590"/>
              <a:ext cx="2149435" cy="334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Δ𝐸=2×𝐸_𝐻−𝐸_(𝐻_2 )</a:t>
              </a:r>
              <a:endParaRPr lang="it-IT" sz="1200"/>
            </a:p>
          </xdr:txBody>
        </xdr:sp>
      </mc:Fallback>
    </mc:AlternateContent>
    <xdr:clientData/>
  </xdr:oneCellAnchor>
  <xdr:oneCellAnchor>
    <xdr:from>
      <xdr:col>1</xdr:col>
      <xdr:colOff>472440</xdr:colOff>
      <xdr:row>53</xdr:row>
      <xdr:rowOff>125730</xdr:rowOff>
    </xdr:from>
    <xdr:ext cx="302712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B460119-D3B7-40BD-90B7-AF23EA287BDF}"/>
                </a:ext>
              </a:extLst>
            </xdr:cNvPr>
            <xdr:cNvSpPr txBox="1"/>
          </xdr:nvSpPr>
          <xdr:spPr>
            <a:xfrm>
              <a:off x="268986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B460119-D3B7-40BD-90B7-AF23EA287BDF}"/>
                </a:ext>
              </a:extLst>
            </xdr:cNvPr>
            <xdr:cNvSpPr txBox="1"/>
          </xdr:nvSpPr>
          <xdr:spPr>
            <a:xfrm>
              <a:off x="268986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𝐻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472440</xdr:colOff>
      <xdr:row>64</xdr:row>
      <xdr:rowOff>125730</xdr:rowOff>
    </xdr:from>
    <xdr:ext cx="418383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923693F-4AF2-44CE-BEDE-AF614F207297}"/>
                </a:ext>
              </a:extLst>
            </xdr:cNvPr>
            <xdr:cNvSpPr txBox="1"/>
          </xdr:nvSpPr>
          <xdr:spPr>
            <a:xfrm>
              <a:off x="2308860" y="15099030"/>
              <a:ext cx="41838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923693F-4AF2-44CE-BEDE-AF614F207297}"/>
                </a:ext>
              </a:extLst>
            </xdr:cNvPr>
            <xdr:cNvSpPr txBox="1"/>
          </xdr:nvSpPr>
          <xdr:spPr>
            <a:xfrm>
              <a:off x="2308860" y="15099030"/>
              <a:ext cx="41838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𝐻_2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464820</xdr:colOff>
      <xdr:row>4</xdr:row>
      <xdr:rowOff>140970</xdr:rowOff>
    </xdr:from>
    <xdr:ext cx="1666482" cy="454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24C98C-3453-49D3-97EA-628035C2B9BE}"/>
                </a:ext>
              </a:extLst>
            </xdr:cNvPr>
            <xdr:cNvSpPr txBox="1"/>
          </xdr:nvSpPr>
          <xdr:spPr>
            <a:xfrm>
              <a:off x="8740140" y="994410"/>
              <a:ext cx="1666482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8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24C98C-3453-49D3-97EA-628035C2B9BE}"/>
                </a:ext>
              </a:extLst>
            </xdr:cNvPr>
            <xdr:cNvSpPr txBox="1"/>
          </xdr:nvSpPr>
          <xdr:spPr>
            <a:xfrm>
              <a:off x="8740140" y="994410"/>
              <a:ext cx="1666482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〖𝐶𝐻〗_4→𝐶𝐻_3+𝐻</a:t>
              </a:r>
              <a:endParaRPr lang="it-IT" sz="1800" b="0"/>
            </a:p>
            <a:p>
              <a:pPr/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472440</xdr:colOff>
      <xdr:row>1</xdr:row>
      <xdr:rowOff>125730</xdr:rowOff>
    </xdr:from>
    <xdr:ext cx="302712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1E33989-008E-4301-8436-A71160700A34}"/>
                </a:ext>
              </a:extLst>
            </xdr:cNvPr>
            <xdr:cNvSpPr txBox="1"/>
          </xdr:nvSpPr>
          <xdr:spPr>
            <a:xfrm>
              <a:off x="268986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1E33989-008E-4301-8436-A71160700A34}"/>
                </a:ext>
              </a:extLst>
            </xdr:cNvPr>
            <xdr:cNvSpPr txBox="1"/>
          </xdr:nvSpPr>
          <xdr:spPr>
            <a:xfrm>
              <a:off x="268986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𝐻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14</xdr:row>
      <xdr:rowOff>53340</xdr:rowOff>
    </xdr:from>
    <xdr:to>
      <xdr:col>7</xdr:col>
      <xdr:colOff>411480</xdr:colOff>
      <xdr:row>21</xdr:row>
      <xdr:rowOff>38100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17C47829-FECD-4FB9-A1A1-BAF398AEC8BE}"/>
            </a:ext>
          </a:extLst>
        </xdr:cNvPr>
        <xdr:cNvSpPr txBox="1"/>
      </xdr:nvSpPr>
      <xdr:spPr>
        <a:xfrm>
          <a:off x="6301740" y="3169920"/>
          <a:ext cx="310134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B0F0"/>
              </a:solidFill>
            </a:rPr>
            <a:t>B3P86 + corr.consist.basis sets </a:t>
          </a:r>
          <a:r>
            <a:rPr lang="it-IT" sz="1100"/>
            <a:t>:'AX will form     3 AO Fock derivatives at one time.</a:t>
          </a:r>
        </a:p>
        <a:p>
          <a:r>
            <a:rPr lang="it-IT" sz="1100"/>
            <a:t> No inversion for dimension     3 Det= 0.00D+00</a:t>
          </a:r>
        </a:p>
        <a:p>
          <a:r>
            <a:rPr lang="it-IT" sz="1100"/>
            <a:t> No inversion for dimension     2 Det= 0.00D+00</a:t>
          </a:r>
        </a:p>
        <a:p>
          <a:r>
            <a:rPr lang="it-IT" sz="1100"/>
            <a:t> No inversion for dimension     1 Det= 0.00D+00</a:t>
          </a:r>
        </a:p>
        <a:p>
          <a:r>
            <a:rPr lang="it-IT" sz="1100"/>
            <a:t> NDone reduced to 0 in LinEq2.</a:t>
          </a:r>
        </a:p>
        <a:p>
          <a:r>
            <a:rPr lang="it-IT" sz="1100"/>
            <a:t> Error termination ' </a:t>
          </a:r>
        </a:p>
      </xdr:txBody>
    </xdr:sp>
    <xdr:clientData/>
  </xdr:twoCellAnchor>
  <xdr:oneCellAnchor>
    <xdr:from>
      <xdr:col>1</xdr:col>
      <xdr:colOff>868680</xdr:colOff>
      <xdr:row>25</xdr:row>
      <xdr:rowOff>99060</xdr:rowOff>
    </xdr:from>
    <xdr:ext cx="615553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C609D6D-34B4-46A5-A691-BA213FBD441C}"/>
                </a:ext>
              </a:extLst>
            </xdr:cNvPr>
            <xdr:cNvSpPr txBox="1"/>
          </xdr:nvSpPr>
          <xdr:spPr>
            <a:xfrm>
              <a:off x="2872740" y="5227320"/>
              <a:ext cx="61555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C609D6D-34B4-46A5-A691-BA213FBD441C}"/>
                </a:ext>
              </a:extLst>
            </xdr:cNvPr>
            <xdr:cNvSpPr txBox="1"/>
          </xdr:nvSpPr>
          <xdr:spPr>
            <a:xfrm>
              <a:off x="2872740" y="5227320"/>
              <a:ext cx="61555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𝐶𝐻_3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868680</xdr:colOff>
      <xdr:row>38</xdr:row>
      <xdr:rowOff>99060</xdr:rowOff>
    </xdr:from>
    <xdr:ext cx="615553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D5A3A41-8151-42DC-9574-01FEDFC9010F}"/>
                </a:ext>
              </a:extLst>
            </xdr:cNvPr>
            <xdr:cNvSpPr txBox="1"/>
          </xdr:nvSpPr>
          <xdr:spPr>
            <a:xfrm>
              <a:off x="2872740" y="5227320"/>
              <a:ext cx="61555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D5A3A41-8151-42DC-9574-01FEDFC9010F}"/>
                </a:ext>
              </a:extLst>
            </xdr:cNvPr>
            <xdr:cNvSpPr txBox="1"/>
          </xdr:nvSpPr>
          <xdr:spPr>
            <a:xfrm>
              <a:off x="2872740" y="5227320"/>
              <a:ext cx="615553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𝐶𝐻_4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48</xdr:row>
      <xdr:rowOff>156210</xdr:rowOff>
    </xdr:from>
    <xdr:ext cx="3175869" cy="4033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FE28BFF-A776-4A19-B359-58997B6A22B1}"/>
                </a:ext>
              </a:extLst>
            </xdr:cNvPr>
            <xdr:cNvSpPr txBox="1"/>
          </xdr:nvSpPr>
          <xdr:spPr>
            <a:xfrm>
              <a:off x="1813560" y="10161270"/>
              <a:ext cx="3175869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24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FE28BFF-A776-4A19-B359-58997B6A22B1}"/>
                </a:ext>
              </a:extLst>
            </xdr:cNvPr>
            <xdr:cNvSpPr txBox="1"/>
          </xdr:nvSpPr>
          <xdr:spPr>
            <a:xfrm>
              <a:off x="1813560" y="10161270"/>
              <a:ext cx="3175869" cy="403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Δ𝐸=𝐸_(𝐶𝐻_3 )+𝐸_𝐻−𝐸_(𝐶𝐻_4 )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1</xdr:col>
      <xdr:colOff>472440</xdr:colOff>
      <xdr:row>64</xdr:row>
      <xdr:rowOff>125730</xdr:rowOff>
    </xdr:from>
    <xdr:ext cx="302712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316C425-E9A0-411B-833C-217A1C9ACFE5}"/>
                </a:ext>
              </a:extLst>
            </xdr:cNvPr>
            <xdr:cNvSpPr txBox="1"/>
          </xdr:nvSpPr>
          <xdr:spPr>
            <a:xfrm>
              <a:off x="247650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316C425-E9A0-411B-833C-217A1C9ACFE5}"/>
                </a:ext>
              </a:extLst>
            </xdr:cNvPr>
            <xdr:cNvSpPr txBox="1"/>
          </xdr:nvSpPr>
          <xdr:spPr>
            <a:xfrm>
              <a:off x="2476500" y="400050"/>
              <a:ext cx="30271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𝐻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A58" workbookViewId="0">
      <selection activeCell="G76" sqref="G76"/>
    </sheetView>
  </sheetViews>
  <sheetFormatPr defaultRowHeight="14.4" x14ac:dyDescent="0.3"/>
  <cols>
    <col min="1" max="1" width="26.77734375" customWidth="1"/>
    <col min="2" max="2" width="8.5546875" customWidth="1"/>
    <col min="3" max="3" width="22.44140625" bestFit="1" customWidth="1"/>
    <col min="4" max="4" width="13.21875" bestFit="1" customWidth="1"/>
    <col min="5" max="5" width="13.44140625" bestFit="1" customWidth="1"/>
    <col min="6" max="6" width="11.109375" bestFit="1" customWidth="1"/>
    <col min="7" max="7" width="12.109375" bestFit="1" customWidth="1"/>
    <col min="8" max="8" width="11.109375" bestFit="1" customWidth="1"/>
    <col min="9" max="9" width="9" customWidth="1"/>
    <col min="11" max="11" width="20.33203125" customWidth="1"/>
  </cols>
  <sheetData>
    <row r="1" spans="1:14" ht="21.6" thickBot="1" x14ac:dyDescent="0.35">
      <c r="A1" s="37" t="s">
        <v>23</v>
      </c>
      <c r="G1" s="10" t="s">
        <v>2</v>
      </c>
      <c r="H1" s="10" t="s">
        <v>3</v>
      </c>
      <c r="K1" s="2" t="s">
        <v>9</v>
      </c>
    </row>
    <row r="2" spans="1:14" ht="15" thickBot="1" x14ac:dyDescent="0.35">
      <c r="A2" s="10" t="s">
        <v>10</v>
      </c>
      <c r="D2" s="76" t="s">
        <v>0</v>
      </c>
      <c r="E2" s="77"/>
      <c r="F2" s="77"/>
      <c r="G2" s="77"/>
      <c r="H2" s="78"/>
    </row>
    <row r="3" spans="1:14" x14ac:dyDescent="0.3">
      <c r="D3" s="7"/>
      <c r="F3" s="76" t="s">
        <v>13</v>
      </c>
      <c r="G3" s="77"/>
      <c r="H3" s="78"/>
    </row>
    <row r="4" spans="1:14" ht="16.2" thickBot="1" x14ac:dyDescent="0.35">
      <c r="B4" s="1"/>
      <c r="C4" s="1"/>
      <c r="D4" s="8" t="s">
        <v>1</v>
      </c>
      <c r="E4" s="9" t="s">
        <v>7</v>
      </c>
      <c r="F4" s="8" t="s">
        <v>8</v>
      </c>
      <c r="G4" s="9" t="s">
        <v>11</v>
      </c>
      <c r="H4" s="5" t="s">
        <v>12</v>
      </c>
      <c r="I4" s="1"/>
      <c r="J4" s="1"/>
      <c r="K4" s="35" t="s">
        <v>30</v>
      </c>
    </row>
    <row r="5" spans="1:14" ht="14.4" customHeight="1" x14ac:dyDescent="0.3">
      <c r="A5" s="79" t="s">
        <v>4</v>
      </c>
      <c r="B5" s="82" t="s">
        <v>5</v>
      </c>
      <c r="C5" s="3" t="s">
        <v>14</v>
      </c>
      <c r="D5" s="20">
        <f xml:space="preserve"> -0.498232909202*627.5</f>
        <v>-312.64115052425501</v>
      </c>
      <c r="E5" s="25">
        <f>-0.49823290920158*627.5</f>
        <v>-312.64115052399143</v>
      </c>
      <c r="F5" s="20">
        <f>-0.500272784191*627.5</f>
        <v>-313.92117207985245</v>
      </c>
      <c r="G5" s="16">
        <f>-0.516817233085*627.5</f>
        <v>-324.30281376083752</v>
      </c>
      <c r="H5" s="17">
        <f>-0.497340882376*627.5</f>
        <v>-312.08140369094002</v>
      </c>
      <c r="I5" s="1"/>
      <c r="J5" s="1"/>
    </row>
    <row r="6" spans="1:14" x14ac:dyDescent="0.3">
      <c r="A6" s="80"/>
      <c r="B6" s="83"/>
      <c r="C6" s="4" t="s">
        <v>16</v>
      </c>
      <c r="D6" s="19">
        <f>-0.466581850384*627.5</f>
        <v>-292.78011111596004</v>
      </c>
      <c r="E6" s="26">
        <f>-0.466581850384*627.5</f>
        <v>-292.78011111596004</v>
      </c>
      <c r="F6" s="19">
        <f>-0.467532587977*627.5</f>
        <v>-293.37669895556746</v>
      </c>
      <c r="G6" s="13">
        <f>-0.483527215805*627.5</f>
        <v>-303.4133279176375</v>
      </c>
      <c r="H6" s="18">
        <f>-0.465576192372 *627.5</f>
        <v>-292.14906071343</v>
      </c>
      <c r="I6" s="1"/>
      <c r="J6" s="1"/>
    </row>
    <row r="7" spans="1:14" ht="15" thickBot="1" x14ac:dyDescent="0.35">
      <c r="A7" s="80"/>
      <c r="B7" s="84"/>
      <c r="C7" s="5" t="s">
        <v>15</v>
      </c>
      <c r="D7" s="19">
        <f>-0.496198636018 *627.5</f>
        <v>-311.36464410129503</v>
      </c>
      <c r="E7" s="26">
        <f>-0.49619863601816*627.5</f>
        <v>-311.36464410139541</v>
      </c>
      <c r="F7" s="19">
        <f>-0.497311436802*627.5</f>
        <v>-312.06292659325499</v>
      </c>
      <c r="G7" s="13">
        <f>-0.514149738247*627.5</f>
        <v>-322.62896074999253</v>
      </c>
      <c r="H7" s="18">
        <f>-0.494627445684*627.5</f>
        <v>-310.37872216671002</v>
      </c>
      <c r="I7" s="1"/>
      <c r="J7" s="1"/>
    </row>
    <row r="8" spans="1:14" x14ac:dyDescent="0.3">
      <c r="A8" s="80"/>
      <c r="B8" s="85" t="s">
        <v>6</v>
      </c>
      <c r="C8" s="6" t="s">
        <v>18</v>
      </c>
      <c r="D8" s="20">
        <f>-0.49927840342*627.5</f>
        <v>-313.29719814604999</v>
      </c>
      <c r="E8" s="25">
        <f xml:space="preserve"> -0.49927840342*627.5</f>
        <v>-313.29719814604999</v>
      </c>
      <c r="F8" s="20">
        <f>-0.501257936933 *627.5</f>
        <v>-314.53935542545753</v>
      </c>
      <c r="G8" s="28">
        <f>-0.517799846662*627.5</f>
        <v>-324.91940378040499</v>
      </c>
      <c r="H8" s="15">
        <f>-0.498866725052*627.5</f>
        <v>-313.03886997013001</v>
      </c>
      <c r="I8" s="1"/>
      <c r="J8" s="1"/>
    </row>
    <row r="9" spans="1:14" x14ac:dyDescent="0.3">
      <c r="A9" s="80"/>
      <c r="B9" s="86"/>
      <c r="C9" s="4" t="s">
        <v>20</v>
      </c>
      <c r="D9" s="19">
        <f>-0.499809811302 *627.5</f>
        <v>-313.63065659200498</v>
      </c>
      <c r="E9" s="26">
        <f>-0.499809811302*627.5</f>
        <v>-313.63065659200498</v>
      </c>
      <c r="F9" s="72">
        <f xml:space="preserve"> -0.502156338827*627.5</f>
        <v>-315.10310261394244</v>
      </c>
      <c r="G9" s="73">
        <f>-0.518515925974*627.5</f>
        <v>-325.36874354868496</v>
      </c>
      <c r="H9" s="18">
        <f>-0.499583571008*627.5</f>
        <v>-313.48869080752002</v>
      </c>
      <c r="I9" s="1"/>
      <c r="J9" s="1"/>
    </row>
    <row r="10" spans="1:14" ht="93" customHeight="1" thickBot="1" x14ac:dyDescent="0.35">
      <c r="A10" s="81"/>
      <c r="B10" s="87"/>
      <c r="C10" s="5" t="s">
        <v>19</v>
      </c>
      <c r="D10" s="24">
        <f>-0.499945568583*627.5</f>
        <v>-313.71584428583247</v>
      </c>
      <c r="E10" s="27">
        <f>-0.499945568583*627.5</f>
        <v>-313.71584428583247</v>
      </c>
      <c r="F10" s="24">
        <f>-0.502346047476*627.5</f>
        <v>-315.22214479118998</v>
      </c>
      <c r="G10" s="29">
        <f>-0.518680937948*627.5</f>
        <v>-325.47228856236995</v>
      </c>
      <c r="H10" s="23">
        <f>-0.499828880926*627.5</f>
        <v>-313.64262278106497</v>
      </c>
      <c r="I10" s="1"/>
      <c r="J10" s="1"/>
    </row>
    <row r="11" spans="1:14" x14ac:dyDescent="0.3">
      <c r="A11" s="11"/>
      <c r="B11" s="1"/>
      <c r="D11" s="1"/>
      <c r="E11" s="1"/>
      <c r="F11" s="1"/>
      <c r="G11" s="1"/>
      <c r="H11" s="1"/>
      <c r="I11" s="1"/>
      <c r="J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4" x14ac:dyDescent="0.3">
      <c r="A13" s="1"/>
      <c r="B13" s="1"/>
      <c r="C13" s="1"/>
      <c r="D13" s="88" t="s">
        <v>21</v>
      </c>
      <c r="E13" s="89"/>
      <c r="F13" s="89"/>
      <c r="G13" s="89"/>
      <c r="H13" s="1"/>
      <c r="I13" s="1"/>
      <c r="J13" s="1"/>
    </row>
    <row r="14" spans="1:14" x14ac:dyDescent="0.3">
      <c r="A14" s="1"/>
      <c r="B14" s="1"/>
      <c r="C14" s="1"/>
      <c r="D14" s="14" t="s">
        <v>17</v>
      </c>
      <c r="E14" s="1"/>
      <c r="F14" s="1"/>
      <c r="G14" s="1"/>
      <c r="H14" s="1"/>
      <c r="I14" s="1"/>
      <c r="J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4" x14ac:dyDescent="0.3">
      <c r="A16" s="1"/>
      <c r="B16" s="1"/>
      <c r="C16" s="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23" spans="1:10" ht="15" thickBot="1" x14ac:dyDescent="0.35"/>
    <row r="24" spans="1:10" ht="15" thickBot="1" x14ac:dyDescent="0.35">
      <c r="A24" s="10" t="s">
        <v>10</v>
      </c>
      <c r="D24" s="76" t="s">
        <v>0</v>
      </c>
      <c r="E24" s="77"/>
      <c r="F24" s="77"/>
      <c r="G24" s="77"/>
      <c r="H24" s="78"/>
    </row>
    <row r="25" spans="1:10" x14ac:dyDescent="0.3">
      <c r="D25" s="7"/>
      <c r="F25" s="76" t="s">
        <v>13</v>
      </c>
      <c r="G25" s="77"/>
      <c r="H25" s="78"/>
    </row>
    <row r="26" spans="1:10" ht="16.2" thickBot="1" x14ac:dyDescent="0.35">
      <c r="B26" s="1"/>
      <c r="C26" s="1"/>
      <c r="D26" s="8" t="s">
        <v>1</v>
      </c>
      <c r="E26" s="9" t="s">
        <v>7</v>
      </c>
      <c r="F26" s="8" t="s">
        <v>8</v>
      </c>
      <c r="G26" s="9" t="s">
        <v>11</v>
      </c>
      <c r="H26" s="5" t="s">
        <v>12</v>
      </c>
    </row>
    <row r="27" spans="1:10" x14ac:dyDescent="0.3">
      <c r="A27" s="79" t="s">
        <v>4</v>
      </c>
      <c r="B27" s="82" t="s">
        <v>5</v>
      </c>
      <c r="C27" s="3" t="s">
        <v>14</v>
      </c>
      <c r="D27" s="20">
        <f>(0.010555-1.13133357342)*627.5</f>
        <v>-703.28855482104996</v>
      </c>
      <c r="E27" s="31">
        <f>(0.010496-1.13133217427) *627.5</f>
        <v>-703.32469935442498</v>
      </c>
      <c r="F27" s="20">
        <f>(0.010171-1.17853933039)*627.5</f>
        <v>-733.15112731972511</v>
      </c>
      <c r="G27" s="31">
        <f>(0.010148 -1.2141728302)*627.5</f>
        <v>-755.52558095050006</v>
      </c>
      <c r="H27" s="17">
        <f>(-1.17671044665+0.010207)*627.5</f>
        <v>-731.98091277287494</v>
      </c>
    </row>
    <row r="28" spans="1:10" x14ac:dyDescent="0.3">
      <c r="A28" s="80"/>
      <c r="B28" s="83"/>
      <c r="C28" s="4" t="s">
        <v>16</v>
      </c>
      <c r="D28" s="19">
        <f>(0.012487-1.11750588516)*627.5</f>
        <v>-693.39935043790001</v>
      </c>
      <c r="E28" s="32">
        <f>(0.011943-1.11736912187 )*627.5</f>
        <v>-693.65489147342498</v>
      </c>
      <c r="F28" s="19">
        <f>(0.01163-1.16553546918) *627.5</f>
        <v>-724.07568191044993</v>
      </c>
      <c r="G28" s="32">
        <f>(0.01166-1.20187892909)*627.5</f>
        <v>-746.86237800397498</v>
      </c>
      <c r="H28" s="18">
        <f>(0.011577-1.16425433675)*627.5</f>
        <v>-723.305028810625</v>
      </c>
    </row>
    <row r="29" spans="1:10" ht="15" thickBot="1" x14ac:dyDescent="0.35">
      <c r="A29" s="80"/>
      <c r="B29" s="84"/>
      <c r="C29" s="5" t="s">
        <v>15</v>
      </c>
      <c r="D29" s="19">
        <f>(0.010606 -1.1229598288 )*627.5</f>
        <v>-698.00202757200009</v>
      </c>
      <c r="E29" s="32">
        <f>(0.010369-1.12292841158 )*627.5</f>
        <v>-698.13103076644995</v>
      </c>
      <c r="F29" s="19">
        <f>(0.010184-1.17061100867)*627.5</f>
        <v>-728.16794794042494</v>
      </c>
      <c r="G29" s="32">
        <f>(0.010148 -1.20678072311) *627.5</f>
        <v>-750.887033751525</v>
      </c>
      <c r="H29" s="18">
        <f>-1.16924606155*627.5 + 0.010202 *627.5</f>
        <v>-727.30014862262499</v>
      </c>
      <c r="I29" s="54"/>
    </row>
    <row r="30" spans="1:10" ht="14.4" customHeight="1" x14ac:dyDescent="0.3">
      <c r="A30" s="80"/>
      <c r="B30" s="90" t="s">
        <v>6</v>
      </c>
      <c r="C30" s="6" t="s">
        <v>18</v>
      </c>
      <c r="D30" s="20">
        <f>( 0.010441 -1.12874611234)*627.5</f>
        <v>-701.73645799335009</v>
      </c>
      <c r="E30" s="55">
        <f xml:space="preserve"> (0.010253 -1.1287166697 )*627.5</f>
        <v>-701.83595273674996</v>
      </c>
      <c r="F30" s="20">
        <f>(0.009951-1.17360208938 )*627.5</f>
        <v>-730.19105858595003</v>
      </c>
      <c r="G30" s="31">
        <f>(0.009988 -1.21042156341)*627.5</f>
        <v>-753.27206103977494</v>
      </c>
      <c r="H30" s="15">
        <f>-1.17246060047*627.5 +  0.00997*627.5</f>
        <v>-729.46285179492497</v>
      </c>
    </row>
    <row r="31" spans="1:10" x14ac:dyDescent="0.3">
      <c r="A31" s="80"/>
      <c r="B31" s="91"/>
      <c r="C31" s="4" t="s">
        <v>20</v>
      </c>
      <c r="D31" s="19">
        <f>(0.010447-1.13298970092 )*627.5</f>
        <v>-704.3955448273</v>
      </c>
      <c r="E31" s="32">
        <f>(0.010308-1.13298449532) *627.5</f>
        <v>-704.47950081329998</v>
      </c>
      <c r="F31" s="19">
        <f>(0.010066 -1.17999874944)*627.5</f>
        <v>-734.13280027359997</v>
      </c>
      <c r="G31" s="32">
        <f xml:space="preserve"> (-1.21553861226+0.01006 )*627.5</f>
        <v>-756.43782919315004</v>
      </c>
      <c r="H31" s="18">
        <f>-1.17826201658*627.5 + 627.5*0.010051</f>
        <v>-733.05241290394997</v>
      </c>
    </row>
    <row r="32" spans="1:10" ht="84" customHeight="1" thickBot="1" x14ac:dyDescent="0.35">
      <c r="A32" s="81"/>
      <c r="B32" s="92"/>
      <c r="C32" s="5" t="s">
        <v>19</v>
      </c>
      <c r="D32" s="24">
        <f>(0.010435 -1.13349457292)*627.5</f>
        <v>-704.71988200730004</v>
      </c>
      <c r="E32" s="33">
        <f>(0.010294 -1.13349039483) *627.5</f>
        <v>-704.80573775582491</v>
      </c>
      <c r="F32" s="24">
        <f>(0.010056-1.18053629526)*627.5</f>
        <v>-734.47638527564993</v>
      </c>
      <c r="G32" s="33">
        <f>(0.01005-1.21605380148)*627.5</f>
        <v>-756.76738542870009</v>
      </c>
      <c r="H32" s="23">
        <f>-1.17870891196*627.5 + 627.5*0.010045</f>
        <v>-733.33660475490001</v>
      </c>
    </row>
    <row r="38" spans="1:16" ht="21.6" thickBot="1" x14ac:dyDescent="0.45">
      <c r="A38" s="59" t="s">
        <v>22</v>
      </c>
      <c r="J38" s="60" t="s">
        <v>25</v>
      </c>
    </row>
    <row r="39" spans="1:16" ht="15" thickBot="1" x14ac:dyDescent="0.35">
      <c r="A39" s="10" t="s">
        <v>10</v>
      </c>
      <c r="D39" s="76" t="s">
        <v>0</v>
      </c>
      <c r="E39" s="77"/>
      <c r="F39" s="77"/>
      <c r="G39" s="77"/>
      <c r="H39" s="78"/>
      <c r="I39" s="10"/>
      <c r="L39" s="76" t="s">
        <v>0</v>
      </c>
      <c r="M39" s="77"/>
      <c r="N39" s="77"/>
      <c r="O39" s="77"/>
      <c r="P39" s="78"/>
    </row>
    <row r="40" spans="1:16" x14ac:dyDescent="0.3">
      <c r="D40" s="7"/>
      <c r="F40" s="76" t="s">
        <v>13</v>
      </c>
      <c r="G40" s="77"/>
      <c r="H40" s="78"/>
      <c r="L40" s="7"/>
      <c r="N40" s="76" t="s">
        <v>13</v>
      </c>
      <c r="O40" s="77"/>
      <c r="P40" s="78"/>
    </row>
    <row r="41" spans="1:16" ht="16.2" thickBot="1" x14ac:dyDescent="0.35">
      <c r="B41" s="1"/>
      <c r="C41" s="1"/>
      <c r="D41" s="36" t="s">
        <v>1</v>
      </c>
      <c r="E41" s="35" t="s">
        <v>7</v>
      </c>
      <c r="F41" s="36" t="s">
        <v>8</v>
      </c>
      <c r="G41" s="35" t="s">
        <v>11</v>
      </c>
      <c r="H41" s="4" t="s">
        <v>12</v>
      </c>
      <c r="J41" s="1"/>
      <c r="K41" s="1"/>
      <c r="L41" s="36" t="s">
        <v>1</v>
      </c>
      <c r="M41" s="35" t="s">
        <v>7</v>
      </c>
      <c r="N41" s="36" t="s">
        <v>8</v>
      </c>
      <c r="O41" s="35" t="s">
        <v>11</v>
      </c>
      <c r="P41" s="4" t="s">
        <v>12</v>
      </c>
    </row>
    <row r="42" spans="1:16" x14ac:dyDescent="0.3">
      <c r="A42" s="79" t="s">
        <v>4</v>
      </c>
      <c r="B42" s="82" t="s">
        <v>5</v>
      </c>
      <c r="C42" s="34" t="s">
        <v>14</v>
      </c>
      <c r="D42" s="20">
        <f>2*D5-D27</f>
        <v>78.006253772539935</v>
      </c>
      <c r="E42" s="12">
        <f t="shared" ref="E42:H42" si="0">2*E5-E27</f>
        <v>78.042398306442124</v>
      </c>
      <c r="F42" s="20">
        <f t="shared" si="0"/>
        <v>105.3087831600202</v>
      </c>
      <c r="G42" s="12">
        <f t="shared" si="0"/>
        <v>106.91995342882501</v>
      </c>
      <c r="H42" s="17">
        <f t="shared" si="0"/>
        <v>107.8181053909949</v>
      </c>
      <c r="I42" s="79" t="s">
        <v>4</v>
      </c>
      <c r="J42" s="82" t="s">
        <v>5</v>
      </c>
      <c r="K42" s="34" t="s">
        <v>14</v>
      </c>
      <c r="L42" s="61">
        <f t="shared" ref="L42:P47" si="1">ABS(D42-$B$50)/$B$50</f>
        <v>0.24412544794050453</v>
      </c>
      <c r="M42" s="62">
        <f t="shared" si="1"/>
        <v>0.24377521020889417</v>
      </c>
      <c r="N42" s="61">
        <f t="shared" si="1"/>
        <v>2.0433945349032898E-2</v>
      </c>
      <c r="O42" s="62">
        <f t="shared" si="1"/>
        <v>3.6046060356831472E-2</v>
      </c>
      <c r="P42" s="63">
        <f t="shared" si="1"/>
        <v>4.47490832460746E-2</v>
      </c>
    </row>
    <row r="43" spans="1:16" x14ac:dyDescent="0.3">
      <c r="A43" s="80"/>
      <c r="B43" s="83"/>
      <c r="C43" s="35" t="s">
        <v>16</v>
      </c>
      <c r="D43" s="19">
        <f t="shared" ref="D43:H47" si="2">2*D6-D28</f>
        <v>107.83912820597993</v>
      </c>
      <c r="E43" s="32">
        <f t="shared" si="2"/>
        <v>108.0946692415049</v>
      </c>
      <c r="F43" s="19">
        <f t="shared" si="2"/>
        <v>137.322283999315</v>
      </c>
      <c r="G43" s="13">
        <f t="shared" si="2"/>
        <v>140.03572216869998</v>
      </c>
      <c r="H43" s="18">
        <f t="shared" si="2"/>
        <v>139.006907383765</v>
      </c>
      <c r="I43" s="80"/>
      <c r="J43" s="83"/>
      <c r="K43" s="35" t="s">
        <v>16</v>
      </c>
      <c r="L43" s="64">
        <f t="shared" si="1"/>
        <v>4.4952792693603964E-2</v>
      </c>
      <c r="M43" s="65">
        <f t="shared" si="1"/>
        <v>4.7428965518458335E-2</v>
      </c>
      <c r="N43" s="64">
        <f t="shared" si="1"/>
        <v>0.33064228681506785</v>
      </c>
      <c r="O43" s="65">
        <f t="shared" si="1"/>
        <v>0.3569352923323641</v>
      </c>
      <c r="P43" s="66">
        <f t="shared" si="1"/>
        <v>0.34696615681942822</v>
      </c>
    </row>
    <row r="44" spans="1:16" ht="15" thickBot="1" x14ac:dyDescent="0.35">
      <c r="A44" s="80"/>
      <c r="B44" s="84"/>
      <c r="C44" s="9" t="s">
        <v>15</v>
      </c>
      <c r="D44" s="19">
        <f t="shared" si="2"/>
        <v>75.272739369410033</v>
      </c>
      <c r="E44" s="32">
        <f t="shared" si="2"/>
        <v>75.401742563659127</v>
      </c>
      <c r="F44" s="19">
        <f t="shared" si="2"/>
        <v>104.04209475391497</v>
      </c>
      <c r="G44" s="13">
        <f t="shared" si="2"/>
        <v>105.62911225153994</v>
      </c>
      <c r="H44" s="18">
        <f t="shared" si="2"/>
        <v>106.54270428920495</v>
      </c>
      <c r="I44" s="80"/>
      <c r="J44" s="84"/>
      <c r="K44" s="9" t="s">
        <v>15</v>
      </c>
      <c r="L44" s="64">
        <f t="shared" si="1"/>
        <v>0.27061299060649197</v>
      </c>
      <c r="M44" s="65">
        <f t="shared" si="1"/>
        <v>0.26936295965446583</v>
      </c>
      <c r="N44" s="64">
        <f t="shared" si="1"/>
        <v>8.1598328867729039E-3</v>
      </c>
      <c r="O44" s="65">
        <f t="shared" si="1"/>
        <v>2.3537909414146643E-2</v>
      </c>
      <c r="P44" s="66">
        <f t="shared" si="1"/>
        <v>3.2390545438032416E-2</v>
      </c>
    </row>
    <row r="45" spans="1:16" x14ac:dyDescent="0.3">
      <c r="A45" s="80"/>
      <c r="B45" s="90" t="s">
        <v>6</v>
      </c>
      <c r="C45" s="30" t="s">
        <v>18</v>
      </c>
      <c r="D45" s="20">
        <f t="shared" si="2"/>
        <v>75.1420617012501</v>
      </c>
      <c r="E45" s="31">
        <f t="shared" si="2"/>
        <v>75.241556444649973</v>
      </c>
      <c r="F45" s="20">
        <f t="shared" si="2"/>
        <v>101.11234773503497</v>
      </c>
      <c r="G45" s="12">
        <f t="shared" si="2"/>
        <v>103.43325347896496</v>
      </c>
      <c r="H45" s="17">
        <f t="shared" si="2"/>
        <v>103.38511185466496</v>
      </c>
      <c r="I45" s="80"/>
      <c r="J45" s="90" t="s">
        <v>6</v>
      </c>
      <c r="K45" s="30" t="s">
        <v>18</v>
      </c>
      <c r="L45" s="61">
        <f t="shared" si="1"/>
        <v>0.27187924708090988</v>
      </c>
      <c r="M45" s="62">
        <f t="shared" si="1"/>
        <v>0.27091515073013595</v>
      </c>
      <c r="N45" s="61">
        <f t="shared" si="1"/>
        <v>2.0229188614002226E-2</v>
      </c>
      <c r="O45" s="62">
        <f t="shared" si="1"/>
        <v>2.2602081295053709E-3</v>
      </c>
      <c r="P45" s="63">
        <f t="shared" si="1"/>
        <v>1.7937195219472194E-3</v>
      </c>
    </row>
    <row r="46" spans="1:16" x14ac:dyDescent="0.3">
      <c r="A46" s="80"/>
      <c r="B46" s="91"/>
      <c r="C46" s="35" t="s">
        <v>20</v>
      </c>
      <c r="D46" s="19">
        <f t="shared" si="2"/>
        <v>77.134231643290036</v>
      </c>
      <c r="E46" s="32">
        <f t="shared" si="2"/>
        <v>77.218187629290014</v>
      </c>
      <c r="F46" s="19">
        <f t="shared" si="2"/>
        <v>103.92659504571509</v>
      </c>
      <c r="G46" s="13">
        <f t="shared" si="2"/>
        <v>105.70034209578012</v>
      </c>
      <c r="H46" s="18">
        <f t="shared" si="2"/>
        <v>106.07503128890994</v>
      </c>
      <c r="I46" s="80"/>
      <c r="J46" s="91"/>
      <c r="K46" s="35" t="s">
        <v>20</v>
      </c>
      <c r="L46" s="64">
        <f t="shared" si="1"/>
        <v>0.2525752747743214</v>
      </c>
      <c r="M46" s="65">
        <f t="shared" si="1"/>
        <v>0.25176174777819754</v>
      </c>
      <c r="N46" s="64">
        <f t="shared" si="1"/>
        <v>7.0406496677818458E-3</v>
      </c>
      <c r="O46" s="65">
        <f t="shared" si="1"/>
        <v>2.4228121083140625E-2</v>
      </c>
      <c r="P46" s="66">
        <f t="shared" si="1"/>
        <v>2.7858830318894745E-2</v>
      </c>
    </row>
    <row r="47" spans="1:16" ht="84.6" customHeight="1" thickBot="1" x14ac:dyDescent="0.35">
      <c r="A47" s="81"/>
      <c r="B47" s="92"/>
      <c r="C47" s="9" t="s">
        <v>19</v>
      </c>
      <c r="D47" s="24">
        <f t="shared" si="2"/>
        <v>77.288193435635094</v>
      </c>
      <c r="E47" s="33">
        <f t="shared" si="2"/>
        <v>77.374049184159958</v>
      </c>
      <c r="F47" s="24">
        <f t="shared" si="2"/>
        <v>104.03209569326998</v>
      </c>
      <c r="G47" s="21">
        <f>2*G10-G32</f>
        <v>105.82280830396019</v>
      </c>
      <c r="H47" s="23">
        <f t="shared" si="2"/>
        <v>106.05135919277006</v>
      </c>
      <c r="I47" s="81"/>
      <c r="J47" s="92"/>
      <c r="K47" s="9" t="s">
        <v>19</v>
      </c>
      <c r="L47" s="67">
        <f t="shared" si="1"/>
        <v>0.25108339694152043</v>
      </c>
      <c r="M47" s="68">
        <f t="shared" si="1"/>
        <v>0.25025146139379889</v>
      </c>
      <c r="N47" s="67">
        <f t="shared" si="1"/>
        <v>8.062942764243965E-3</v>
      </c>
      <c r="O47" s="68">
        <f t="shared" si="1"/>
        <v>2.5414809146901009E-2</v>
      </c>
      <c r="P47" s="69">
        <f t="shared" si="1"/>
        <v>2.7629449542345558E-2</v>
      </c>
    </row>
    <row r="50" spans="1:8" ht="18" x14ac:dyDescent="0.35">
      <c r="A50" t="s">
        <v>28</v>
      </c>
      <c r="B50" s="75">
        <v>103.2</v>
      </c>
      <c r="C50" s="74" t="s">
        <v>29</v>
      </c>
    </row>
    <row r="53" spans="1:8" ht="21.6" thickBot="1" x14ac:dyDescent="0.35">
      <c r="A53" s="37" t="s">
        <v>24</v>
      </c>
    </row>
    <row r="54" spans="1:8" ht="15" thickBot="1" x14ac:dyDescent="0.35">
      <c r="A54" s="10" t="s">
        <v>10</v>
      </c>
      <c r="D54" s="76" t="s">
        <v>0</v>
      </c>
      <c r="E54" s="77"/>
      <c r="F54" s="77"/>
      <c r="G54" s="77"/>
      <c r="H54" s="78"/>
    </row>
    <row r="55" spans="1:8" x14ac:dyDescent="0.3">
      <c r="D55" s="7"/>
      <c r="F55" s="76" t="s">
        <v>13</v>
      </c>
      <c r="G55" s="77"/>
      <c r="H55" s="78"/>
    </row>
    <row r="56" spans="1:8" ht="16.2" thickBot="1" x14ac:dyDescent="0.35">
      <c r="B56" s="1"/>
      <c r="C56" s="1"/>
      <c r="D56" s="8" t="s">
        <v>1</v>
      </c>
      <c r="E56" s="9" t="s">
        <v>7</v>
      </c>
      <c r="F56" s="8" t="s">
        <v>8</v>
      </c>
      <c r="G56" s="9" t="s">
        <v>11</v>
      </c>
      <c r="H56" s="5" t="s">
        <v>12</v>
      </c>
    </row>
    <row r="57" spans="1:8" x14ac:dyDescent="0.3">
      <c r="A57" s="79" t="s">
        <v>4</v>
      </c>
      <c r="B57" s="82" t="s">
        <v>5</v>
      </c>
      <c r="C57" s="3" t="s">
        <v>14</v>
      </c>
      <c r="D57" s="20">
        <f xml:space="preserve"> -0.49823291*627.5</f>
        <v>-312.641151025</v>
      </c>
      <c r="E57" s="25">
        <f>-0.49823290920158*627.5</f>
        <v>-312.64115052399143</v>
      </c>
      <c r="F57" s="20">
        <f>-0.500272784191*627.5</f>
        <v>-313.92117207985245</v>
      </c>
      <c r="G57" s="16">
        <f>-0.516817233085*627.5</f>
        <v>-324.30281376083752</v>
      </c>
      <c r="H57" s="17">
        <f>-0.497340882376*627.5</f>
        <v>-312.08140369094002</v>
      </c>
    </row>
    <row r="58" spans="1:8" x14ac:dyDescent="0.3">
      <c r="A58" s="80"/>
      <c r="B58" s="83"/>
      <c r="C58" s="4" t="s">
        <v>16</v>
      </c>
      <c r="D58" s="19">
        <f>-0.46658185*627.5</f>
        <v>-292.78011087499999</v>
      </c>
      <c r="E58" s="26">
        <f>-0.466581850384*627.5</f>
        <v>-292.78011111596004</v>
      </c>
      <c r="F58" s="19">
        <f>-0.467532587977*627.5</f>
        <v>-293.37669895556746</v>
      </c>
      <c r="G58" s="13">
        <f>-0.483527215805*627.5</f>
        <v>-303.4133279176375</v>
      </c>
      <c r="H58" s="18">
        <f>-0.465576192372 *627.5</f>
        <v>-292.14906071343</v>
      </c>
    </row>
    <row r="59" spans="1:8" ht="15" thickBot="1" x14ac:dyDescent="0.35">
      <c r="A59" s="80"/>
      <c r="B59" s="84"/>
      <c r="C59" s="5" t="s">
        <v>15</v>
      </c>
      <c r="D59" s="19">
        <f>-0.49619864*627.5</f>
        <v>-311.36464660000001</v>
      </c>
      <c r="E59" s="26">
        <f>-0.49619863601816*627.5</f>
        <v>-311.36464410139541</v>
      </c>
      <c r="F59" s="19">
        <f>-0.497311436802*627.5</f>
        <v>-312.06292659325499</v>
      </c>
      <c r="G59" s="13">
        <f>-0.514149738247*627.5</f>
        <v>-322.62896074999253</v>
      </c>
      <c r="H59" s="18">
        <f>-0.494627445684*627.5</f>
        <v>-310.37872216671002</v>
      </c>
    </row>
    <row r="60" spans="1:8" x14ac:dyDescent="0.3">
      <c r="A60" s="80"/>
      <c r="B60" s="85" t="s">
        <v>6</v>
      </c>
      <c r="C60" s="6" t="s">
        <v>18</v>
      </c>
      <c r="D60" s="20">
        <f>-0.4992784*627.5</f>
        <v>-313.29719599999999</v>
      </c>
      <c r="E60" s="25">
        <f xml:space="preserve"> -0.49927840342*627.5</f>
        <v>-313.29719814604999</v>
      </c>
      <c r="F60" s="20">
        <f>-0.501257936933 *627.5</f>
        <v>-314.53935542545753</v>
      </c>
      <c r="G60" s="28">
        <f>-0.517799846662*627.5</f>
        <v>-324.91940378040499</v>
      </c>
      <c r="H60" s="15">
        <f>-0.498866725052*627.5</f>
        <v>-313.03886997013001</v>
      </c>
    </row>
    <row r="61" spans="1:8" x14ac:dyDescent="0.3">
      <c r="A61" s="80"/>
      <c r="B61" s="86"/>
      <c r="C61" s="4" t="s">
        <v>20</v>
      </c>
      <c r="D61" s="19">
        <f>-0.49980981 *627.5</f>
        <v>-313.63065577500004</v>
      </c>
      <c r="E61" s="26">
        <f>-0.499809811302*627.5</f>
        <v>-313.63065659200498</v>
      </c>
      <c r="F61" s="72">
        <f xml:space="preserve"> -0.502156338827*627.5</f>
        <v>-315.10310261394244</v>
      </c>
      <c r="G61" s="73">
        <f>-0.518515925974*627.5</f>
        <v>-325.36874354868496</v>
      </c>
      <c r="H61" s="18">
        <f>-0.499583571008*627.5</f>
        <v>-313.48869080752002</v>
      </c>
    </row>
    <row r="62" spans="1:8" ht="15" thickBot="1" x14ac:dyDescent="0.35">
      <c r="A62" s="81"/>
      <c r="B62" s="87"/>
      <c r="C62" s="5" t="s">
        <v>19</v>
      </c>
      <c r="D62" s="24">
        <f>-0.49994557*627.5</f>
        <v>-313.71584517500003</v>
      </c>
      <c r="E62" s="27">
        <f>-0.499945568583*627.5</f>
        <v>-313.71584428583247</v>
      </c>
      <c r="F62" s="24">
        <f>-0.502346047476*627.5</f>
        <v>-315.22214479118998</v>
      </c>
      <c r="G62" s="29">
        <f>-0.518680937948*627.5</f>
        <v>-325.47228856236995</v>
      </c>
      <c r="H62" s="23">
        <f>-0.499828880926*627.5</f>
        <v>-313.64262278106497</v>
      </c>
    </row>
    <row r="64" spans="1:8" ht="15" thickBot="1" x14ac:dyDescent="0.35"/>
    <row r="65" spans="1:8" ht="15" thickBot="1" x14ac:dyDescent="0.35">
      <c r="A65" s="10" t="s">
        <v>10</v>
      </c>
      <c r="D65" s="76" t="s">
        <v>0</v>
      </c>
      <c r="E65" s="77"/>
      <c r="F65" s="77"/>
      <c r="G65" s="77"/>
      <c r="H65" s="78"/>
    </row>
    <row r="66" spans="1:8" x14ac:dyDescent="0.3">
      <c r="D66" s="7"/>
      <c r="F66" s="76" t="s">
        <v>13</v>
      </c>
      <c r="G66" s="77"/>
      <c r="H66" s="78"/>
    </row>
    <row r="67" spans="1:8" ht="16.2" thickBot="1" x14ac:dyDescent="0.35">
      <c r="B67" s="1"/>
      <c r="C67" s="1"/>
      <c r="D67" s="8" t="s">
        <v>1</v>
      </c>
      <c r="E67" s="9" t="s">
        <v>7</v>
      </c>
      <c r="F67" s="8" t="s">
        <v>8</v>
      </c>
      <c r="G67" s="9" t="s">
        <v>11</v>
      </c>
      <c r="H67" s="5" t="s">
        <v>12</v>
      </c>
    </row>
    <row r="68" spans="1:8" x14ac:dyDescent="0.3">
      <c r="A68" s="79" t="s">
        <v>4</v>
      </c>
      <c r="B68" s="82" t="s">
        <v>5</v>
      </c>
      <c r="C68" s="3" t="s">
        <v>14</v>
      </c>
      <c r="D68" s="20"/>
      <c r="E68" s="25"/>
      <c r="F68" s="20"/>
      <c r="G68" s="16"/>
      <c r="H68" s="17"/>
    </row>
    <row r="69" spans="1:8" x14ac:dyDescent="0.3">
      <c r="A69" s="80"/>
      <c r="B69" s="83"/>
      <c r="C69" s="4" t="s">
        <v>16</v>
      </c>
      <c r="D69" s="19"/>
      <c r="E69" s="26"/>
      <c r="F69" s="19"/>
      <c r="G69" s="13"/>
      <c r="H69" s="18"/>
    </row>
    <row r="70" spans="1:8" ht="15" thickBot="1" x14ac:dyDescent="0.35">
      <c r="A70" s="80"/>
      <c r="B70" s="84"/>
      <c r="C70" s="5" t="s">
        <v>15</v>
      </c>
      <c r="D70" s="19"/>
      <c r="E70" s="26"/>
      <c r="F70" s="19"/>
      <c r="G70" s="13"/>
      <c r="H70" s="18"/>
    </row>
    <row r="71" spans="1:8" x14ac:dyDescent="0.3">
      <c r="A71" s="80"/>
      <c r="B71" s="85" t="s">
        <v>6</v>
      </c>
      <c r="C71" s="6" t="s">
        <v>18</v>
      </c>
      <c r="D71" s="20"/>
      <c r="E71" s="25"/>
      <c r="F71" s="20"/>
      <c r="G71" s="28"/>
      <c r="H71" s="15"/>
    </row>
    <row r="72" spans="1:8" x14ac:dyDescent="0.3">
      <c r="A72" s="80"/>
      <c r="B72" s="86"/>
      <c r="C72" s="4" t="s">
        <v>20</v>
      </c>
      <c r="D72" s="19"/>
      <c r="E72" s="26"/>
      <c r="F72" s="72"/>
      <c r="G72" s="73"/>
      <c r="H72" s="18"/>
    </row>
    <row r="73" spans="1:8" ht="15" thickBot="1" x14ac:dyDescent="0.35">
      <c r="A73" s="81"/>
      <c r="B73" s="87"/>
      <c r="C73" s="5" t="s">
        <v>19</v>
      </c>
      <c r="D73" s="24"/>
      <c r="E73" s="27"/>
      <c r="F73" s="24"/>
      <c r="G73" s="29"/>
      <c r="H73" s="23"/>
    </row>
  </sheetData>
  <mergeCells count="31">
    <mergeCell ref="D65:H65"/>
    <mergeCell ref="F66:H66"/>
    <mergeCell ref="A68:A73"/>
    <mergeCell ref="B68:B70"/>
    <mergeCell ref="B71:B73"/>
    <mergeCell ref="L39:P39"/>
    <mergeCell ref="N40:P40"/>
    <mergeCell ref="I42:I47"/>
    <mergeCell ref="J42:J44"/>
    <mergeCell ref="J45:J47"/>
    <mergeCell ref="D39:H39"/>
    <mergeCell ref="F40:H40"/>
    <mergeCell ref="A42:A47"/>
    <mergeCell ref="B42:B44"/>
    <mergeCell ref="B45:B47"/>
    <mergeCell ref="D13:G13"/>
    <mergeCell ref="D24:H24"/>
    <mergeCell ref="F25:H25"/>
    <mergeCell ref="A27:A32"/>
    <mergeCell ref="B27:B29"/>
    <mergeCell ref="B30:B32"/>
    <mergeCell ref="F3:H3"/>
    <mergeCell ref="D2:H2"/>
    <mergeCell ref="B5:B7"/>
    <mergeCell ref="B8:B10"/>
    <mergeCell ref="A5:A10"/>
    <mergeCell ref="D54:H54"/>
    <mergeCell ref="F55:H55"/>
    <mergeCell ref="A57:A62"/>
    <mergeCell ref="B57:B59"/>
    <mergeCell ref="B60:B62"/>
  </mergeCells>
  <conditionalFormatting sqref="L42:P47">
    <cfRule type="cellIs" dxfId="3" priority="1" operator="lessThan">
      <formula>0.05</formula>
    </cfRule>
    <cfRule type="cellIs" dxfId="2" priority="2" operator="greaterThan">
      <formula>0.17936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44AE-1FFC-456C-94ED-E98BF331C3CF}">
  <dimension ref="A1:P69"/>
  <sheetViews>
    <sheetView topLeftCell="A24" workbookViewId="0">
      <selection activeCell="J65" sqref="J65"/>
    </sheetView>
  </sheetViews>
  <sheetFormatPr defaultRowHeight="14.4" x14ac:dyDescent="0.3"/>
  <cols>
    <col min="1" max="1" width="24.77734375" customWidth="1"/>
    <col min="2" max="2" width="8.88671875" customWidth="1"/>
    <col min="3" max="3" width="21.77734375" bestFit="1" customWidth="1"/>
    <col min="4" max="4" width="11.109375" bestFit="1" customWidth="1"/>
    <col min="5" max="5" width="11.21875" bestFit="1" customWidth="1"/>
    <col min="6" max="6" width="11.109375" bestFit="1" customWidth="1"/>
    <col min="7" max="7" width="12.21875" bestFit="1" customWidth="1"/>
    <col min="8" max="8" width="12.109375" bestFit="1" customWidth="1"/>
    <col min="9" max="9" width="7.44140625" customWidth="1"/>
    <col min="11" max="11" width="21.21875" customWidth="1"/>
  </cols>
  <sheetData>
    <row r="1" spans="1:11" ht="21.6" thickBot="1" x14ac:dyDescent="0.35">
      <c r="A1" s="37" t="s">
        <v>23</v>
      </c>
      <c r="G1" s="10" t="s">
        <v>2</v>
      </c>
      <c r="H1" s="10" t="s">
        <v>3</v>
      </c>
      <c r="K1" s="2" t="s">
        <v>9</v>
      </c>
    </row>
    <row r="2" spans="1:11" ht="15" thickBot="1" x14ac:dyDescent="0.35">
      <c r="A2" s="10" t="s">
        <v>10</v>
      </c>
      <c r="D2" s="76" t="s">
        <v>0</v>
      </c>
      <c r="E2" s="77"/>
      <c r="F2" s="77"/>
      <c r="G2" s="77"/>
      <c r="H2" s="78"/>
    </row>
    <row r="3" spans="1:11" x14ac:dyDescent="0.3">
      <c r="D3" s="7"/>
      <c r="F3" s="76" t="s">
        <v>13</v>
      </c>
      <c r="G3" s="77"/>
      <c r="H3" s="78"/>
    </row>
    <row r="4" spans="1:11" ht="16.2" thickBot="1" x14ac:dyDescent="0.35">
      <c r="B4" s="1"/>
      <c r="C4" s="1"/>
      <c r="D4" s="8" t="s">
        <v>1</v>
      </c>
      <c r="E4" s="9" t="s">
        <v>7</v>
      </c>
      <c r="F4" s="8" t="s">
        <v>8</v>
      </c>
      <c r="G4" s="9" t="s">
        <v>11</v>
      </c>
      <c r="H4" s="5" t="s">
        <v>12</v>
      </c>
      <c r="I4" s="1"/>
      <c r="K4" s="35" t="s">
        <v>30</v>
      </c>
    </row>
    <row r="5" spans="1:11" x14ac:dyDescent="0.3">
      <c r="A5" s="79" t="s">
        <v>4</v>
      </c>
      <c r="B5" s="82" t="s">
        <v>5</v>
      </c>
      <c r="C5" s="3" t="s">
        <v>14</v>
      </c>
      <c r="D5" s="38">
        <f xml:space="preserve"> -0.498232909202*627.5</f>
        <v>-312.64115052425501</v>
      </c>
      <c r="E5" s="44">
        <f>-0.49823290920158*627.5</f>
        <v>-312.64115052399143</v>
      </c>
      <c r="F5" s="38">
        <f>-0.500272784191*627.5</f>
        <v>-313.92117207985245</v>
      </c>
      <c r="G5" s="44">
        <f>-0.516817233085*627.5</f>
        <v>-324.30281376083752</v>
      </c>
      <c r="H5" s="39">
        <f>-0.497340882376*627.5</f>
        <v>-312.08140369094002</v>
      </c>
      <c r="I5" s="1"/>
    </row>
    <row r="6" spans="1:11" x14ac:dyDescent="0.3">
      <c r="A6" s="80"/>
      <c r="B6" s="83"/>
      <c r="C6" s="4" t="s">
        <v>16</v>
      </c>
      <c r="D6" s="40">
        <f>-0.466581850384*627.5</f>
        <v>-292.78011111596004</v>
      </c>
      <c r="E6" s="45">
        <f>-0.466581850384*627.5</f>
        <v>-292.78011111596004</v>
      </c>
      <c r="F6" s="40">
        <f>-0.467532587977*627.5</f>
        <v>-293.37669895556746</v>
      </c>
      <c r="G6" s="45">
        <f>-0.483527215805*627.5</f>
        <v>-303.4133279176375</v>
      </c>
      <c r="H6" s="41">
        <f>-0.465576192372 *627.5</f>
        <v>-292.14906071343</v>
      </c>
      <c r="I6" s="1"/>
    </row>
    <row r="7" spans="1:11" ht="15" thickBot="1" x14ac:dyDescent="0.35">
      <c r="A7" s="80"/>
      <c r="B7" s="84"/>
      <c r="C7" s="5" t="s">
        <v>15</v>
      </c>
      <c r="D7" s="40">
        <f>-0.496198636018 *627.5</f>
        <v>-311.36464410129503</v>
      </c>
      <c r="E7" s="45">
        <f>-0.49619863601816*627.5</f>
        <v>-311.36464410139541</v>
      </c>
      <c r="F7" s="40">
        <f>-0.497311436802*627.5</f>
        <v>-312.06292659325499</v>
      </c>
      <c r="G7" s="45">
        <f>-0.514149738247*627.5</f>
        <v>-322.62896074999253</v>
      </c>
      <c r="H7" s="41">
        <f>-0.494627445684*627.5</f>
        <v>-310.37872216671002</v>
      </c>
      <c r="I7" s="1"/>
    </row>
    <row r="8" spans="1:11" x14ac:dyDescent="0.3">
      <c r="A8" s="80"/>
      <c r="B8" s="85" t="s">
        <v>6</v>
      </c>
      <c r="C8" s="6" t="s">
        <v>18</v>
      </c>
      <c r="D8" s="38">
        <f>-0.49927840342*627.5</f>
        <v>-313.29719814604999</v>
      </c>
      <c r="E8" s="44">
        <f xml:space="preserve"> -0.49927840342*627.5</f>
        <v>-313.29719814604999</v>
      </c>
      <c r="F8" s="38">
        <f>-0.501257936933 *627.5</f>
        <v>-314.53935542545753</v>
      </c>
      <c r="G8" s="44">
        <f>-0.517799846662*627.5</f>
        <v>-324.91940378040499</v>
      </c>
      <c r="H8" s="39">
        <f>-0.498866725052*627.5</f>
        <v>-313.03886997013001</v>
      </c>
      <c r="I8" s="1"/>
    </row>
    <row r="9" spans="1:11" x14ac:dyDescent="0.3">
      <c r="A9" s="80"/>
      <c r="B9" s="86"/>
      <c r="C9" s="4" t="s">
        <v>20</v>
      </c>
      <c r="D9" s="40">
        <f>-0.499809811302 *627.5</f>
        <v>-313.63065659200498</v>
      </c>
      <c r="E9" s="45">
        <f>-0.499809811302*627.5</f>
        <v>-313.63065659200498</v>
      </c>
      <c r="F9" s="40">
        <f xml:space="preserve"> -0.502156338827*627.5</f>
        <v>-315.10310261394244</v>
      </c>
      <c r="G9" s="45">
        <f>-0.518515925974*627.5</f>
        <v>-325.36874354868496</v>
      </c>
      <c r="H9" s="41">
        <f>-0.499583571008*627.5</f>
        <v>-313.48869080752002</v>
      </c>
      <c r="I9" s="1"/>
    </row>
    <row r="10" spans="1:11" ht="48" customHeight="1" thickBot="1" x14ac:dyDescent="0.35">
      <c r="A10" s="81"/>
      <c r="B10" s="87"/>
      <c r="C10" s="5" t="s">
        <v>19</v>
      </c>
      <c r="D10" s="42">
        <f>-0.499945568583*627.5</f>
        <v>-313.71584428583247</v>
      </c>
      <c r="E10" s="47">
        <f>-0.499945568583*627.5</f>
        <v>-313.71584428583247</v>
      </c>
      <c r="F10" s="42">
        <f>-0.502346047476*627.5</f>
        <v>-315.22214479118998</v>
      </c>
      <c r="G10" s="47">
        <f>-0.518680937948*627.5</f>
        <v>-325.47228856236995</v>
      </c>
      <c r="H10" s="43">
        <f>-0.499828880926*627.5</f>
        <v>-313.64262278106497</v>
      </c>
      <c r="I10" s="1"/>
    </row>
    <row r="11" spans="1:11" x14ac:dyDescent="0.3">
      <c r="A11" s="11"/>
      <c r="B11" s="1"/>
      <c r="D11" s="1"/>
      <c r="E11" s="1"/>
      <c r="F11" s="1"/>
      <c r="G11" s="1"/>
      <c r="H11" s="1"/>
      <c r="I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11" x14ac:dyDescent="0.3">
      <c r="A13" s="1"/>
      <c r="B13" s="1"/>
      <c r="C13" s="1"/>
      <c r="D13" s="88" t="s">
        <v>21</v>
      </c>
      <c r="E13" s="89"/>
      <c r="F13" s="89"/>
      <c r="G13" s="89"/>
      <c r="H13" s="1"/>
      <c r="I13" s="1"/>
    </row>
    <row r="14" spans="1:11" x14ac:dyDescent="0.3">
      <c r="A14" s="1"/>
      <c r="B14" s="1"/>
      <c r="C14" s="1"/>
      <c r="D14" s="14" t="s">
        <v>17</v>
      </c>
      <c r="E14" s="1"/>
      <c r="F14" s="1"/>
      <c r="G14" s="1"/>
      <c r="H14" s="1"/>
      <c r="I14" s="1"/>
    </row>
    <row r="26" spans="1:8" ht="15" thickBot="1" x14ac:dyDescent="0.35"/>
    <row r="27" spans="1:8" ht="15" thickBot="1" x14ac:dyDescent="0.35">
      <c r="A27" s="10" t="s">
        <v>10</v>
      </c>
      <c r="D27" s="76" t="s">
        <v>0</v>
      </c>
      <c r="E27" s="77"/>
      <c r="F27" s="77"/>
      <c r="G27" s="77"/>
      <c r="H27" s="78"/>
    </row>
    <row r="28" spans="1:8" x14ac:dyDescent="0.3">
      <c r="D28" s="7"/>
      <c r="F28" s="76" t="s">
        <v>13</v>
      </c>
      <c r="G28" s="77"/>
      <c r="H28" s="78"/>
    </row>
    <row r="29" spans="1:8" ht="16.2" thickBot="1" x14ac:dyDescent="0.35">
      <c r="B29" s="1"/>
      <c r="C29" s="1"/>
      <c r="D29" s="8" t="s">
        <v>1</v>
      </c>
      <c r="E29" s="9" t="s">
        <v>7</v>
      </c>
      <c r="F29" s="8" t="s">
        <v>8</v>
      </c>
      <c r="G29" s="9" t="s">
        <v>11</v>
      </c>
      <c r="H29" s="5" t="s">
        <v>12</v>
      </c>
    </row>
    <row r="30" spans="1:8" x14ac:dyDescent="0.3">
      <c r="A30" s="79" t="s">
        <v>4</v>
      </c>
      <c r="B30" s="82" t="s">
        <v>5</v>
      </c>
      <c r="C30" s="3" t="s">
        <v>14</v>
      </c>
      <c r="D30" s="38">
        <f>(0.030984-39.5666984832)  *627.5</f>
        <v>-24808.660838208001</v>
      </c>
      <c r="E30" s="44">
        <f>(0.030774-39.5666833535 )*627.5</f>
        <v>-24808.783119321248</v>
      </c>
      <c r="F30" s="38">
        <f>(0.029814-39.8473336607)*627.5</f>
        <v>-24985.493587089251</v>
      </c>
      <c r="G30" s="44">
        <f>(0.029923-40.0072035689)*627.5</f>
        <v>-25085.743556984755</v>
      </c>
      <c r="H30" s="39">
        <f>(0.029763-39.8301310426) *627.5</f>
        <v>-24974.730946731499</v>
      </c>
    </row>
    <row r="31" spans="1:8" x14ac:dyDescent="0.3">
      <c r="A31" s="80"/>
      <c r="B31" s="83"/>
      <c r="C31" s="4" t="s">
        <v>16</v>
      </c>
      <c r="D31" s="40">
        <f>(0.034579-39.077009307)*627.5</f>
        <v>-24499.125017642498</v>
      </c>
      <c r="E31" s="45">
        <f>(0.033325-39.0765380622)*627.5</f>
        <v>-24499.616196530504</v>
      </c>
      <c r="F31" s="40">
        <f xml:space="preserve"> (0.031578-39.3442228524 )*627.5</f>
        <v>-24668.684644880999</v>
      </c>
      <c r="G31" s="45">
        <f>(0.031895-39.5102347911) *627.5</f>
        <v>-24772.65821891525</v>
      </c>
      <c r="H31" s="41">
        <f>(0.031815-39.3362618546 )*627.5</f>
        <v>-24663.540401261496</v>
      </c>
    </row>
    <row r="32" spans="1:8" ht="15" thickBot="1" x14ac:dyDescent="0.35">
      <c r="A32" s="80"/>
      <c r="B32" s="84"/>
      <c r="C32" s="5" t="s">
        <v>15</v>
      </c>
      <c r="D32" s="40">
        <f xml:space="preserve"> (0.031026-39.3426099133 )*627.5</f>
        <v>-24668.018905595753</v>
      </c>
      <c r="E32" s="45">
        <f>(0.030385-39.3424644432 )*627.5</f>
        <v>-24668.329850607999</v>
      </c>
      <c r="F32" s="40">
        <f>(0.029894-39.6222384819) *627.5</f>
        <v>-24844.196162392251</v>
      </c>
      <c r="G32" s="45">
        <f>(0.029975-39.7839160643)*627.5</f>
        <v>-24945.59801784825</v>
      </c>
      <c r="H32" s="41">
        <f>(0.029789-39.6041694382 )*627.5</f>
        <v>-24832.9237249705</v>
      </c>
    </row>
    <row r="33" spans="1:8" x14ac:dyDescent="0.3">
      <c r="A33" s="80"/>
      <c r="B33" s="85" t="s">
        <v>6</v>
      </c>
      <c r="C33" s="6" t="s">
        <v>18</v>
      </c>
      <c r="D33" s="38">
        <f>(0.030589-39.5638172283 )*627.5</f>
        <v>-24807.100713258253</v>
      </c>
      <c r="E33" s="44">
        <f xml:space="preserve"> (0.030038-39.5636695904)*627.5</f>
        <v>-24807.353822976005</v>
      </c>
      <c r="F33" s="38">
        <f>(0.029373-39.8390647237) *627.5</f>
        <v>-24980.58155662175</v>
      </c>
      <c r="G33" s="44">
        <f>(0.029538-40.0014337093)*627.5</f>
        <v>-25082.364557585752</v>
      </c>
      <c r="H33" s="39">
        <f>(0.029277-39.8236233619)*627.5</f>
        <v>-24970.952342092249</v>
      </c>
    </row>
    <row r="34" spans="1:8" x14ac:dyDescent="0.3">
      <c r="A34" s="80"/>
      <c r="B34" s="86"/>
      <c r="C34" s="4" t="s">
        <v>20</v>
      </c>
      <c r="D34" s="40">
        <f>(0.030688-39.5776062692 ) *627.5</f>
        <v>-24815.691213923001</v>
      </c>
      <c r="E34" s="45">
        <f>(0.030279-39.5775806709 )*627.5</f>
        <v>-24815.93179848975</v>
      </c>
      <c r="F34" s="40">
        <f xml:space="preserve"> (0.029661-39.8586711277)*627.5</f>
        <v>-24992.703855131753</v>
      </c>
      <c r="G34" s="45">
        <f>(0.029731-40.0117650812)*627.5</f>
        <v>-25088.726385952999</v>
      </c>
      <c r="H34" s="41">
        <f>(0.029493-39.8395975496) *627.5</f>
        <v>-24980.840604874</v>
      </c>
    </row>
    <row r="35" spans="1:8" ht="38.4" customHeight="1" thickBot="1" x14ac:dyDescent="0.35">
      <c r="A35" s="81"/>
      <c r="B35" s="87"/>
      <c r="C35" s="5" t="s">
        <v>19</v>
      </c>
      <c r="D35" s="46"/>
      <c r="E35" s="47"/>
      <c r="F35" s="42"/>
      <c r="G35" s="47"/>
      <c r="H35" s="43"/>
    </row>
    <row r="39" spans="1:8" ht="15" thickBot="1" x14ac:dyDescent="0.35"/>
    <row r="40" spans="1:8" ht="15" thickBot="1" x14ac:dyDescent="0.35">
      <c r="A40" s="10" t="s">
        <v>10</v>
      </c>
      <c r="D40" s="76" t="s">
        <v>0</v>
      </c>
      <c r="E40" s="77"/>
      <c r="F40" s="77"/>
      <c r="G40" s="77"/>
      <c r="H40" s="78"/>
    </row>
    <row r="41" spans="1:8" x14ac:dyDescent="0.3">
      <c r="D41" s="7"/>
      <c r="F41" s="76" t="s">
        <v>13</v>
      </c>
      <c r="G41" s="77"/>
      <c r="H41" s="78"/>
    </row>
    <row r="42" spans="1:8" ht="16.2" thickBot="1" x14ac:dyDescent="0.35">
      <c r="B42" s="1"/>
      <c r="C42" s="1"/>
      <c r="D42" s="8" t="s">
        <v>1</v>
      </c>
      <c r="E42" s="9" t="s">
        <v>7</v>
      </c>
      <c r="F42" s="8" t="s">
        <v>8</v>
      </c>
      <c r="G42" s="9" t="s">
        <v>11</v>
      </c>
      <c r="H42" s="5" t="s">
        <v>12</v>
      </c>
    </row>
    <row r="43" spans="1:8" x14ac:dyDescent="0.3">
      <c r="A43" s="79" t="s">
        <v>4</v>
      </c>
      <c r="B43" s="82" t="s">
        <v>5</v>
      </c>
      <c r="C43" s="3" t="s">
        <v>14</v>
      </c>
      <c r="D43" s="38">
        <f xml:space="preserve"> (0.047254-40.2021305997 )*627.5</f>
        <v>-25197.185066311748</v>
      </c>
      <c r="E43" s="44">
        <f>(0.046261-40.2021184935 )*627.5</f>
        <v>-25197.800577171252</v>
      </c>
      <c r="F43" s="38">
        <f>(0.0448-40.5261380427)*627.5</f>
        <v>-25402.039621794247</v>
      </c>
      <c r="G43" s="44">
        <f>(0.044958-40.7066590632)*627.5</f>
        <v>-25515.217417158001</v>
      </c>
      <c r="H43" s="39">
        <f>(0.044782-40.5085585464 )*627.5</f>
        <v>-25391.019782866002</v>
      </c>
    </row>
    <row r="44" spans="1:8" x14ac:dyDescent="0.3">
      <c r="A44" s="80"/>
      <c r="B44" s="83"/>
      <c r="C44" s="4" t="s">
        <v>16</v>
      </c>
      <c r="D44" s="40">
        <f>(0.05405-39.7268635222 )*627.5</f>
        <v>-24894.690485180501</v>
      </c>
      <c r="E44" s="45">
        <f xml:space="preserve"> (0.046436-39.7260012511 )*627.5</f>
        <v>-24898.927195065251</v>
      </c>
      <c r="F44" s="40">
        <f xml:space="preserve"> (0.050092-40.0389199256)  *627.5</f>
        <v>-25092.989523313998</v>
      </c>
      <c r="G44" s="45">
        <f>(0.050394-40.226404886)*627.5</f>
        <v>-25210.446830965</v>
      </c>
      <c r="H44" s="41">
        <f>(0.049965-40.0318130225) *627.5</f>
        <v>-25088.609634118751</v>
      </c>
    </row>
    <row r="45" spans="1:8" ht="15" thickBot="1" x14ac:dyDescent="0.35">
      <c r="A45" s="80"/>
      <c r="B45" s="84"/>
      <c r="C45" s="5" t="s">
        <v>15</v>
      </c>
      <c r="D45" s="40">
        <f>(0.048013-39.9768773414 )*627.5</f>
        <v>-25055.362374228502</v>
      </c>
      <c r="E45" s="45">
        <f>(0.051256-39.9766373777) *627.5</f>
        <v>-25053.176814506751</v>
      </c>
      <c r="F45" s="40">
        <f>(0.045619-40.3015926123 )*627.5</f>
        <v>-25260.62344171825</v>
      </c>
      <c r="G45" s="45">
        <f>(0.045712-40.4841414103)*627.5</f>
        <v>-25375.114454963248</v>
      </c>
      <c r="H45" s="41">
        <f>(0.045559-40.2833894993) *627.5</f>
        <v>-25249.238638310751</v>
      </c>
    </row>
    <row r="46" spans="1:8" x14ac:dyDescent="0.3">
      <c r="A46" s="80"/>
      <c r="B46" s="85" t="s">
        <v>6</v>
      </c>
      <c r="C46" s="6" t="s">
        <v>18</v>
      </c>
      <c r="D46" s="38">
        <f>(0.046984-40.1987114251) *627.5</f>
        <v>-25195.208959250249</v>
      </c>
      <c r="E46" s="44">
        <f xml:space="preserve"> (0.045411-40.1985138419 )*627.5</f>
        <v>-25196.07203329225</v>
      </c>
      <c r="F46" s="38">
        <f>(0.04436-40.5163489705) *627.5</f>
        <v>-25396.173078988752</v>
      </c>
      <c r="G46" s="44">
        <f>(0.04457-40.6995730173) *627.5</f>
        <v>-25511.014393355748</v>
      </c>
      <c r="H46" s="39">
        <f>(0.044379-40.5014024594) *627.5</f>
        <v>-25386.782220773501</v>
      </c>
    </row>
    <row r="47" spans="1:8" x14ac:dyDescent="0.3">
      <c r="A47" s="80"/>
      <c r="B47" s="86"/>
      <c r="C47" s="4" t="s">
        <v>20</v>
      </c>
      <c r="D47" s="40">
        <f xml:space="preserve"> (0.046903-40.213465582  )*627.5</f>
        <v>-25204.518020205</v>
      </c>
      <c r="E47" s="45">
        <f>(0.045427-40.2134416627)*627.5</f>
        <v>-25205.429200844254</v>
      </c>
      <c r="F47" s="40">
        <f xml:space="preserve"> (0.044598-40.5583564777)*627.5</f>
        <v>-25422.38344475675</v>
      </c>
      <c r="G47" s="45">
        <f>(0.044693-40.7181389339) *627.5</f>
        <v>-25522.58732352225</v>
      </c>
      <c r="H47" s="41">
        <f>(0.044456-40.5187362914) *627.5</f>
        <v>-25397.610882853503</v>
      </c>
    </row>
    <row r="48" spans="1:8" ht="36" customHeight="1" thickBot="1" x14ac:dyDescent="0.35">
      <c r="A48" s="81"/>
      <c r="B48" s="87"/>
      <c r="C48" s="5" t="s">
        <v>19</v>
      </c>
      <c r="D48" s="42"/>
      <c r="E48" s="48"/>
      <c r="F48" s="42"/>
      <c r="G48" s="47"/>
      <c r="H48" s="43"/>
    </row>
    <row r="51" spans="1:16" ht="24" thickBot="1" x14ac:dyDescent="0.5">
      <c r="A51" s="70" t="s">
        <v>22</v>
      </c>
      <c r="J51" s="60" t="s">
        <v>25</v>
      </c>
    </row>
    <row r="52" spans="1:16" ht="15" thickBot="1" x14ac:dyDescent="0.35">
      <c r="A52" s="10" t="s">
        <v>10</v>
      </c>
      <c r="D52" s="76" t="s">
        <v>0</v>
      </c>
      <c r="E52" s="77"/>
      <c r="F52" s="77"/>
      <c r="G52" s="77"/>
      <c r="H52" s="78"/>
      <c r="I52" s="10"/>
      <c r="L52" s="76" t="s">
        <v>0</v>
      </c>
      <c r="M52" s="77"/>
      <c r="N52" s="77"/>
      <c r="O52" s="77"/>
      <c r="P52" s="78"/>
    </row>
    <row r="53" spans="1:16" x14ac:dyDescent="0.3">
      <c r="D53" s="7"/>
      <c r="F53" s="76" t="s">
        <v>13</v>
      </c>
      <c r="G53" s="77"/>
      <c r="H53" s="78"/>
      <c r="L53" s="7"/>
      <c r="N53" s="76" t="s">
        <v>13</v>
      </c>
      <c r="O53" s="77"/>
      <c r="P53" s="78"/>
    </row>
    <row r="54" spans="1:16" ht="16.2" thickBot="1" x14ac:dyDescent="0.35">
      <c r="B54" s="1"/>
      <c r="C54" s="1"/>
      <c r="D54" s="36" t="s">
        <v>1</v>
      </c>
      <c r="E54" s="35" t="s">
        <v>7</v>
      </c>
      <c r="F54" s="36" t="s">
        <v>8</v>
      </c>
      <c r="G54" s="35" t="s">
        <v>11</v>
      </c>
      <c r="H54" s="4" t="s">
        <v>12</v>
      </c>
      <c r="J54" s="1"/>
      <c r="K54" s="1"/>
      <c r="L54" s="36" t="s">
        <v>1</v>
      </c>
      <c r="M54" s="35" t="s">
        <v>7</v>
      </c>
      <c r="N54" s="36" t="s">
        <v>8</v>
      </c>
      <c r="O54" s="35" t="s">
        <v>11</v>
      </c>
      <c r="P54" s="4" t="s">
        <v>12</v>
      </c>
    </row>
    <row r="55" spans="1:16" x14ac:dyDescent="0.3">
      <c r="A55" s="79" t="s">
        <v>4</v>
      </c>
      <c r="B55" s="82" t="s">
        <v>5</v>
      </c>
      <c r="C55" s="34" t="s">
        <v>14</v>
      </c>
      <c r="D55" s="20">
        <f>D5+D30-D43</f>
        <v>75.883077579492237</v>
      </c>
      <c r="E55" s="12">
        <f t="shared" ref="E55:H55" si="0">E5+E30-E43</f>
        <v>76.376307326012466</v>
      </c>
      <c r="F55" s="20">
        <f t="shared" si="0"/>
        <v>102.62486262514358</v>
      </c>
      <c r="G55" s="12">
        <f t="shared" si="0"/>
        <v>105.17104641240803</v>
      </c>
      <c r="H55" s="17">
        <f t="shared" si="0"/>
        <v>104.20743244356345</v>
      </c>
      <c r="I55" s="79" t="s">
        <v>4</v>
      </c>
      <c r="J55" s="82" t="s">
        <v>5</v>
      </c>
      <c r="K55" s="34" t="s">
        <v>14</v>
      </c>
      <c r="L55" s="61">
        <f>ABS(D55-$B$62)/$B$62</f>
        <v>0.26541067202814872</v>
      </c>
      <c r="M55" s="62">
        <f t="shared" ref="M55:P59" si="1">ABS(E55-$B$62)/$B$62</f>
        <v>0.26063594069687834</v>
      </c>
      <c r="N55" s="61">
        <f t="shared" si="1"/>
        <v>6.5356957875742413E-3</v>
      </c>
      <c r="O55" s="62">
        <f t="shared" si="1"/>
        <v>1.8112743585750577E-2</v>
      </c>
      <c r="P55" s="63">
        <f t="shared" si="1"/>
        <v>8.7844379822212097E-3</v>
      </c>
    </row>
    <row r="56" spans="1:16" x14ac:dyDescent="0.3">
      <c r="A56" s="80"/>
      <c r="B56" s="83"/>
      <c r="C56" s="35" t="s">
        <v>16</v>
      </c>
      <c r="D56" s="19">
        <f t="shared" ref="D56:H59" si="2">D6+D31-D44</f>
        <v>102.78535642204224</v>
      </c>
      <c r="E56" s="13">
        <f t="shared" si="2"/>
        <v>106.53088741878673</v>
      </c>
      <c r="F56" s="19">
        <f t="shared" si="2"/>
        <v>130.92817947743242</v>
      </c>
      <c r="G56" s="13">
        <f t="shared" si="2"/>
        <v>134.37528413211112</v>
      </c>
      <c r="H56" s="18">
        <f t="shared" si="2"/>
        <v>132.92017214382577</v>
      </c>
      <c r="I56" s="80"/>
      <c r="J56" s="83"/>
      <c r="K56" s="35" t="s">
        <v>16</v>
      </c>
      <c r="L56" s="64">
        <f t="shared" ref="L56:L59" si="3">ABS(D56-$B$62)/$B$62</f>
        <v>4.9820288282454587E-3</v>
      </c>
      <c r="M56" s="65">
        <f t="shared" si="1"/>
        <v>3.1276741711391443E-2</v>
      </c>
      <c r="N56" s="64">
        <f t="shared" si="1"/>
        <v>0.26745575486381828</v>
      </c>
      <c r="O56" s="65">
        <f t="shared" si="1"/>
        <v>0.30082559663224706</v>
      </c>
      <c r="P56" s="66">
        <f t="shared" si="1"/>
        <v>0.28673932375436367</v>
      </c>
    </row>
    <row r="57" spans="1:16" ht="15" thickBot="1" x14ac:dyDescent="0.35">
      <c r="A57" s="80"/>
      <c r="B57" s="84"/>
      <c r="C57" s="9" t="s">
        <v>15</v>
      </c>
      <c r="D57" s="24">
        <f t="shared" si="2"/>
        <v>75.978824531455757</v>
      </c>
      <c r="E57" s="21">
        <f t="shared" si="2"/>
        <v>73.482319797356467</v>
      </c>
      <c r="F57" s="24">
        <f t="shared" si="2"/>
        <v>104.36435273274401</v>
      </c>
      <c r="G57" s="21">
        <f t="shared" si="2"/>
        <v>106.88747636500557</v>
      </c>
      <c r="H57" s="23">
        <f t="shared" si="2"/>
        <v>105.93619117353956</v>
      </c>
      <c r="I57" s="80"/>
      <c r="J57" s="84"/>
      <c r="K57" s="9" t="s">
        <v>15</v>
      </c>
      <c r="L57" s="64">
        <f t="shared" si="3"/>
        <v>0.26448378962772739</v>
      </c>
      <c r="M57" s="65">
        <f t="shared" si="1"/>
        <v>0.2886513088348841</v>
      </c>
      <c r="N57" s="64">
        <f t="shared" si="1"/>
        <v>1.0303511449603219E-2</v>
      </c>
      <c r="O57" s="65">
        <f t="shared" si="1"/>
        <v>3.4728716021351129E-2</v>
      </c>
      <c r="P57" s="66">
        <f t="shared" si="1"/>
        <v>2.551975966640424E-2</v>
      </c>
    </row>
    <row r="58" spans="1:16" x14ac:dyDescent="0.3">
      <c r="A58" s="80"/>
      <c r="B58" s="90" t="s">
        <v>6</v>
      </c>
      <c r="C58" s="30" t="s">
        <v>18</v>
      </c>
      <c r="D58" s="19">
        <f t="shared" si="2"/>
        <v>74.811047845945723</v>
      </c>
      <c r="E58" s="13">
        <f t="shared" si="2"/>
        <v>75.421012170194444</v>
      </c>
      <c r="F58" s="19">
        <f t="shared" si="2"/>
        <v>101.05216694154296</v>
      </c>
      <c r="G58" s="13">
        <f t="shared" si="2"/>
        <v>103.73043198959203</v>
      </c>
      <c r="H58" s="18">
        <f t="shared" si="2"/>
        <v>102.79100871112314</v>
      </c>
      <c r="I58" s="80"/>
      <c r="J58" s="90" t="s">
        <v>6</v>
      </c>
      <c r="K58" s="30" t="s">
        <v>18</v>
      </c>
      <c r="L58" s="61">
        <f t="shared" si="3"/>
        <v>0.27578850100730179</v>
      </c>
      <c r="M58" s="62">
        <f t="shared" si="1"/>
        <v>0.26988371568059588</v>
      </c>
      <c r="N58" s="61">
        <f t="shared" si="1"/>
        <v>2.176024257944853E-2</v>
      </c>
      <c r="O58" s="62">
        <f t="shared" si="1"/>
        <v>4.1668150008909704E-3</v>
      </c>
      <c r="P58" s="63">
        <f t="shared" si="1"/>
        <v>4.9273116057778959E-3</v>
      </c>
    </row>
    <row r="59" spans="1:16" ht="15" thickBot="1" x14ac:dyDescent="0.35">
      <c r="A59" s="80"/>
      <c r="B59" s="91"/>
      <c r="C59" s="35" t="s">
        <v>20</v>
      </c>
      <c r="D59" s="19">
        <f t="shared" si="2"/>
        <v>75.196149689993035</v>
      </c>
      <c r="E59" s="13">
        <f t="shared" si="2"/>
        <v>75.866745762497885</v>
      </c>
      <c r="F59" s="19">
        <f t="shared" si="2"/>
        <v>114.57648701105427</v>
      </c>
      <c r="G59" s="13">
        <f t="shared" si="2"/>
        <v>108.49219402056406</v>
      </c>
      <c r="H59" s="18">
        <f t="shared" si="2"/>
        <v>103.28158717198312</v>
      </c>
      <c r="I59" s="80"/>
      <c r="J59" s="91"/>
      <c r="K59" s="35" t="s">
        <v>20</v>
      </c>
      <c r="L59" s="67">
        <f t="shared" si="3"/>
        <v>0.27206050638922519</v>
      </c>
      <c r="M59" s="68">
        <f t="shared" si="1"/>
        <v>0.26556877287030117</v>
      </c>
      <c r="N59" s="67">
        <f t="shared" si="1"/>
        <v>0.10916250736741792</v>
      </c>
      <c r="O59" s="68">
        <f t="shared" si="1"/>
        <v>5.0263252861220326E-2</v>
      </c>
      <c r="P59" s="69">
        <f t="shared" si="1"/>
        <v>1.7824615698816868E-4</v>
      </c>
    </row>
    <row r="60" spans="1:16" ht="82.8" customHeight="1" thickBot="1" x14ac:dyDescent="0.35">
      <c r="A60" s="81"/>
      <c r="B60" s="92"/>
      <c r="C60" s="9" t="s">
        <v>19</v>
      </c>
      <c r="D60" s="24"/>
      <c r="E60" s="33"/>
      <c r="F60" s="24"/>
      <c r="G60" s="21"/>
      <c r="H60" s="23"/>
      <c r="I60" s="81"/>
      <c r="J60" s="92"/>
      <c r="K60" s="9" t="s">
        <v>19</v>
      </c>
      <c r="L60" s="56"/>
      <c r="M60" s="71"/>
      <c r="N60" s="56"/>
      <c r="O60" s="57"/>
      <c r="P60" s="58"/>
    </row>
    <row r="62" spans="1:16" ht="18" x14ac:dyDescent="0.35">
      <c r="A62" t="s">
        <v>26</v>
      </c>
      <c r="B62" s="75">
        <v>103.3</v>
      </c>
      <c r="C62" s="74" t="s">
        <v>27</v>
      </c>
    </row>
    <row r="64" spans="1:16" ht="21.6" thickBot="1" x14ac:dyDescent="0.35">
      <c r="A64" s="37" t="s">
        <v>24</v>
      </c>
    </row>
    <row r="65" spans="1:8" ht="15" thickBot="1" x14ac:dyDescent="0.35">
      <c r="A65" s="10" t="s">
        <v>10</v>
      </c>
      <c r="D65" s="76" t="s">
        <v>0</v>
      </c>
      <c r="E65" s="77"/>
      <c r="F65" s="77"/>
      <c r="G65" s="77"/>
      <c r="H65" s="78"/>
    </row>
    <row r="66" spans="1:8" x14ac:dyDescent="0.3">
      <c r="D66" s="7"/>
      <c r="F66" s="76" t="s">
        <v>13</v>
      </c>
      <c r="G66" s="77"/>
      <c r="H66" s="78"/>
    </row>
    <row r="67" spans="1:8" ht="16.2" thickBot="1" x14ac:dyDescent="0.35">
      <c r="B67" s="1"/>
      <c r="C67" s="1"/>
      <c r="D67" s="8" t="s">
        <v>1</v>
      </c>
      <c r="E67" s="9" t="s">
        <v>7</v>
      </c>
      <c r="F67" s="8" t="s">
        <v>8</v>
      </c>
      <c r="G67" s="9" t="s">
        <v>11</v>
      </c>
      <c r="H67" s="5" t="s">
        <v>12</v>
      </c>
    </row>
    <row r="68" spans="1:8" ht="14.4" customHeight="1" thickBot="1" x14ac:dyDescent="0.35">
      <c r="A68" s="51" t="s">
        <v>4</v>
      </c>
      <c r="B68" s="52" t="s">
        <v>5</v>
      </c>
      <c r="C68" s="3" t="s">
        <v>14</v>
      </c>
      <c r="D68" s="20">
        <f>-0.49823291*627.5</f>
        <v>-312.641151025</v>
      </c>
      <c r="E68" s="31"/>
      <c r="F68" s="12">
        <f>-0.500272784191*627.5</f>
        <v>-313.92117207985245</v>
      </c>
      <c r="G68" s="31">
        <f>-0.516817233085*627.5</f>
        <v>-324.30281376083752</v>
      </c>
      <c r="H68" s="17">
        <f>-0.497340882376*627.5</f>
        <v>-312.08140369094002</v>
      </c>
    </row>
    <row r="69" spans="1:8" ht="58.2" thickBot="1" x14ac:dyDescent="0.35">
      <c r="A69" s="49"/>
      <c r="B69" s="53" t="s">
        <v>6</v>
      </c>
      <c r="C69" s="50" t="s">
        <v>18</v>
      </c>
      <c r="D69" s="93">
        <f xml:space="preserve"> -0.4992784*627.5</f>
        <v>-313.29719599999999</v>
      </c>
      <c r="E69" s="94"/>
      <c r="F69" s="95">
        <f>-0.49785961*627.5</f>
        <v>-312.40690527499999</v>
      </c>
      <c r="G69" s="94">
        <f>-0.517799846662*627.5</f>
        <v>-324.91940378040499</v>
      </c>
      <c r="H69" s="96">
        <f>-0.498866725052*627.5</f>
        <v>-313.03886997013001</v>
      </c>
    </row>
  </sheetData>
  <mergeCells count="28">
    <mergeCell ref="L52:P52"/>
    <mergeCell ref="N53:P53"/>
    <mergeCell ref="I55:I60"/>
    <mergeCell ref="J55:J57"/>
    <mergeCell ref="J58:J60"/>
    <mergeCell ref="A30:A35"/>
    <mergeCell ref="B30:B32"/>
    <mergeCell ref="B33:B35"/>
    <mergeCell ref="A55:A60"/>
    <mergeCell ref="B55:B57"/>
    <mergeCell ref="B58:B60"/>
    <mergeCell ref="A43:A48"/>
    <mergeCell ref="B43:B45"/>
    <mergeCell ref="B46:B48"/>
    <mergeCell ref="A5:A10"/>
    <mergeCell ref="B5:B7"/>
    <mergeCell ref="B8:B10"/>
    <mergeCell ref="D13:G13"/>
    <mergeCell ref="D27:H27"/>
    <mergeCell ref="D65:H65"/>
    <mergeCell ref="F66:H66"/>
    <mergeCell ref="D40:H40"/>
    <mergeCell ref="D2:H2"/>
    <mergeCell ref="F3:H3"/>
    <mergeCell ref="F28:H28"/>
    <mergeCell ref="F41:H41"/>
    <mergeCell ref="D52:H52"/>
    <mergeCell ref="F53:H53"/>
  </mergeCells>
  <conditionalFormatting sqref="L55:P59">
    <cfRule type="cellIs" dxfId="1" priority="1" operator="lessThan">
      <formula>0.04</formula>
    </cfRule>
    <cfRule type="cellIs" dxfId="0" priority="2" operator="greaterThan">
      <formula>0.1505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H2 -&gt; 2H</vt:lpstr>
      <vt:lpstr>CH4 -&gt; CH3 +H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Emanuele Broggini</cp:lastModifiedBy>
  <dcterms:created xsi:type="dcterms:W3CDTF">2015-06-05T18:17:20Z</dcterms:created>
  <dcterms:modified xsi:type="dcterms:W3CDTF">2024-07-02T08:52:26Z</dcterms:modified>
</cp:coreProperties>
</file>