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670120_polimi_it/Documents/POLIMI/II ANNO/II SEMESTRE/MOLECULAR MODELING IN PROCESS ENGINEERING/Practicals/Project9/CH4+H---CH3+H2/"/>
    </mc:Choice>
  </mc:AlternateContent>
  <xr:revisionPtr revIDLastSave="1460" documentId="11_F25DC773A252ABDACC1048AE819955225ADE58F2" xr6:coauthVersionLast="47" xr6:coauthVersionMax="47" xr10:uidLastSave="{D8434C1B-672D-4734-A9D6-A03B23826B3E}"/>
  <bookViews>
    <workbookView xWindow="-108" yWindow="-108" windowWidth="23256" windowHeight="12456" activeTab="6" xr2:uid="{00000000-000D-0000-FFFF-FFFF00000000}"/>
  </bookViews>
  <sheets>
    <sheet name="CH4" sheetId="1" r:id="rId1"/>
    <sheet name="CH3" sheetId="2" r:id="rId2"/>
    <sheet name="H" sheetId="3" r:id="rId3"/>
    <sheet name="H2" sheetId="5" r:id="rId4"/>
    <sheet name="CH4+H-&gt;CH3+H2" sheetId="7" r:id="rId5"/>
    <sheet name="TS" sheetId="9" r:id="rId6"/>
    <sheet name="Velocità di reazion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" i="10" l="1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60" i="10"/>
  <c r="F76" i="10"/>
  <c r="F75" i="10"/>
  <c r="F74" i="10"/>
  <c r="F63" i="10"/>
  <c r="B63" i="10"/>
  <c r="B64" i="10" s="1"/>
  <c r="F62" i="10"/>
  <c r="B62" i="10"/>
  <c r="G61" i="10"/>
  <c r="G60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F65" i="10" l="1"/>
  <c r="F78" i="10"/>
  <c r="F64" i="10"/>
  <c r="F66" i="10"/>
  <c r="F70" i="10"/>
  <c r="F77" i="10"/>
  <c r="F61" i="10"/>
  <c r="I61" i="10" s="1"/>
  <c r="J61" i="10" s="1"/>
  <c r="F73" i="10"/>
  <c r="F72" i="10"/>
  <c r="F71" i="10"/>
  <c r="F67" i="10"/>
  <c r="F68" i="10"/>
  <c r="F69" i="10"/>
  <c r="F60" i="10"/>
  <c r="I60" i="10" s="1"/>
  <c r="J60" i="10" s="1"/>
  <c r="G64" i="10"/>
  <c r="B65" i="10"/>
  <c r="G63" i="10"/>
  <c r="I63" i="10"/>
  <c r="J63" i="10" s="1"/>
  <c r="G62" i="10"/>
  <c r="I62" i="10" s="1"/>
  <c r="J62" i="10" s="1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19" i="10"/>
  <c r="I64" i="10" l="1"/>
  <c r="J64" i="10" s="1"/>
  <c r="G65" i="10"/>
  <c r="B66" i="10"/>
  <c r="I65" i="10"/>
  <c r="J65" i="10" s="1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19" i="10"/>
  <c r="B54" i="9"/>
  <c r="B55" i="9"/>
  <c r="B56" i="9"/>
  <c r="B57" i="9"/>
  <c r="B58" i="9"/>
  <c r="B59" i="9"/>
  <c r="B60" i="9"/>
  <c r="B61" i="9"/>
  <c r="B62" i="9"/>
  <c r="B63" i="9"/>
  <c r="B64" i="9"/>
  <c r="B53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E65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E64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E63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E62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E61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E60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E59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E58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E57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E56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E55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E54" i="9"/>
  <c r="E54" i="2"/>
  <c r="B53" i="2" s="1"/>
  <c r="B53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E54" i="5"/>
  <c r="B54" i="2"/>
  <c r="B55" i="2"/>
  <c r="B56" i="2"/>
  <c r="B57" i="2"/>
  <c r="B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E59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E58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E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E57" i="2"/>
  <c r="E57" i="1"/>
  <c r="E55" i="1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E55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E54" i="1"/>
  <c r="J89" i="1"/>
  <c r="B54" i="1"/>
  <c r="B55" i="1"/>
  <c r="B56" i="1"/>
  <c r="B57" i="1"/>
  <c r="B58" i="1"/>
  <c r="B59" i="1"/>
  <c r="B60" i="1"/>
  <c r="B61" i="1"/>
  <c r="B53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E62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E61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E60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E59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E58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J114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06" i="1"/>
  <c r="G50" i="10"/>
  <c r="I132" i="9"/>
  <c r="J132" i="9" s="1"/>
  <c r="J132" i="5"/>
  <c r="I132" i="5"/>
  <c r="I132" i="3"/>
  <c r="J132" i="3" s="1"/>
  <c r="I132" i="2"/>
  <c r="J132" i="2" s="1"/>
  <c r="I132" i="1"/>
  <c r="J132" i="1"/>
  <c r="B67" i="10" l="1"/>
  <c r="G66" i="10"/>
  <c r="G10" i="10"/>
  <c r="G128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B131" i="10"/>
  <c r="B132" i="10" s="1"/>
  <c r="B130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04" i="10"/>
  <c r="B107" i="10"/>
  <c r="B108" i="10" s="1"/>
  <c r="B106" i="10"/>
  <c r="B97" i="10"/>
  <c r="E202" i="2"/>
  <c r="D202" i="2"/>
  <c r="E176" i="2" a="1"/>
  <c r="E176" i="2" s="1"/>
  <c r="E106" i="2"/>
  <c r="D50" i="10"/>
  <c r="H162" i="9"/>
  <c r="H171" i="9"/>
  <c r="H170" i="9"/>
  <c r="H169" i="9"/>
  <c r="H168" i="9"/>
  <c r="H167" i="9"/>
  <c r="H166" i="9"/>
  <c r="H165" i="9"/>
  <c r="H164" i="9"/>
  <c r="H163" i="9"/>
  <c r="H161" i="9"/>
  <c r="H160" i="9"/>
  <c r="H159" i="9"/>
  <c r="H158" i="9"/>
  <c r="H157" i="9"/>
  <c r="H156" i="9"/>
  <c r="H155" i="9"/>
  <c r="H153" i="9"/>
  <c r="H154" i="9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19" i="10"/>
  <c r="B37" i="10"/>
  <c r="B35" i="10"/>
  <c r="B36" i="10" s="1"/>
  <c r="B32" i="10"/>
  <c r="B33" i="10"/>
  <c r="B34" i="10" s="1"/>
  <c r="B22" i="10"/>
  <c r="B23" i="10"/>
  <c r="B24" i="10"/>
  <c r="B25" i="10" s="1"/>
  <c r="B26" i="10" s="1"/>
  <c r="B27" i="10" s="1"/>
  <c r="B28" i="10" s="1"/>
  <c r="B29" i="10" s="1"/>
  <c r="B30" i="10" s="1"/>
  <c r="B31" i="10" s="1"/>
  <c r="B21" i="10"/>
  <c r="D10" i="10"/>
  <c r="J89" i="9"/>
  <c r="D64" i="9"/>
  <c r="D65" i="9"/>
  <c r="D60" i="9"/>
  <c r="D61" i="9"/>
  <c r="D62" i="9"/>
  <c r="D63" i="9"/>
  <c r="B33" i="9"/>
  <c r="B34" i="9"/>
  <c r="B35" i="9"/>
  <c r="B36" i="9"/>
  <c r="B37" i="9"/>
  <c r="B38" i="9"/>
  <c r="B39" i="9"/>
  <c r="B40" i="9"/>
  <c r="B41" i="9"/>
  <c r="B42" i="9"/>
  <c r="B43" i="9"/>
  <c r="E6" i="9"/>
  <c r="E2" i="9"/>
  <c r="J292" i="9"/>
  <c r="I292" i="9"/>
  <c r="D292" i="9"/>
  <c r="C292" i="9"/>
  <c r="J291" i="9"/>
  <c r="I291" i="9"/>
  <c r="D291" i="9"/>
  <c r="C291" i="9"/>
  <c r="J290" i="9"/>
  <c r="I290" i="9"/>
  <c r="D290" i="9"/>
  <c r="C290" i="9"/>
  <c r="J289" i="9"/>
  <c r="I289" i="9"/>
  <c r="D289" i="9"/>
  <c r="C289" i="9"/>
  <c r="J288" i="9"/>
  <c r="I288" i="9"/>
  <c r="D288" i="9"/>
  <c r="C288" i="9"/>
  <c r="J287" i="9"/>
  <c r="I287" i="9"/>
  <c r="D287" i="9"/>
  <c r="C287" i="9"/>
  <c r="J286" i="9"/>
  <c r="I286" i="9"/>
  <c r="D286" i="9"/>
  <c r="C286" i="9"/>
  <c r="J285" i="9"/>
  <c r="I285" i="9"/>
  <c r="D285" i="9"/>
  <c r="C285" i="9"/>
  <c r="J284" i="9"/>
  <c r="I284" i="9"/>
  <c r="D284" i="9"/>
  <c r="C284" i="9"/>
  <c r="J283" i="9"/>
  <c r="I283" i="9"/>
  <c r="D283" i="9"/>
  <c r="C283" i="9"/>
  <c r="J282" i="9"/>
  <c r="I282" i="9"/>
  <c r="D282" i="9"/>
  <c r="C282" i="9"/>
  <c r="J281" i="9"/>
  <c r="I281" i="9"/>
  <c r="D281" i="9"/>
  <c r="C281" i="9"/>
  <c r="J280" i="9"/>
  <c r="I280" i="9"/>
  <c r="D280" i="9"/>
  <c r="C280" i="9"/>
  <c r="J279" i="9"/>
  <c r="I279" i="9"/>
  <c r="D279" i="9"/>
  <c r="C279" i="9"/>
  <c r="J278" i="9"/>
  <c r="I278" i="9"/>
  <c r="D278" i="9"/>
  <c r="C278" i="9"/>
  <c r="J277" i="9"/>
  <c r="I277" i="9"/>
  <c r="D277" i="9"/>
  <c r="C277" i="9"/>
  <c r="J276" i="9"/>
  <c r="I276" i="9"/>
  <c r="D276" i="9"/>
  <c r="C276" i="9"/>
  <c r="J275" i="9"/>
  <c r="I275" i="9"/>
  <c r="D275" i="9"/>
  <c r="C275" i="9"/>
  <c r="J274" i="9"/>
  <c r="I274" i="9"/>
  <c r="H274" i="9"/>
  <c r="H275" i="9" s="1"/>
  <c r="H276" i="9" s="1"/>
  <c r="H277" i="9" s="1"/>
  <c r="H278" i="9" s="1"/>
  <c r="H279" i="9" s="1"/>
  <c r="H280" i="9" s="1"/>
  <c r="H281" i="9" s="1"/>
  <c r="H282" i="9" s="1"/>
  <c r="H283" i="9" s="1"/>
  <c r="H284" i="9" s="1"/>
  <c r="H285" i="9" s="1"/>
  <c r="H286" i="9" s="1"/>
  <c r="H287" i="9" s="1"/>
  <c r="H288" i="9" s="1"/>
  <c r="H289" i="9" s="1"/>
  <c r="H290" i="9" s="1"/>
  <c r="H291" i="9" s="1"/>
  <c r="H292" i="9" s="1"/>
  <c r="D274" i="9"/>
  <c r="C274" i="9"/>
  <c r="B274" i="9"/>
  <c r="B275" i="9" s="1"/>
  <c r="B250" i="9"/>
  <c r="B249" i="9"/>
  <c r="J244" i="9"/>
  <c r="I244" i="9"/>
  <c r="D244" i="9"/>
  <c r="C244" i="9"/>
  <c r="J243" i="9"/>
  <c r="I243" i="9"/>
  <c r="D243" i="9"/>
  <c r="C243" i="9"/>
  <c r="J242" i="9"/>
  <c r="I242" i="9"/>
  <c r="D242" i="9"/>
  <c r="C242" i="9"/>
  <c r="J241" i="9"/>
  <c r="I241" i="9"/>
  <c r="D241" i="9"/>
  <c r="C241" i="9"/>
  <c r="J240" i="9"/>
  <c r="I240" i="9"/>
  <c r="D240" i="9"/>
  <c r="C240" i="9"/>
  <c r="J239" i="9"/>
  <c r="I239" i="9"/>
  <c r="D239" i="9"/>
  <c r="C239" i="9"/>
  <c r="J238" i="9"/>
  <c r="I238" i="9"/>
  <c r="D238" i="9"/>
  <c r="C238" i="9"/>
  <c r="J237" i="9"/>
  <c r="I237" i="9"/>
  <c r="D237" i="9"/>
  <c r="C237" i="9"/>
  <c r="J236" i="9"/>
  <c r="I236" i="9"/>
  <c r="D236" i="9"/>
  <c r="C236" i="9"/>
  <c r="J235" i="9"/>
  <c r="I235" i="9"/>
  <c r="D235" i="9"/>
  <c r="C235" i="9"/>
  <c r="J234" i="9"/>
  <c r="I234" i="9"/>
  <c r="D234" i="9"/>
  <c r="C234" i="9"/>
  <c r="J233" i="9"/>
  <c r="I233" i="9"/>
  <c r="D233" i="9"/>
  <c r="C233" i="9"/>
  <c r="J232" i="9"/>
  <c r="I232" i="9"/>
  <c r="D232" i="9"/>
  <c r="C232" i="9"/>
  <c r="J231" i="9"/>
  <c r="I231" i="9"/>
  <c r="D231" i="9"/>
  <c r="C231" i="9"/>
  <c r="J230" i="9"/>
  <c r="I230" i="9"/>
  <c r="D230" i="9"/>
  <c r="C230" i="9"/>
  <c r="J229" i="9"/>
  <c r="I229" i="9"/>
  <c r="D229" i="9"/>
  <c r="C229" i="9"/>
  <c r="J228" i="9"/>
  <c r="I228" i="9"/>
  <c r="E228" i="9" a="1"/>
  <c r="E228" i="9" s="1"/>
  <c r="D228" i="9"/>
  <c r="C228" i="9"/>
  <c r="J227" i="9"/>
  <c r="I227" i="9"/>
  <c r="H227" i="9"/>
  <c r="H228" i="9" s="1"/>
  <c r="H229" i="9" s="1"/>
  <c r="H230" i="9" s="1"/>
  <c r="H231" i="9" s="1"/>
  <c r="H232" i="9" s="1"/>
  <c r="H233" i="9" s="1"/>
  <c r="H234" i="9" s="1"/>
  <c r="H235" i="9" s="1"/>
  <c r="H236" i="9" s="1"/>
  <c r="H237" i="9" s="1"/>
  <c r="H238" i="9" s="1"/>
  <c r="H239" i="9" s="1"/>
  <c r="H240" i="9" s="1"/>
  <c r="H241" i="9" s="1"/>
  <c r="H242" i="9" s="1"/>
  <c r="H243" i="9" s="1"/>
  <c r="H244" i="9" s="1"/>
  <c r="D227" i="9"/>
  <c r="C227" i="9"/>
  <c r="B227" i="9"/>
  <c r="B228" i="9" s="1"/>
  <c r="J226" i="9"/>
  <c r="I226" i="9"/>
  <c r="H226" i="9"/>
  <c r="D226" i="9"/>
  <c r="C226" i="9"/>
  <c r="B226" i="9"/>
  <c r="E226" i="9" s="1" a="1"/>
  <c r="E226" i="9" s="1"/>
  <c r="H203" i="9"/>
  <c r="B203" i="9"/>
  <c r="I203" i="9" s="1"/>
  <c r="L202" i="9"/>
  <c r="H202" i="9"/>
  <c r="G202" i="9"/>
  <c r="B202" i="9"/>
  <c r="C202" i="9" s="1"/>
  <c r="H177" i="9"/>
  <c r="H178" i="9" s="1"/>
  <c r="I178" i="9" s="1"/>
  <c r="B177" i="9"/>
  <c r="B178" i="9" s="1"/>
  <c r="B179" i="9" s="1"/>
  <c r="E179" i="9" s="1" a="1"/>
  <c r="E179" i="9" s="1"/>
  <c r="L176" i="9"/>
  <c r="H176" i="9"/>
  <c r="I176" i="9" s="1"/>
  <c r="B176" i="9"/>
  <c r="D176" i="9" s="1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D154" i="9"/>
  <c r="D155" i="9" s="1"/>
  <c r="G155" i="9" s="1"/>
  <c r="F153" i="9"/>
  <c r="D153" i="9"/>
  <c r="E153" i="9" s="1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B133" i="9"/>
  <c r="F132" i="9"/>
  <c r="B132" i="9"/>
  <c r="B134" i="9" s="1"/>
  <c r="H128" i="9" s="1"/>
  <c r="F131" i="9"/>
  <c r="F130" i="9"/>
  <c r="F129" i="9"/>
  <c r="D129" i="9"/>
  <c r="F128" i="9"/>
  <c r="D128" i="9"/>
  <c r="B136" i="9" s="1"/>
  <c r="D107" i="9"/>
  <c r="E107" i="9" s="1"/>
  <c r="D106" i="9"/>
  <c r="E106" i="9" s="1"/>
  <c r="J111" i="9" s="1"/>
  <c r="J114" i="9" s="1"/>
  <c r="D84" i="9"/>
  <c r="D85" i="9" s="1"/>
  <c r="D86" i="9" s="1"/>
  <c r="D87" i="9" s="1"/>
  <c r="D88" i="9" s="1"/>
  <c r="D89" i="9" s="1"/>
  <c r="D90" i="9" s="1"/>
  <c r="D83" i="9"/>
  <c r="F68" i="9"/>
  <c r="G68" i="9" s="1"/>
  <c r="H68" i="9" s="1"/>
  <c r="I68" i="9" s="1"/>
  <c r="J68" i="9" s="1"/>
  <c r="K68" i="9" s="1"/>
  <c r="L68" i="9" s="1"/>
  <c r="M68" i="9" s="1"/>
  <c r="N68" i="9" s="1"/>
  <c r="O68" i="9" s="1"/>
  <c r="P68" i="9" s="1"/>
  <c r="Q68" i="9" s="1"/>
  <c r="R68" i="9" s="1"/>
  <c r="S68" i="9" s="1"/>
  <c r="T68" i="9" s="1"/>
  <c r="U68" i="9" s="1"/>
  <c r="V68" i="9" s="1"/>
  <c r="W68" i="9" s="1"/>
  <c r="D59" i="9"/>
  <c r="D58" i="9"/>
  <c r="D57" i="9"/>
  <c r="D56" i="9"/>
  <c r="D55" i="9"/>
  <c r="D54" i="9"/>
  <c r="F53" i="9"/>
  <c r="C33" i="9"/>
  <c r="C32" i="9"/>
  <c r="D32" i="9" s="1"/>
  <c r="E32" i="9" s="1"/>
  <c r="B32" i="9"/>
  <c r="G9" i="9"/>
  <c r="F9" i="9"/>
  <c r="E9" i="9"/>
  <c r="G6" i="9"/>
  <c r="F6" i="9"/>
  <c r="K5" i="9"/>
  <c r="L5" i="9" s="1"/>
  <c r="J5" i="9"/>
  <c r="H2" i="9"/>
  <c r="R13" i="7"/>
  <c r="R12" i="7"/>
  <c r="R10" i="7"/>
  <c r="R9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03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J202" i="5"/>
  <c r="E202" i="5"/>
  <c r="H198" i="5"/>
  <c r="B112" i="5"/>
  <c r="J244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27" i="5"/>
  <c r="J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26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77" i="5"/>
  <c r="K176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77" i="5"/>
  <c r="J176" i="5"/>
  <c r="J176" i="2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76" i="5"/>
  <c r="C176" i="5"/>
  <c r="J114" i="5"/>
  <c r="B116" i="5"/>
  <c r="E2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53" i="5"/>
  <c r="E106" i="5"/>
  <c r="J111" i="5" s="1"/>
  <c r="B133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D112" i="5"/>
  <c r="D113" i="5"/>
  <c r="D114" i="5"/>
  <c r="J89" i="5"/>
  <c r="I66" i="5"/>
  <c r="J66" i="5"/>
  <c r="H160" i="5"/>
  <c r="H161" i="5"/>
  <c r="H162" i="5"/>
  <c r="H163" i="5"/>
  <c r="H164" i="5"/>
  <c r="H165" i="5"/>
  <c r="U66" i="5"/>
  <c r="V66" i="5"/>
  <c r="J292" i="5"/>
  <c r="I292" i="5"/>
  <c r="D292" i="5"/>
  <c r="C292" i="5"/>
  <c r="J291" i="5"/>
  <c r="I291" i="5"/>
  <c r="D291" i="5"/>
  <c r="C291" i="5"/>
  <c r="J290" i="5"/>
  <c r="I290" i="5"/>
  <c r="D290" i="5"/>
  <c r="C290" i="5"/>
  <c r="J289" i="5"/>
  <c r="I289" i="5"/>
  <c r="D289" i="5"/>
  <c r="C289" i="5"/>
  <c r="J288" i="5"/>
  <c r="I288" i="5"/>
  <c r="D288" i="5"/>
  <c r="C288" i="5"/>
  <c r="J287" i="5"/>
  <c r="I287" i="5"/>
  <c r="D287" i="5"/>
  <c r="C287" i="5"/>
  <c r="J286" i="5"/>
  <c r="I286" i="5"/>
  <c r="D286" i="5"/>
  <c r="C286" i="5"/>
  <c r="J285" i="5"/>
  <c r="I285" i="5"/>
  <c r="D285" i="5"/>
  <c r="C285" i="5"/>
  <c r="J284" i="5"/>
  <c r="I284" i="5"/>
  <c r="D284" i="5"/>
  <c r="C284" i="5"/>
  <c r="J283" i="5"/>
  <c r="I283" i="5"/>
  <c r="D283" i="5"/>
  <c r="C283" i="5"/>
  <c r="J282" i="5"/>
  <c r="I282" i="5"/>
  <c r="D282" i="5"/>
  <c r="C282" i="5"/>
  <c r="J281" i="5"/>
  <c r="I281" i="5"/>
  <c r="D281" i="5"/>
  <c r="C281" i="5"/>
  <c r="J280" i="5"/>
  <c r="I280" i="5"/>
  <c r="D280" i="5"/>
  <c r="C280" i="5"/>
  <c r="J279" i="5"/>
  <c r="I279" i="5"/>
  <c r="D279" i="5"/>
  <c r="C279" i="5"/>
  <c r="J278" i="5"/>
  <c r="I278" i="5"/>
  <c r="D278" i="5"/>
  <c r="C278" i="5"/>
  <c r="J277" i="5"/>
  <c r="I277" i="5"/>
  <c r="D277" i="5"/>
  <c r="C277" i="5"/>
  <c r="J276" i="5"/>
  <c r="I276" i="5"/>
  <c r="D276" i="5"/>
  <c r="C276" i="5"/>
  <c r="K275" i="5" a="1"/>
  <c r="K275" i="5" s="1"/>
  <c r="J275" i="5"/>
  <c r="I275" i="5"/>
  <c r="H275" i="5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D275" i="5"/>
  <c r="C275" i="5"/>
  <c r="B275" i="5"/>
  <c r="B276" i="5" s="1"/>
  <c r="J274" i="5"/>
  <c r="I274" i="5"/>
  <c r="H274" i="5"/>
  <c r="D274" i="5"/>
  <c r="C274" i="5"/>
  <c r="B274" i="5"/>
  <c r="K274" i="5" s="1" a="1"/>
  <c r="K274" i="5" s="1"/>
  <c r="K244" i="5"/>
  <c r="I244" i="5"/>
  <c r="C244" i="5"/>
  <c r="K243" i="5"/>
  <c r="I243" i="5"/>
  <c r="C243" i="5"/>
  <c r="K242" i="5"/>
  <c r="I242" i="5"/>
  <c r="C242" i="5"/>
  <c r="K241" i="5"/>
  <c r="I241" i="5"/>
  <c r="C241" i="5"/>
  <c r="K240" i="5"/>
  <c r="I240" i="5"/>
  <c r="C240" i="5"/>
  <c r="K239" i="5"/>
  <c r="I239" i="5"/>
  <c r="C239" i="5"/>
  <c r="K238" i="5"/>
  <c r="I238" i="5"/>
  <c r="C238" i="5"/>
  <c r="K237" i="5"/>
  <c r="I237" i="5"/>
  <c r="C237" i="5"/>
  <c r="K236" i="5"/>
  <c r="I236" i="5"/>
  <c r="C236" i="5"/>
  <c r="K235" i="5"/>
  <c r="I235" i="5"/>
  <c r="C235" i="5"/>
  <c r="K234" i="5"/>
  <c r="I234" i="5"/>
  <c r="C234" i="5"/>
  <c r="K233" i="5"/>
  <c r="I233" i="5"/>
  <c r="C233" i="5"/>
  <c r="K232" i="5"/>
  <c r="I232" i="5"/>
  <c r="C232" i="5"/>
  <c r="K231" i="5"/>
  <c r="I231" i="5"/>
  <c r="C231" i="5"/>
  <c r="K230" i="5"/>
  <c r="I230" i="5"/>
  <c r="C230" i="5"/>
  <c r="K229" i="5"/>
  <c r="I229" i="5"/>
  <c r="C229" i="5"/>
  <c r="K228" i="5"/>
  <c r="I228" i="5"/>
  <c r="H228" i="5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C228" i="5"/>
  <c r="B228" i="5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K227" i="5"/>
  <c r="I227" i="5"/>
  <c r="H227" i="5"/>
  <c r="C227" i="5"/>
  <c r="B227" i="5"/>
  <c r="K226" i="5"/>
  <c r="N239" i="5"/>
  <c r="I226" i="5"/>
  <c r="H226" i="5"/>
  <c r="C226" i="5"/>
  <c r="B226" i="5"/>
  <c r="K220" i="5"/>
  <c r="F220" i="5"/>
  <c r="F219" i="5"/>
  <c r="K219" i="5" s="1"/>
  <c r="K218" i="5"/>
  <c r="F218" i="5"/>
  <c r="K217" i="5"/>
  <c r="F217" i="5"/>
  <c r="F216" i="5"/>
  <c r="K216" i="5" s="1"/>
  <c r="K215" i="5"/>
  <c r="F215" i="5"/>
  <c r="F214" i="5"/>
  <c r="K214" i="5" s="1"/>
  <c r="K213" i="5"/>
  <c r="F213" i="5"/>
  <c r="K212" i="5"/>
  <c r="F212" i="5"/>
  <c r="F211" i="5"/>
  <c r="K211" i="5" s="1"/>
  <c r="K210" i="5"/>
  <c r="F210" i="5"/>
  <c r="F209" i="5"/>
  <c r="K209" i="5" s="1"/>
  <c r="F208" i="5"/>
  <c r="K208" i="5" s="1"/>
  <c r="F207" i="5"/>
  <c r="K207" i="5" s="1"/>
  <c r="F206" i="5"/>
  <c r="K206" i="5" s="1"/>
  <c r="K205" i="5"/>
  <c r="I205" i="5"/>
  <c r="F205" i="5"/>
  <c r="H204" i="5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F204" i="5"/>
  <c r="K204" i="5" s="1"/>
  <c r="B204" i="5"/>
  <c r="B205" i="5" s="1"/>
  <c r="K203" i="5"/>
  <c r="H203" i="5"/>
  <c r="F203" i="5"/>
  <c r="B203" i="5"/>
  <c r="C203" i="5" s="1"/>
  <c r="K202" i="5"/>
  <c r="H202" i="5"/>
  <c r="F202" i="5"/>
  <c r="C202" i="5"/>
  <c r="B202" i="5"/>
  <c r="B180" i="5"/>
  <c r="B181" i="5" s="1"/>
  <c r="C181" i="5" s="1"/>
  <c r="H178" i="5"/>
  <c r="C178" i="5"/>
  <c r="B178" i="5"/>
  <c r="B179" i="5" s="1"/>
  <c r="C179" i="5" s="1"/>
  <c r="I177" i="5"/>
  <c r="H177" i="5"/>
  <c r="B177" i="5"/>
  <c r="C177" i="5" s="1"/>
  <c r="L176" i="5"/>
  <c r="H176" i="5"/>
  <c r="I176" i="5" s="1"/>
  <c r="B176" i="5"/>
  <c r="H171" i="5"/>
  <c r="H170" i="5"/>
  <c r="H169" i="5"/>
  <c r="H168" i="5"/>
  <c r="H167" i="5"/>
  <c r="H166" i="5"/>
  <c r="H159" i="5"/>
  <c r="H158" i="5"/>
  <c r="H157" i="5"/>
  <c r="H156" i="5"/>
  <c r="H155" i="5"/>
  <c r="D154" i="5"/>
  <c r="D155" i="5" s="1"/>
  <c r="H153" i="5"/>
  <c r="D153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B132" i="5"/>
  <c r="B134" i="5" s="1"/>
  <c r="F131" i="5"/>
  <c r="F130" i="5"/>
  <c r="D130" i="5"/>
  <c r="D131" i="5" s="1"/>
  <c r="F129" i="5"/>
  <c r="E129" i="5"/>
  <c r="D129" i="5"/>
  <c r="F128" i="5"/>
  <c r="D128" i="5"/>
  <c r="B136" i="5" s="1"/>
  <c r="D110" i="5"/>
  <c r="D111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08" i="5"/>
  <c r="D109" i="5" s="1"/>
  <c r="D107" i="5"/>
  <c r="D106" i="5"/>
  <c r="D85" i="5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84" i="5"/>
  <c r="D83" i="5"/>
  <c r="E83" i="5" s="1"/>
  <c r="B73" i="5"/>
  <c r="A80" i="5" s="1"/>
  <c r="W66" i="5"/>
  <c r="T66" i="5"/>
  <c r="S66" i="5"/>
  <c r="R66" i="5"/>
  <c r="N66" i="5"/>
  <c r="M66" i="5"/>
  <c r="L66" i="5"/>
  <c r="K66" i="5"/>
  <c r="H66" i="5"/>
  <c r="G66" i="5"/>
  <c r="E66" i="5"/>
  <c r="F65" i="5"/>
  <c r="G65" i="5" s="1"/>
  <c r="H65" i="5" s="1"/>
  <c r="I65" i="5" s="1"/>
  <c r="J65" i="5" s="1"/>
  <c r="K65" i="5" s="1"/>
  <c r="L65" i="5" s="1"/>
  <c r="M65" i="5" s="1"/>
  <c r="N65" i="5" s="1"/>
  <c r="O65" i="5" s="1"/>
  <c r="P65" i="5" s="1"/>
  <c r="Q65" i="5" s="1"/>
  <c r="R65" i="5" s="1"/>
  <c r="S65" i="5" s="1"/>
  <c r="T65" i="5" s="1"/>
  <c r="U65" i="5" s="1"/>
  <c r="V65" i="5" s="1"/>
  <c r="W65" i="5" s="1"/>
  <c r="D54" i="5"/>
  <c r="H53" i="5"/>
  <c r="I53" i="5" s="1"/>
  <c r="J53" i="5" s="1"/>
  <c r="K53" i="5" s="1"/>
  <c r="L53" i="5" s="1"/>
  <c r="M53" i="5" s="1"/>
  <c r="N53" i="5" s="1"/>
  <c r="O53" i="5" s="1"/>
  <c r="P53" i="5" s="1"/>
  <c r="Q53" i="5" s="1"/>
  <c r="R53" i="5" s="1"/>
  <c r="S53" i="5" s="1"/>
  <c r="T53" i="5" s="1"/>
  <c r="U53" i="5" s="1"/>
  <c r="V53" i="5" s="1"/>
  <c r="W53" i="5" s="1"/>
  <c r="G53" i="5"/>
  <c r="F53" i="5"/>
  <c r="B72" i="5"/>
  <c r="C37" i="5"/>
  <c r="C38" i="5" s="1"/>
  <c r="D36" i="5"/>
  <c r="E36" i="5" s="1"/>
  <c r="C35" i="5"/>
  <c r="C36" i="5" s="1"/>
  <c r="C34" i="5"/>
  <c r="D34" i="5" s="1"/>
  <c r="E34" i="5" s="1"/>
  <c r="D33" i="5"/>
  <c r="E33" i="5" s="1"/>
  <c r="C33" i="5"/>
  <c r="D32" i="5"/>
  <c r="E32" i="5" s="1"/>
  <c r="C32" i="5"/>
  <c r="B32" i="5"/>
  <c r="E9" i="5"/>
  <c r="G6" i="5"/>
  <c r="F6" i="5"/>
  <c r="E6" i="5"/>
  <c r="K5" i="5"/>
  <c r="L5" i="5" s="1"/>
  <c r="J5" i="5"/>
  <c r="K2" i="5"/>
  <c r="L2" i="5" s="1"/>
  <c r="H2" i="5"/>
  <c r="B68" i="10" l="1"/>
  <c r="G67" i="10"/>
  <c r="I66" i="10"/>
  <c r="J66" i="10" s="1"/>
  <c r="B133" i="10"/>
  <c r="B109" i="10"/>
  <c r="B10" i="10"/>
  <c r="B50" i="10"/>
  <c r="E50" i="10" s="1"/>
  <c r="F50" i="10" s="1"/>
  <c r="K177" i="9" a="1"/>
  <c r="K177" i="9" s="1"/>
  <c r="F202" i="9" a="1"/>
  <c r="F202" i="9" s="1"/>
  <c r="K226" i="9" a="1"/>
  <c r="K226" i="9" s="1"/>
  <c r="N239" i="9" s="1"/>
  <c r="C178" i="9"/>
  <c r="F203" i="9" a="1"/>
  <c r="F203" i="9" s="1"/>
  <c r="E176" i="9" a="1"/>
  <c r="E176" i="9" s="1"/>
  <c r="D178" i="9"/>
  <c r="E227" i="9" a="1"/>
  <c r="E227" i="9" s="1"/>
  <c r="I177" i="9"/>
  <c r="J177" i="9"/>
  <c r="J176" i="9"/>
  <c r="K176" i="9" a="1"/>
  <c r="K176" i="9" s="1"/>
  <c r="K227" i="9" a="1"/>
  <c r="K227" i="9" s="1"/>
  <c r="J86" i="9"/>
  <c r="G53" i="9"/>
  <c r="H53" i="9" s="1"/>
  <c r="D91" i="9"/>
  <c r="D92" i="9" s="1"/>
  <c r="D93" i="9" s="1"/>
  <c r="D94" i="9" s="1"/>
  <c r="E90" i="9"/>
  <c r="D33" i="9"/>
  <c r="E33" i="9" s="1"/>
  <c r="C34" i="9"/>
  <c r="D130" i="9"/>
  <c r="D131" i="9" s="1"/>
  <c r="D132" i="9" s="1"/>
  <c r="E129" i="9"/>
  <c r="E249" i="9" a="1"/>
  <c r="E249" i="9" s="1"/>
  <c r="H204" i="9"/>
  <c r="E250" i="9" a="1"/>
  <c r="E250" i="9" s="1"/>
  <c r="B251" i="9"/>
  <c r="D202" i="9"/>
  <c r="G2" i="9"/>
  <c r="C250" i="9" s="1"/>
  <c r="E154" i="9"/>
  <c r="K228" i="9" a="1"/>
  <c r="K228" i="9" s="1"/>
  <c r="B229" i="9"/>
  <c r="G154" i="9"/>
  <c r="E86" i="9"/>
  <c r="I202" i="9"/>
  <c r="E83" i="9"/>
  <c r="E89" i="9"/>
  <c r="E85" i="9"/>
  <c r="D203" i="9"/>
  <c r="G153" i="9"/>
  <c r="E84" i="9"/>
  <c r="E87" i="9"/>
  <c r="E155" i="9"/>
  <c r="D156" i="9"/>
  <c r="E88" i="9"/>
  <c r="B180" i="9"/>
  <c r="K179" i="9" a="1"/>
  <c r="K179" i="9" s="1"/>
  <c r="D179" i="9"/>
  <c r="K2" i="9"/>
  <c r="L2" i="9" s="1"/>
  <c r="B73" i="9"/>
  <c r="C179" i="9"/>
  <c r="B276" i="9"/>
  <c r="K275" i="9" a="1"/>
  <c r="K275" i="9" s="1"/>
  <c r="H179" i="9"/>
  <c r="J178" i="9"/>
  <c r="B204" i="9"/>
  <c r="K203" i="9" a="1"/>
  <c r="K203" i="9" s="1"/>
  <c r="F249" i="9"/>
  <c r="E128" i="9"/>
  <c r="E131" i="9"/>
  <c r="C203" i="9"/>
  <c r="E274" i="9" a="1"/>
  <c r="E274" i="9" s="1"/>
  <c r="K274" i="9" a="1"/>
  <c r="K274" i="9" s="1"/>
  <c r="E275" i="9" a="1"/>
  <c r="E275" i="9" s="1"/>
  <c r="E178" i="9" a="1"/>
  <c r="E178" i="9" s="1"/>
  <c r="K178" i="9" a="1"/>
  <c r="K178" i="9" s="1"/>
  <c r="H198" i="9"/>
  <c r="C198" i="9" s="1"/>
  <c r="D249" i="9" s="1"/>
  <c r="D108" i="9"/>
  <c r="E177" i="9" a="1"/>
  <c r="E177" i="9" s="1"/>
  <c r="D177" i="9"/>
  <c r="C177" i="9"/>
  <c r="K202" i="9" a="1"/>
  <c r="K202" i="9" s="1"/>
  <c r="C176" i="9"/>
  <c r="N189" i="5"/>
  <c r="O66" i="5"/>
  <c r="P66" i="5"/>
  <c r="Q66" i="5"/>
  <c r="F66" i="5"/>
  <c r="H154" i="5"/>
  <c r="C198" i="5"/>
  <c r="D156" i="5"/>
  <c r="G155" i="5"/>
  <c r="I155" i="5" s="1"/>
  <c r="E99" i="5"/>
  <c r="D100" i="5"/>
  <c r="D101" i="5" s="1"/>
  <c r="C39" i="5"/>
  <c r="D38" i="5"/>
  <c r="E38" i="5" s="1"/>
  <c r="D132" i="5"/>
  <c r="D133" i="5" s="1"/>
  <c r="D134" i="5" s="1"/>
  <c r="E131" i="5"/>
  <c r="K276" i="5" a="1"/>
  <c r="K276" i="5" s="1"/>
  <c r="E276" i="5" a="1"/>
  <c r="E276" i="5" s="1"/>
  <c r="B277" i="5"/>
  <c r="D37" i="5"/>
  <c r="E37" i="5" s="1"/>
  <c r="E100" i="5"/>
  <c r="C180" i="5"/>
  <c r="E84" i="5"/>
  <c r="E101" i="5"/>
  <c r="E128" i="5"/>
  <c r="E130" i="5"/>
  <c r="E132" i="5"/>
  <c r="H128" i="5"/>
  <c r="G153" i="5"/>
  <c r="I153" i="5" s="1"/>
  <c r="E93" i="5"/>
  <c r="J86" i="5"/>
  <c r="E94" i="5"/>
  <c r="E89" i="5"/>
  <c r="D204" i="5"/>
  <c r="I202" i="5"/>
  <c r="N215" i="5" s="1"/>
  <c r="I203" i="5"/>
  <c r="D202" i="5"/>
  <c r="E98" i="5"/>
  <c r="E92" i="5"/>
  <c r="D205" i="5"/>
  <c r="G154" i="5"/>
  <c r="E97" i="5"/>
  <c r="E91" i="5"/>
  <c r="E86" i="5"/>
  <c r="I206" i="5"/>
  <c r="D203" i="5"/>
  <c r="E96" i="5"/>
  <c r="E90" i="5"/>
  <c r="E85" i="5"/>
  <c r="I204" i="5"/>
  <c r="E87" i="5"/>
  <c r="E95" i="5"/>
  <c r="B182" i="5"/>
  <c r="G2" i="5"/>
  <c r="D35" i="5"/>
  <c r="E35" i="5" s="1"/>
  <c r="B206" i="5"/>
  <c r="D206" i="5" s="1"/>
  <c r="C205" i="5"/>
  <c r="E88" i="5"/>
  <c r="I178" i="5"/>
  <c r="H179" i="5"/>
  <c r="C204" i="5"/>
  <c r="E275" i="5" a="1"/>
  <c r="E275" i="5" s="1"/>
  <c r="E274" i="5" a="1"/>
  <c r="E274" i="5" s="1"/>
  <c r="J292" i="3"/>
  <c r="I292" i="3"/>
  <c r="D292" i="3"/>
  <c r="C292" i="3"/>
  <c r="J291" i="3"/>
  <c r="I291" i="3"/>
  <c r="D291" i="3"/>
  <c r="C291" i="3"/>
  <c r="J290" i="3"/>
  <c r="I290" i="3"/>
  <c r="D290" i="3"/>
  <c r="C290" i="3"/>
  <c r="J289" i="3"/>
  <c r="I289" i="3"/>
  <c r="D289" i="3"/>
  <c r="C289" i="3"/>
  <c r="J288" i="3"/>
  <c r="I288" i="3"/>
  <c r="D288" i="3"/>
  <c r="C288" i="3"/>
  <c r="J287" i="3"/>
  <c r="I287" i="3"/>
  <c r="D287" i="3"/>
  <c r="C287" i="3"/>
  <c r="J286" i="3"/>
  <c r="I286" i="3"/>
  <c r="D286" i="3"/>
  <c r="C286" i="3"/>
  <c r="J285" i="3"/>
  <c r="I285" i="3"/>
  <c r="D285" i="3"/>
  <c r="C285" i="3"/>
  <c r="J284" i="3"/>
  <c r="I284" i="3"/>
  <c r="D284" i="3"/>
  <c r="C284" i="3"/>
  <c r="J283" i="3"/>
  <c r="I283" i="3"/>
  <c r="D283" i="3"/>
  <c r="C283" i="3"/>
  <c r="J282" i="3"/>
  <c r="I282" i="3"/>
  <c r="D282" i="3"/>
  <c r="C282" i="3"/>
  <c r="J281" i="3"/>
  <c r="I281" i="3"/>
  <c r="D281" i="3"/>
  <c r="C281" i="3"/>
  <c r="J280" i="3"/>
  <c r="I280" i="3"/>
  <c r="H280" i="3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D280" i="3"/>
  <c r="C280" i="3"/>
  <c r="J279" i="3"/>
  <c r="I279" i="3"/>
  <c r="D279" i="3"/>
  <c r="C279" i="3"/>
  <c r="J278" i="3"/>
  <c r="I278" i="3"/>
  <c r="D278" i="3"/>
  <c r="C278" i="3"/>
  <c r="J277" i="3"/>
  <c r="I277" i="3"/>
  <c r="H277" i="3"/>
  <c r="H278" i="3" s="1"/>
  <c r="H279" i="3" s="1"/>
  <c r="D277" i="3"/>
  <c r="C277" i="3"/>
  <c r="J276" i="3"/>
  <c r="I276" i="3"/>
  <c r="H276" i="3"/>
  <c r="D276" i="3"/>
  <c r="C276" i="3"/>
  <c r="K275" i="3" a="1"/>
  <c r="K275" i="3" s="1"/>
  <c r="J275" i="3"/>
  <c r="I275" i="3"/>
  <c r="H275" i="3"/>
  <c r="D275" i="3"/>
  <c r="C275" i="3"/>
  <c r="B275" i="3"/>
  <c r="J274" i="3"/>
  <c r="I274" i="3"/>
  <c r="H274" i="3"/>
  <c r="D274" i="3"/>
  <c r="C274" i="3"/>
  <c r="B274" i="3"/>
  <c r="K244" i="3"/>
  <c r="J244" i="3"/>
  <c r="I244" i="3"/>
  <c r="C244" i="3"/>
  <c r="K243" i="3"/>
  <c r="J243" i="3"/>
  <c r="I243" i="3"/>
  <c r="C243" i="3"/>
  <c r="K242" i="3"/>
  <c r="J242" i="3"/>
  <c r="I242" i="3"/>
  <c r="C242" i="3"/>
  <c r="K241" i="3"/>
  <c r="J241" i="3"/>
  <c r="I241" i="3"/>
  <c r="C241" i="3"/>
  <c r="K240" i="3"/>
  <c r="J240" i="3"/>
  <c r="I240" i="3"/>
  <c r="C240" i="3"/>
  <c r="K239" i="3"/>
  <c r="J239" i="3"/>
  <c r="I239" i="3"/>
  <c r="H239" i="3"/>
  <c r="H240" i="3" s="1"/>
  <c r="H241" i="3" s="1"/>
  <c r="H242" i="3" s="1"/>
  <c r="H243" i="3" s="1"/>
  <c r="H244" i="3" s="1"/>
  <c r="C239" i="3"/>
  <c r="K238" i="3"/>
  <c r="J238" i="3"/>
  <c r="I238" i="3"/>
  <c r="C238" i="3"/>
  <c r="K237" i="3"/>
  <c r="J237" i="3"/>
  <c r="I237" i="3"/>
  <c r="H237" i="3"/>
  <c r="H238" i="3" s="1"/>
  <c r="C237" i="3"/>
  <c r="B237" i="3"/>
  <c r="B238" i="3" s="1"/>
  <c r="B239" i="3" s="1"/>
  <c r="B240" i="3" s="1"/>
  <c r="B241" i="3" s="1"/>
  <c r="B242" i="3" s="1"/>
  <c r="B243" i="3" s="1"/>
  <c r="B244" i="3" s="1"/>
  <c r="K236" i="3"/>
  <c r="J236" i="3"/>
  <c r="I236" i="3"/>
  <c r="C236" i="3"/>
  <c r="K235" i="3"/>
  <c r="J235" i="3"/>
  <c r="I235" i="3"/>
  <c r="C235" i="3"/>
  <c r="B235" i="3"/>
  <c r="B236" i="3" s="1"/>
  <c r="K234" i="3"/>
  <c r="J234" i="3"/>
  <c r="I234" i="3"/>
  <c r="C234" i="3"/>
  <c r="K233" i="3"/>
  <c r="J233" i="3"/>
  <c r="I233" i="3"/>
  <c r="C233" i="3"/>
  <c r="B233" i="3"/>
  <c r="B234" i="3" s="1"/>
  <c r="K232" i="3"/>
  <c r="J232" i="3"/>
  <c r="I232" i="3"/>
  <c r="C232" i="3"/>
  <c r="K231" i="3"/>
  <c r="J231" i="3"/>
  <c r="I231" i="3"/>
  <c r="C231" i="3"/>
  <c r="B231" i="3"/>
  <c r="B232" i="3" s="1"/>
  <c r="K230" i="3"/>
  <c r="J230" i="3"/>
  <c r="I230" i="3"/>
  <c r="C230" i="3"/>
  <c r="K229" i="3"/>
  <c r="J229" i="3"/>
  <c r="I229" i="3"/>
  <c r="C229" i="3"/>
  <c r="B229" i="3"/>
  <c r="B230" i="3" s="1"/>
  <c r="K228" i="3"/>
  <c r="J228" i="3"/>
  <c r="I228" i="3"/>
  <c r="C228" i="3"/>
  <c r="K227" i="3"/>
  <c r="J227" i="3"/>
  <c r="I227" i="3"/>
  <c r="H227" i="3"/>
  <c r="H228" i="3" s="1"/>
  <c r="H229" i="3" s="1"/>
  <c r="H230" i="3" s="1"/>
  <c r="H231" i="3" s="1"/>
  <c r="H232" i="3" s="1"/>
  <c r="H233" i="3" s="1"/>
  <c r="H234" i="3" s="1"/>
  <c r="H235" i="3" s="1"/>
  <c r="H236" i="3" s="1"/>
  <c r="C227" i="3"/>
  <c r="B227" i="3"/>
  <c r="B228" i="3" s="1"/>
  <c r="K226" i="3"/>
  <c r="N239" i="3" s="1"/>
  <c r="J226" i="3"/>
  <c r="I226" i="3"/>
  <c r="H226" i="3"/>
  <c r="C226" i="3"/>
  <c r="B226" i="3"/>
  <c r="F220" i="3"/>
  <c r="K220" i="3" s="1"/>
  <c r="F219" i="3"/>
  <c r="K219" i="3" s="1"/>
  <c r="K218" i="3"/>
  <c r="F218" i="3"/>
  <c r="K217" i="3"/>
  <c r="F217" i="3"/>
  <c r="K216" i="3"/>
  <c r="F216" i="3"/>
  <c r="F215" i="3"/>
  <c r="K215" i="3" s="1"/>
  <c r="F214" i="3"/>
  <c r="K214" i="3" s="1"/>
  <c r="F213" i="3"/>
  <c r="K213" i="3" s="1"/>
  <c r="K212" i="3"/>
  <c r="F212" i="3"/>
  <c r="K211" i="3"/>
  <c r="F211" i="3"/>
  <c r="F210" i="3"/>
  <c r="K210" i="3" s="1"/>
  <c r="K209" i="3"/>
  <c r="F209" i="3"/>
  <c r="H208" i="3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F208" i="3"/>
  <c r="K208" i="3" s="1"/>
  <c r="F207" i="3"/>
  <c r="K207" i="3" s="1"/>
  <c r="F206" i="3"/>
  <c r="K206" i="3" s="1"/>
  <c r="K205" i="3"/>
  <c r="F205" i="3"/>
  <c r="K204" i="3"/>
  <c r="F204" i="3"/>
  <c r="H203" i="3"/>
  <c r="H204" i="3" s="1"/>
  <c r="H205" i="3" s="1"/>
  <c r="H206" i="3" s="1"/>
  <c r="H207" i="3" s="1"/>
  <c r="F203" i="3"/>
  <c r="K203" i="3" s="1"/>
  <c r="B203" i="3"/>
  <c r="B204" i="3" s="1"/>
  <c r="L202" i="3"/>
  <c r="K202" i="3"/>
  <c r="H202" i="3"/>
  <c r="G202" i="3"/>
  <c r="F202" i="3"/>
  <c r="B202" i="3"/>
  <c r="C202" i="3" s="1"/>
  <c r="E194" i="3"/>
  <c r="K194" i="3" s="1"/>
  <c r="E193" i="3"/>
  <c r="K193" i="3" s="1"/>
  <c r="E192" i="3"/>
  <c r="K192" i="3" s="1"/>
  <c r="E191" i="3"/>
  <c r="K191" i="3" s="1"/>
  <c r="E190" i="3"/>
  <c r="K190" i="3" s="1"/>
  <c r="E189" i="3"/>
  <c r="K189" i="3" s="1"/>
  <c r="E188" i="3"/>
  <c r="K188" i="3" s="1"/>
  <c r="E187" i="3"/>
  <c r="K187" i="3" s="1"/>
  <c r="E186" i="3"/>
  <c r="K186" i="3" s="1"/>
  <c r="E185" i="3"/>
  <c r="K185" i="3" s="1"/>
  <c r="E184" i="3"/>
  <c r="K184" i="3" s="1"/>
  <c r="E183" i="3"/>
  <c r="K183" i="3" s="1"/>
  <c r="E182" i="3"/>
  <c r="K182" i="3" s="1"/>
  <c r="E181" i="3"/>
  <c r="K181" i="3" s="1"/>
  <c r="E180" i="3"/>
  <c r="K180" i="3" s="1"/>
  <c r="E179" i="3"/>
  <c r="K179" i="3" s="1"/>
  <c r="E178" i="3"/>
  <c r="K178" i="3" s="1"/>
  <c r="H177" i="3"/>
  <c r="H178" i="3" s="1"/>
  <c r="I178" i="3" s="1"/>
  <c r="E177" i="3"/>
  <c r="K177" i="3" s="1"/>
  <c r="B177" i="3"/>
  <c r="B178" i="3" s="1"/>
  <c r="L176" i="3"/>
  <c r="H176" i="3"/>
  <c r="I176" i="3" s="1"/>
  <c r="N189" i="3" s="1"/>
  <c r="E176" i="3"/>
  <c r="K176" i="3" s="1"/>
  <c r="B176" i="3"/>
  <c r="C176" i="3" s="1"/>
  <c r="H171" i="3"/>
  <c r="H170" i="3"/>
  <c r="H169" i="3"/>
  <c r="H168" i="3"/>
  <c r="H167" i="3"/>
  <c r="H166" i="3"/>
  <c r="H165" i="3"/>
  <c r="H164" i="3"/>
  <c r="H163" i="3"/>
  <c r="H162" i="3"/>
  <c r="D162" i="3"/>
  <c r="D163" i="3" s="1"/>
  <c r="D164" i="3" s="1"/>
  <c r="D165" i="3" s="1"/>
  <c r="D166" i="3" s="1"/>
  <c r="D167" i="3" s="1"/>
  <c r="D168" i="3" s="1"/>
  <c r="D169" i="3" s="1"/>
  <c r="D170" i="3" s="1"/>
  <c r="D171" i="3" s="1"/>
  <c r="G171" i="3" s="1"/>
  <c r="I171" i="3" s="1"/>
  <c r="H161" i="3"/>
  <c r="H160" i="3"/>
  <c r="H159" i="3"/>
  <c r="H158" i="3"/>
  <c r="G158" i="3"/>
  <c r="I158" i="3" s="1"/>
  <c r="H157" i="3"/>
  <c r="H156" i="3"/>
  <c r="H155" i="3"/>
  <c r="H154" i="3"/>
  <c r="D154" i="3"/>
  <c r="D155" i="3" s="1"/>
  <c r="D156" i="3" s="1"/>
  <c r="D157" i="3" s="1"/>
  <c r="D158" i="3" s="1"/>
  <c r="D159" i="3" s="1"/>
  <c r="D160" i="3" s="1"/>
  <c r="D161" i="3" s="1"/>
  <c r="H153" i="3"/>
  <c r="D153" i="3"/>
  <c r="F146" i="3"/>
  <c r="F145" i="3"/>
  <c r="F144" i="3"/>
  <c r="F143" i="3"/>
  <c r="F142" i="3"/>
  <c r="F141" i="3"/>
  <c r="F140" i="3"/>
  <c r="F139" i="3"/>
  <c r="F138" i="3"/>
  <c r="F137" i="3"/>
  <c r="F136" i="3"/>
  <c r="B136" i="3"/>
  <c r="F135" i="3"/>
  <c r="F134" i="3"/>
  <c r="B134" i="3"/>
  <c r="F133" i="3"/>
  <c r="F132" i="3"/>
  <c r="B132" i="3"/>
  <c r="F131" i="3"/>
  <c r="F130" i="3"/>
  <c r="F129" i="3"/>
  <c r="D129" i="3"/>
  <c r="D130" i="3" s="1"/>
  <c r="E130" i="3" s="1"/>
  <c r="H128" i="3"/>
  <c r="F128" i="3"/>
  <c r="D128" i="3"/>
  <c r="J114" i="3"/>
  <c r="J111" i="3"/>
  <c r="D107" i="3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06" i="3"/>
  <c r="J86" i="3"/>
  <c r="J89" i="3" s="1"/>
  <c r="D85" i="3"/>
  <c r="D86" i="3" s="1"/>
  <c r="D84" i="3"/>
  <c r="D83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G65" i="3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F65" i="3"/>
  <c r="D62" i="3"/>
  <c r="D61" i="3"/>
  <c r="B61" i="3"/>
  <c r="D60" i="3"/>
  <c r="B60" i="3"/>
  <c r="D59" i="3"/>
  <c r="B59" i="3"/>
  <c r="D58" i="3"/>
  <c r="B58" i="3"/>
  <c r="D57" i="3"/>
  <c r="B57" i="3"/>
  <c r="D56" i="3"/>
  <c r="B56" i="3"/>
  <c r="D55" i="3"/>
  <c r="B55" i="3"/>
  <c r="D54" i="3"/>
  <c r="B54" i="3"/>
  <c r="F53" i="3"/>
  <c r="G53" i="3" s="1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V53" i="3" s="1"/>
  <c r="W53" i="3" s="1"/>
  <c r="B53" i="3"/>
  <c r="B40" i="3"/>
  <c r="B39" i="3"/>
  <c r="B38" i="3"/>
  <c r="B37" i="3"/>
  <c r="B36" i="3"/>
  <c r="B35" i="3"/>
  <c r="B34" i="3"/>
  <c r="D33" i="3"/>
  <c r="E33" i="3" s="1"/>
  <c r="C33" i="3"/>
  <c r="C34" i="3" s="1"/>
  <c r="B33" i="3"/>
  <c r="D32" i="3"/>
  <c r="E32" i="3" s="1"/>
  <c r="C32" i="3"/>
  <c r="B32" i="3"/>
  <c r="G9" i="3"/>
  <c r="F9" i="3"/>
  <c r="E9" i="3"/>
  <c r="G6" i="3"/>
  <c r="F6" i="3"/>
  <c r="E6" i="3"/>
  <c r="H198" i="3" s="1"/>
  <c r="C198" i="3" s="1"/>
  <c r="L5" i="3"/>
  <c r="K5" i="3"/>
  <c r="J5" i="3"/>
  <c r="H2" i="3"/>
  <c r="E2" i="3"/>
  <c r="J292" i="2"/>
  <c r="I292" i="2"/>
  <c r="D292" i="2"/>
  <c r="C292" i="2"/>
  <c r="J291" i="2"/>
  <c r="I291" i="2"/>
  <c r="D291" i="2"/>
  <c r="C291" i="2"/>
  <c r="J290" i="2"/>
  <c r="I290" i="2"/>
  <c r="D290" i="2"/>
  <c r="C290" i="2"/>
  <c r="J289" i="2"/>
  <c r="I289" i="2"/>
  <c r="D289" i="2"/>
  <c r="C289" i="2"/>
  <c r="J288" i="2"/>
  <c r="I288" i="2"/>
  <c r="D288" i="2"/>
  <c r="C288" i="2"/>
  <c r="J287" i="2"/>
  <c r="I287" i="2"/>
  <c r="D287" i="2"/>
  <c r="C287" i="2"/>
  <c r="J286" i="2"/>
  <c r="I286" i="2"/>
  <c r="D286" i="2"/>
  <c r="C286" i="2"/>
  <c r="J285" i="2"/>
  <c r="I285" i="2"/>
  <c r="D285" i="2"/>
  <c r="C285" i="2"/>
  <c r="J284" i="2"/>
  <c r="I284" i="2"/>
  <c r="D284" i="2"/>
  <c r="C284" i="2"/>
  <c r="J283" i="2"/>
  <c r="I283" i="2"/>
  <c r="D283" i="2"/>
  <c r="C283" i="2"/>
  <c r="J282" i="2"/>
  <c r="I282" i="2"/>
  <c r="D282" i="2"/>
  <c r="C282" i="2"/>
  <c r="J281" i="2"/>
  <c r="I281" i="2"/>
  <c r="D281" i="2"/>
  <c r="C281" i="2"/>
  <c r="J280" i="2"/>
  <c r="I280" i="2"/>
  <c r="H280" i="2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D280" i="2"/>
  <c r="C280" i="2"/>
  <c r="J279" i="2"/>
  <c r="I279" i="2"/>
  <c r="H279" i="2"/>
  <c r="D279" i="2"/>
  <c r="C279" i="2"/>
  <c r="J278" i="2"/>
  <c r="I278" i="2"/>
  <c r="D278" i="2"/>
  <c r="C278" i="2"/>
  <c r="J277" i="2"/>
  <c r="I277" i="2"/>
  <c r="H277" i="2"/>
  <c r="H278" i="2" s="1"/>
  <c r="D277" i="2"/>
  <c r="C277" i="2"/>
  <c r="J276" i="2"/>
  <c r="I276" i="2"/>
  <c r="H276" i="2"/>
  <c r="D276" i="2"/>
  <c r="C276" i="2"/>
  <c r="J275" i="2"/>
  <c r="I275" i="2"/>
  <c r="H275" i="2"/>
  <c r="D275" i="2"/>
  <c r="C275" i="2"/>
  <c r="J274" i="2"/>
  <c r="I274" i="2"/>
  <c r="H274" i="2"/>
  <c r="D274" i="2"/>
  <c r="C274" i="2"/>
  <c r="B274" i="2"/>
  <c r="B251" i="2"/>
  <c r="B252" i="2" s="1"/>
  <c r="E250" i="2"/>
  <c r="B250" i="2"/>
  <c r="E250" i="2" s="1" a="1"/>
  <c r="B249" i="2"/>
  <c r="J244" i="2"/>
  <c r="I244" i="2"/>
  <c r="D244" i="2"/>
  <c r="C244" i="2"/>
  <c r="J243" i="2"/>
  <c r="I243" i="2"/>
  <c r="D243" i="2"/>
  <c r="C243" i="2"/>
  <c r="J242" i="2"/>
  <c r="I242" i="2"/>
  <c r="D242" i="2"/>
  <c r="C242" i="2"/>
  <c r="J241" i="2"/>
  <c r="I241" i="2"/>
  <c r="D241" i="2"/>
  <c r="C241" i="2"/>
  <c r="J240" i="2"/>
  <c r="I240" i="2"/>
  <c r="D240" i="2"/>
  <c r="C240" i="2"/>
  <c r="J239" i="2"/>
  <c r="I239" i="2"/>
  <c r="D239" i="2"/>
  <c r="C239" i="2"/>
  <c r="J238" i="2"/>
  <c r="I238" i="2"/>
  <c r="D238" i="2"/>
  <c r="C238" i="2"/>
  <c r="J237" i="2"/>
  <c r="I237" i="2"/>
  <c r="D237" i="2"/>
  <c r="C237" i="2"/>
  <c r="J236" i="2"/>
  <c r="I236" i="2"/>
  <c r="D236" i="2"/>
  <c r="C236" i="2"/>
  <c r="J235" i="2"/>
  <c r="I235" i="2"/>
  <c r="D235" i="2"/>
  <c r="C235" i="2"/>
  <c r="J234" i="2"/>
  <c r="I234" i="2"/>
  <c r="D234" i="2"/>
  <c r="C234" i="2"/>
  <c r="J233" i="2"/>
  <c r="I233" i="2"/>
  <c r="D233" i="2"/>
  <c r="C233" i="2"/>
  <c r="J232" i="2"/>
  <c r="I232" i="2"/>
  <c r="H232" i="2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D232" i="2"/>
  <c r="C232" i="2"/>
  <c r="J231" i="2"/>
  <c r="I231" i="2"/>
  <c r="D231" i="2"/>
  <c r="C231" i="2"/>
  <c r="J230" i="2"/>
  <c r="I230" i="2"/>
  <c r="D230" i="2"/>
  <c r="C230" i="2"/>
  <c r="J229" i="2"/>
  <c r="I229" i="2"/>
  <c r="H229" i="2"/>
  <c r="H230" i="2" s="1"/>
  <c r="H231" i="2" s="1"/>
  <c r="D229" i="2"/>
  <c r="C229" i="2"/>
  <c r="J228" i="2"/>
  <c r="I228" i="2"/>
  <c r="H228" i="2"/>
  <c r="D228" i="2"/>
  <c r="C228" i="2"/>
  <c r="J227" i="2"/>
  <c r="I227" i="2"/>
  <c r="H227" i="2"/>
  <c r="D227" i="2"/>
  <c r="C227" i="2"/>
  <c r="B227" i="2"/>
  <c r="J226" i="2"/>
  <c r="I226" i="2"/>
  <c r="H226" i="2"/>
  <c r="D226" i="2"/>
  <c r="C226" i="2"/>
  <c r="B226" i="2"/>
  <c r="D205" i="2"/>
  <c r="B205" i="2"/>
  <c r="I204" i="2"/>
  <c r="H204" i="2"/>
  <c r="B204" i="2"/>
  <c r="H203" i="2"/>
  <c r="D203" i="2"/>
  <c r="C203" i="2"/>
  <c r="B203" i="2"/>
  <c r="L202" i="2"/>
  <c r="I202" i="2"/>
  <c r="H202" i="2"/>
  <c r="G202" i="2"/>
  <c r="C202" i="2"/>
  <c r="B202" i="2"/>
  <c r="H178" i="2"/>
  <c r="H177" i="2"/>
  <c r="J177" i="2" s="1"/>
  <c r="B177" i="2"/>
  <c r="L176" i="2"/>
  <c r="H176" i="2"/>
  <c r="I176" i="2" s="1"/>
  <c r="B176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D157" i="2"/>
  <c r="D158" i="2" s="1"/>
  <c r="E158" i="2" s="1"/>
  <c r="F156" i="2"/>
  <c r="F155" i="2"/>
  <c r="E155" i="2"/>
  <c r="D155" i="2"/>
  <c r="D156" i="2" s="1"/>
  <c r="E156" i="2" s="1"/>
  <c r="G154" i="2"/>
  <c r="F154" i="2"/>
  <c r="E154" i="2"/>
  <c r="D154" i="2"/>
  <c r="F153" i="2"/>
  <c r="D153" i="2"/>
  <c r="E153" i="2" s="1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B133" i="2"/>
  <c r="F132" i="2"/>
  <c r="B132" i="2"/>
  <c r="B134" i="2" s="1"/>
  <c r="C50" i="10" s="1"/>
  <c r="F131" i="2"/>
  <c r="F130" i="2"/>
  <c r="F129" i="2"/>
  <c r="D129" i="2"/>
  <c r="D130" i="2" s="1"/>
  <c r="D131" i="2" s="1"/>
  <c r="D132" i="2" s="1"/>
  <c r="D133" i="2" s="1"/>
  <c r="D134" i="2" s="1"/>
  <c r="D135" i="2" s="1"/>
  <c r="F128" i="2"/>
  <c r="D128" i="2"/>
  <c r="B136" i="2" s="1"/>
  <c r="D107" i="2"/>
  <c r="D106" i="2"/>
  <c r="J111" i="2" s="1"/>
  <c r="J114" i="2" s="1"/>
  <c r="D84" i="2"/>
  <c r="D85" i="2" s="1"/>
  <c r="D86" i="2" s="1"/>
  <c r="D87" i="2" s="1"/>
  <c r="D88" i="2" s="1"/>
  <c r="D89" i="2" s="1"/>
  <c r="D90" i="2" s="1"/>
  <c r="D91" i="2" s="1"/>
  <c r="E91" i="2" s="1"/>
  <c r="D83" i="2"/>
  <c r="J86" i="2" s="1"/>
  <c r="J89" i="2" s="1"/>
  <c r="F65" i="2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D59" i="2"/>
  <c r="D58" i="2"/>
  <c r="D57" i="2"/>
  <c r="D56" i="2"/>
  <c r="D55" i="2"/>
  <c r="D54" i="2"/>
  <c r="F53" i="2"/>
  <c r="G53" i="2" s="1"/>
  <c r="H53" i="2" s="1"/>
  <c r="I53" i="2" s="1"/>
  <c r="J53" i="2" s="1"/>
  <c r="K53" i="2" s="1"/>
  <c r="B37" i="2"/>
  <c r="B36" i="2"/>
  <c r="B35" i="2"/>
  <c r="C34" i="2"/>
  <c r="B34" i="2"/>
  <c r="C33" i="2"/>
  <c r="D33" i="2" s="1"/>
  <c r="E33" i="2" s="1"/>
  <c r="B33" i="2"/>
  <c r="E32" i="2"/>
  <c r="D32" i="2"/>
  <c r="C32" i="2"/>
  <c r="B32" i="2"/>
  <c r="G9" i="2"/>
  <c r="F9" i="2"/>
  <c r="E9" i="2"/>
  <c r="G6" i="2"/>
  <c r="F6" i="2"/>
  <c r="E6" i="2"/>
  <c r="K5" i="2"/>
  <c r="L5" i="2" s="1"/>
  <c r="J5" i="2"/>
  <c r="H2" i="2"/>
  <c r="E2" i="2"/>
  <c r="J292" i="1"/>
  <c r="I292" i="1"/>
  <c r="D292" i="1"/>
  <c r="C292" i="1"/>
  <c r="J291" i="1"/>
  <c r="I291" i="1"/>
  <c r="D291" i="1"/>
  <c r="C291" i="1"/>
  <c r="J290" i="1"/>
  <c r="I290" i="1"/>
  <c r="D290" i="1"/>
  <c r="C290" i="1"/>
  <c r="J289" i="1"/>
  <c r="I289" i="1"/>
  <c r="D289" i="1"/>
  <c r="C289" i="1"/>
  <c r="J288" i="1"/>
  <c r="I288" i="1"/>
  <c r="D288" i="1"/>
  <c r="C288" i="1"/>
  <c r="J287" i="1"/>
  <c r="I287" i="1"/>
  <c r="D287" i="1"/>
  <c r="C287" i="1"/>
  <c r="J286" i="1"/>
  <c r="I286" i="1"/>
  <c r="D286" i="1"/>
  <c r="C286" i="1"/>
  <c r="J285" i="1"/>
  <c r="I285" i="1"/>
  <c r="D285" i="1"/>
  <c r="C285" i="1"/>
  <c r="J284" i="1"/>
  <c r="I284" i="1"/>
  <c r="H284" i="1"/>
  <c r="H285" i="1" s="1"/>
  <c r="H286" i="1" s="1"/>
  <c r="H287" i="1" s="1"/>
  <c r="H288" i="1" s="1"/>
  <c r="H289" i="1" s="1"/>
  <c r="H290" i="1" s="1"/>
  <c r="H291" i="1" s="1"/>
  <c r="H292" i="1" s="1"/>
  <c r="D284" i="1"/>
  <c r="C284" i="1"/>
  <c r="J283" i="1"/>
  <c r="I283" i="1"/>
  <c r="D283" i="1"/>
  <c r="C283" i="1"/>
  <c r="J282" i="1"/>
  <c r="I282" i="1"/>
  <c r="D282" i="1"/>
  <c r="C282" i="1"/>
  <c r="J281" i="1"/>
  <c r="I281" i="1"/>
  <c r="D281" i="1"/>
  <c r="C281" i="1"/>
  <c r="J280" i="1"/>
  <c r="I280" i="1"/>
  <c r="D280" i="1"/>
  <c r="C280" i="1"/>
  <c r="J279" i="1"/>
  <c r="I279" i="1"/>
  <c r="D279" i="1"/>
  <c r="C279" i="1"/>
  <c r="J278" i="1"/>
  <c r="I278" i="1"/>
  <c r="H278" i="1"/>
  <c r="H279" i="1" s="1"/>
  <c r="H280" i="1" s="1"/>
  <c r="H281" i="1" s="1"/>
  <c r="H282" i="1" s="1"/>
  <c r="H283" i="1" s="1"/>
  <c r="D278" i="1"/>
  <c r="C278" i="1"/>
  <c r="J277" i="1"/>
  <c r="I277" i="1"/>
  <c r="H277" i="1"/>
  <c r="D277" i="1"/>
  <c r="C277" i="1"/>
  <c r="J276" i="1"/>
  <c r="I276" i="1"/>
  <c r="H276" i="1"/>
  <c r="D276" i="1"/>
  <c r="C276" i="1"/>
  <c r="B276" i="1"/>
  <c r="K275" i="1" a="1"/>
  <c r="K275" i="1" s="1"/>
  <c r="J275" i="1"/>
  <c r="I275" i="1"/>
  <c r="H275" i="1"/>
  <c r="E275" i="1" a="1"/>
  <c r="E275" i="1" s="1"/>
  <c r="D275" i="1"/>
  <c r="C275" i="1"/>
  <c r="B275" i="1"/>
  <c r="K274" i="1" a="1"/>
  <c r="K274" i="1" s="1"/>
  <c r="J274" i="1"/>
  <c r="I274" i="1"/>
  <c r="H274" i="1"/>
  <c r="D274" i="1"/>
  <c r="C274" i="1"/>
  <c r="B274" i="1"/>
  <c r="E274" i="1" s="1" a="1"/>
  <c r="E274" i="1" s="1"/>
  <c r="B250" i="1"/>
  <c r="B251" i="1" s="1"/>
  <c r="B249" i="1"/>
  <c r="J244" i="1"/>
  <c r="I244" i="1"/>
  <c r="D244" i="1"/>
  <c r="C244" i="1"/>
  <c r="J243" i="1"/>
  <c r="I243" i="1"/>
  <c r="D243" i="1"/>
  <c r="C243" i="1"/>
  <c r="J242" i="1"/>
  <c r="I242" i="1"/>
  <c r="D242" i="1"/>
  <c r="C242" i="1"/>
  <c r="J241" i="1"/>
  <c r="I241" i="1"/>
  <c r="D241" i="1"/>
  <c r="C241" i="1"/>
  <c r="J240" i="1"/>
  <c r="I240" i="1"/>
  <c r="D240" i="1"/>
  <c r="C240" i="1"/>
  <c r="J239" i="1"/>
  <c r="I239" i="1"/>
  <c r="D239" i="1"/>
  <c r="C239" i="1"/>
  <c r="J238" i="1"/>
  <c r="I238" i="1"/>
  <c r="D238" i="1"/>
  <c r="C238" i="1"/>
  <c r="J237" i="1"/>
  <c r="I237" i="1"/>
  <c r="D237" i="1"/>
  <c r="C237" i="1"/>
  <c r="J236" i="1"/>
  <c r="I236" i="1"/>
  <c r="D236" i="1"/>
  <c r="C236" i="1"/>
  <c r="J235" i="1"/>
  <c r="I235" i="1"/>
  <c r="D235" i="1"/>
  <c r="C235" i="1"/>
  <c r="J234" i="1"/>
  <c r="I234" i="1"/>
  <c r="D234" i="1"/>
  <c r="C234" i="1"/>
  <c r="J233" i="1"/>
  <c r="I233" i="1"/>
  <c r="D233" i="1"/>
  <c r="C233" i="1"/>
  <c r="J232" i="1"/>
  <c r="I232" i="1"/>
  <c r="D232" i="1"/>
  <c r="C232" i="1"/>
  <c r="J231" i="1"/>
  <c r="I231" i="1"/>
  <c r="D231" i="1"/>
  <c r="C231" i="1"/>
  <c r="J230" i="1"/>
  <c r="I230" i="1"/>
  <c r="D230" i="1"/>
  <c r="C230" i="1"/>
  <c r="J229" i="1"/>
  <c r="I229" i="1"/>
  <c r="D229" i="1"/>
  <c r="C229" i="1"/>
  <c r="K228" i="1" a="1"/>
  <c r="K228" i="1" s="1"/>
  <c r="J228" i="1"/>
  <c r="I228" i="1"/>
  <c r="D228" i="1"/>
  <c r="C228" i="1"/>
  <c r="J227" i="1"/>
  <c r="I227" i="1"/>
  <c r="H227" i="1"/>
  <c r="H228" i="1" s="1"/>
  <c r="H229" i="1" s="1"/>
  <c r="D227" i="1"/>
  <c r="C227" i="1"/>
  <c r="B227" i="1"/>
  <c r="J226" i="1"/>
  <c r="I226" i="1"/>
  <c r="N239" i="1" s="1"/>
  <c r="H226" i="1"/>
  <c r="D226" i="1"/>
  <c r="C226" i="1"/>
  <c r="B226" i="1"/>
  <c r="K226" i="1" s="1" a="1"/>
  <c r="K226" i="1" s="1"/>
  <c r="B205" i="1"/>
  <c r="B206" i="1" s="1"/>
  <c r="B204" i="1"/>
  <c r="I203" i="1"/>
  <c r="H203" i="1"/>
  <c r="D203" i="1"/>
  <c r="C203" i="1"/>
  <c r="B203" i="1"/>
  <c r="L202" i="1"/>
  <c r="G202" i="1"/>
  <c r="D202" i="1"/>
  <c r="C202" i="1"/>
  <c r="J179" i="1"/>
  <c r="I179" i="1"/>
  <c r="H179" i="1"/>
  <c r="H180" i="1" s="1"/>
  <c r="H178" i="1"/>
  <c r="E178" i="1" a="1"/>
  <c r="E178" i="1" s="1"/>
  <c r="D178" i="1"/>
  <c r="B178" i="1"/>
  <c r="K177" i="1" a="1"/>
  <c r="K177" i="1" s="1"/>
  <c r="J177" i="1"/>
  <c r="H177" i="1"/>
  <c r="I177" i="1" s="1"/>
  <c r="B177" i="1"/>
  <c r="D177" i="1" s="1"/>
  <c r="L176" i="1"/>
  <c r="K176" i="1"/>
  <c r="K176" i="1" a="1"/>
  <c r="J176" i="1"/>
  <c r="I176" i="1"/>
  <c r="N189" i="1" s="1"/>
  <c r="H176" i="1"/>
  <c r="E176" i="1" a="1"/>
  <c r="E176" i="1" s="1"/>
  <c r="B176" i="1"/>
  <c r="D156" i="1"/>
  <c r="G155" i="1"/>
  <c r="D155" i="1"/>
  <c r="E155" i="1" s="1"/>
  <c r="G154" i="1"/>
  <c r="D154" i="1"/>
  <c r="E154" i="1" s="1"/>
  <c r="E153" i="1"/>
  <c r="F146" i="1"/>
  <c r="F145" i="1"/>
  <c r="F144" i="1"/>
  <c r="F143" i="1"/>
  <c r="F142" i="1"/>
  <c r="F141" i="1"/>
  <c r="F140" i="1"/>
  <c r="F139" i="1"/>
  <c r="F138" i="1"/>
  <c r="F137" i="1"/>
  <c r="F136" i="1"/>
  <c r="B136" i="1"/>
  <c r="F135" i="1"/>
  <c r="F134" i="1"/>
  <c r="F133" i="1"/>
  <c r="B133" i="1"/>
  <c r="F132" i="1"/>
  <c r="B132" i="1"/>
  <c r="F131" i="1"/>
  <c r="F130" i="1"/>
  <c r="F129" i="1"/>
  <c r="D129" i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F128" i="1"/>
  <c r="D108" i="1"/>
  <c r="D107" i="1"/>
  <c r="J111" i="1"/>
  <c r="D86" i="1"/>
  <c r="E86" i="1" s="1"/>
  <c r="E85" i="1"/>
  <c r="D85" i="1"/>
  <c r="D84" i="1"/>
  <c r="D83" i="1"/>
  <c r="G65" i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F65" i="1"/>
  <c r="D62" i="1"/>
  <c r="D61" i="1"/>
  <c r="D60" i="1"/>
  <c r="D59" i="1"/>
  <c r="D58" i="1"/>
  <c r="D57" i="1"/>
  <c r="D56" i="1"/>
  <c r="D55" i="1"/>
  <c r="D54" i="1"/>
  <c r="G53" i="1"/>
  <c r="H53" i="1" s="1"/>
  <c r="F53" i="1"/>
  <c r="B40" i="1"/>
  <c r="B39" i="1"/>
  <c r="B38" i="1"/>
  <c r="B37" i="1"/>
  <c r="B36" i="1"/>
  <c r="B35" i="1"/>
  <c r="B34" i="1"/>
  <c r="C33" i="1"/>
  <c r="C34" i="1" s="1"/>
  <c r="C35" i="1" s="1"/>
  <c r="B33" i="1"/>
  <c r="D32" i="1"/>
  <c r="E32" i="1" s="1"/>
  <c r="C32" i="1"/>
  <c r="B32" i="1"/>
  <c r="G9" i="1"/>
  <c r="F9" i="1"/>
  <c r="E9" i="1"/>
  <c r="G6" i="1"/>
  <c r="F6" i="1"/>
  <c r="E6" i="1"/>
  <c r="H198" i="1" s="1"/>
  <c r="C198" i="1" s="1"/>
  <c r="K5" i="1"/>
  <c r="L5" i="1" s="1"/>
  <c r="J5" i="1"/>
  <c r="H2" i="1"/>
  <c r="E2" i="1"/>
  <c r="I67" i="10" l="1"/>
  <c r="J67" i="10" s="1"/>
  <c r="B69" i="10"/>
  <c r="G68" i="10"/>
  <c r="D130" i="10"/>
  <c r="L158" i="5"/>
  <c r="D128" i="10"/>
  <c r="B134" i="10"/>
  <c r="B110" i="10"/>
  <c r="E91" i="9"/>
  <c r="E93" i="9"/>
  <c r="E130" i="9"/>
  <c r="N189" i="9"/>
  <c r="I53" i="9"/>
  <c r="H69" i="9"/>
  <c r="F69" i="9"/>
  <c r="D250" i="9"/>
  <c r="J203" i="9"/>
  <c r="B205" i="9"/>
  <c r="C204" i="9"/>
  <c r="K204" i="9" a="1"/>
  <c r="K204" i="9" s="1"/>
  <c r="F204" i="9" a="1"/>
  <c r="F204" i="9" s="1"/>
  <c r="E204" i="9"/>
  <c r="B72" i="9"/>
  <c r="A80" i="9"/>
  <c r="D34" i="9"/>
  <c r="E34" i="9" s="1"/>
  <c r="C35" i="9"/>
  <c r="J179" i="9"/>
  <c r="I179" i="9"/>
  <c r="H180" i="9"/>
  <c r="I154" i="9"/>
  <c r="B252" i="9"/>
  <c r="D251" i="9"/>
  <c r="C251" i="9"/>
  <c r="E251" i="9" a="1"/>
  <c r="E251" i="9" s="1"/>
  <c r="I153" i="9"/>
  <c r="E69" i="9"/>
  <c r="C249" i="9"/>
  <c r="K180" i="9" a="1"/>
  <c r="K180" i="9" s="1"/>
  <c r="E180" i="9" a="1"/>
  <c r="E180" i="9" s="1"/>
  <c r="D180" i="9"/>
  <c r="B181" i="9"/>
  <c r="C180" i="9"/>
  <c r="E108" i="9"/>
  <c r="D109" i="9"/>
  <c r="I204" i="9"/>
  <c r="B230" i="9"/>
  <c r="K229" i="9" a="1"/>
  <c r="K229" i="9" s="1"/>
  <c r="E229" i="9" a="1"/>
  <c r="E229" i="9" s="1"/>
  <c r="E156" i="9"/>
  <c r="D157" i="9"/>
  <c r="G156" i="9"/>
  <c r="K276" i="9" a="1"/>
  <c r="K276" i="9" s="1"/>
  <c r="B277" i="9"/>
  <c r="E276" i="9" a="1"/>
  <c r="E276" i="9" s="1"/>
  <c r="J202" i="9"/>
  <c r="N215" i="9" s="1"/>
  <c r="E202" i="9"/>
  <c r="D204" i="9"/>
  <c r="E132" i="9"/>
  <c r="D133" i="9"/>
  <c r="E94" i="9"/>
  <c r="D95" i="9"/>
  <c r="E203" i="9"/>
  <c r="E92" i="9"/>
  <c r="J204" i="9"/>
  <c r="H205" i="9"/>
  <c r="I154" i="5"/>
  <c r="L161" i="5"/>
  <c r="D135" i="5"/>
  <c r="E134" i="5"/>
  <c r="H180" i="5"/>
  <c r="I179" i="5"/>
  <c r="B278" i="5"/>
  <c r="K277" i="5" a="1"/>
  <c r="K277" i="5" s="1"/>
  <c r="E277" i="5" a="1"/>
  <c r="E277" i="5" s="1"/>
  <c r="E133" i="5"/>
  <c r="B183" i="5"/>
  <c r="C182" i="5"/>
  <c r="C206" i="5"/>
  <c r="B207" i="5"/>
  <c r="C40" i="5"/>
  <c r="D39" i="5"/>
  <c r="E39" i="5" s="1"/>
  <c r="D157" i="5"/>
  <c r="G156" i="5"/>
  <c r="I156" i="5" s="1"/>
  <c r="E86" i="3"/>
  <c r="D87" i="3"/>
  <c r="D88" i="3" s="1"/>
  <c r="D89" i="3" s="1"/>
  <c r="D90" i="3" s="1"/>
  <c r="D91" i="3" s="1"/>
  <c r="D92" i="3" s="1"/>
  <c r="C203" i="3"/>
  <c r="D203" i="3"/>
  <c r="G165" i="3"/>
  <c r="I165" i="3" s="1"/>
  <c r="D131" i="3"/>
  <c r="E85" i="3"/>
  <c r="C177" i="3"/>
  <c r="G162" i="3"/>
  <c r="I162" i="3" s="1"/>
  <c r="B205" i="3"/>
  <c r="C204" i="3"/>
  <c r="B179" i="3"/>
  <c r="C178" i="3"/>
  <c r="C35" i="3"/>
  <c r="D34" i="3"/>
  <c r="E34" i="3" s="1"/>
  <c r="I177" i="3"/>
  <c r="K274" i="3" a="1"/>
  <c r="K274" i="3" s="1"/>
  <c r="E274" i="3" a="1"/>
  <c r="E274" i="3" s="1"/>
  <c r="G159" i="3"/>
  <c r="I159" i="3" s="1"/>
  <c r="G154" i="3"/>
  <c r="I154" i="3" s="1"/>
  <c r="G156" i="3"/>
  <c r="I156" i="3" s="1"/>
  <c r="G153" i="3"/>
  <c r="I153" i="3" s="1"/>
  <c r="L158" i="3" s="1"/>
  <c r="E84" i="3"/>
  <c r="K2" i="3"/>
  <c r="L2" i="3" s="1"/>
  <c r="G170" i="3"/>
  <c r="I170" i="3" s="1"/>
  <c r="G167" i="3"/>
  <c r="I167" i="3" s="1"/>
  <c r="G164" i="3"/>
  <c r="I164" i="3" s="1"/>
  <c r="E89" i="3"/>
  <c r="G169" i="3"/>
  <c r="I169" i="3" s="1"/>
  <c r="G166" i="3"/>
  <c r="I166" i="3" s="1"/>
  <c r="E87" i="3"/>
  <c r="I203" i="3"/>
  <c r="D202" i="3"/>
  <c r="G163" i="3"/>
  <c r="I163" i="3" s="1"/>
  <c r="I204" i="3"/>
  <c r="I202" i="3"/>
  <c r="N215" i="3" s="1"/>
  <c r="G161" i="3"/>
  <c r="I161" i="3" s="1"/>
  <c r="G157" i="3"/>
  <c r="I157" i="3" s="1"/>
  <c r="E90" i="3"/>
  <c r="E83" i="3"/>
  <c r="G168" i="3"/>
  <c r="I168" i="3" s="1"/>
  <c r="D204" i="3"/>
  <c r="E88" i="3"/>
  <c r="G2" i="3"/>
  <c r="B73" i="3"/>
  <c r="A80" i="3" s="1"/>
  <c r="B72" i="3"/>
  <c r="E129" i="3"/>
  <c r="G155" i="3"/>
  <c r="I155" i="3" s="1"/>
  <c r="G160" i="3"/>
  <c r="I160" i="3" s="1"/>
  <c r="H179" i="3"/>
  <c r="E91" i="3"/>
  <c r="B276" i="3"/>
  <c r="E275" i="3" a="1"/>
  <c r="E275" i="3" s="1"/>
  <c r="E128" i="3"/>
  <c r="D136" i="2"/>
  <c r="E135" i="2"/>
  <c r="C252" i="2"/>
  <c r="E274" i="2" a="1"/>
  <c r="E274" i="2" s="1"/>
  <c r="B275" i="2"/>
  <c r="K274" i="2" a="1"/>
  <c r="K274" i="2" s="1"/>
  <c r="K176" i="2" a="1"/>
  <c r="K176" i="2" s="1"/>
  <c r="D176" i="2"/>
  <c r="K202" i="2" a="1"/>
  <c r="K202" i="2" s="1"/>
  <c r="E84" i="2"/>
  <c r="C176" i="2"/>
  <c r="E86" i="2"/>
  <c r="E251" i="2" a="1"/>
  <c r="E251" i="2" s="1"/>
  <c r="E249" i="2" a="1"/>
  <c r="E249" i="2" s="1"/>
  <c r="C249" i="2"/>
  <c r="G66" i="2"/>
  <c r="C35" i="2"/>
  <c r="D34" i="2"/>
  <c r="E34" i="2" s="1"/>
  <c r="J66" i="2"/>
  <c r="B73" i="2"/>
  <c r="A80" i="2" s="1"/>
  <c r="K177" i="2" a="1"/>
  <c r="K177" i="2" s="1"/>
  <c r="B178" i="2"/>
  <c r="K203" i="2" a="1"/>
  <c r="K203" i="2" s="1"/>
  <c r="E177" i="2" a="1"/>
  <c r="E177" i="2" s="1"/>
  <c r="D177" i="2"/>
  <c r="F203" i="2" a="1"/>
  <c r="F203" i="2" s="1"/>
  <c r="H205" i="2"/>
  <c r="D92" i="2"/>
  <c r="H179" i="2"/>
  <c r="J178" i="2"/>
  <c r="I178" i="2"/>
  <c r="B253" i="2"/>
  <c r="E252" i="2" a="1"/>
  <c r="E252" i="2" s="1"/>
  <c r="D159" i="2"/>
  <c r="C177" i="2"/>
  <c r="F66" i="2"/>
  <c r="H154" i="2"/>
  <c r="I154" i="2" s="1"/>
  <c r="B228" i="2"/>
  <c r="K227" i="2" a="1"/>
  <c r="K227" i="2" s="1"/>
  <c r="E227" i="2" a="1"/>
  <c r="E227" i="2" s="1"/>
  <c r="E129" i="2"/>
  <c r="H128" i="2"/>
  <c r="E132" i="2"/>
  <c r="E131" i="2"/>
  <c r="E134" i="2"/>
  <c r="F249" i="2"/>
  <c r="E130" i="2"/>
  <c r="B206" i="2"/>
  <c r="N239" i="2"/>
  <c r="E157" i="2"/>
  <c r="C205" i="2"/>
  <c r="H198" i="2"/>
  <c r="C198" i="2" s="1"/>
  <c r="J204" i="2" s="1"/>
  <c r="L53" i="2"/>
  <c r="E128" i="2"/>
  <c r="E133" i="2"/>
  <c r="B72" i="2"/>
  <c r="E87" i="2"/>
  <c r="K226" i="2" a="1"/>
  <c r="K226" i="2" s="1"/>
  <c r="E226" i="2" a="1"/>
  <c r="E226" i="2" s="1"/>
  <c r="C204" i="2"/>
  <c r="G157" i="2"/>
  <c r="G155" i="2"/>
  <c r="G153" i="2"/>
  <c r="E83" i="2"/>
  <c r="I203" i="2"/>
  <c r="E85" i="2"/>
  <c r="E90" i="2"/>
  <c r="G2" i="2"/>
  <c r="C251" i="2" s="1"/>
  <c r="D108" i="2"/>
  <c r="E107" i="2"/>
  <c r="G158" i="2"/>
  <c r="E88" i="2"/>
  <c r="D204" i="2"/>
  <c r="I205" i="2"/>
  <c r="C250" i="2"/>
  <c r="K2" i="2"/>
  <c r="L2" i="2" s="1"/>
  <c r="E89" i="2"/>
  <c r="G156" i="2"/>
  <c r="F202" i="2" a="1"/>
  <c r="F202" i="2" s="1"/>
  <c r="I177" i="2"/>
  <c r="J202" i="1"/>
  <c r="E203" i="1"/>
  <c r="E202" i="1"/>
  <c r="E206" i="1"/>
  <c r="C206" i="1"/>
  <c r="C205" i="1"/>
  <c r="K276" i="1" a="1"/>
  <c r="K276" i="1" s="1"/>
  <c r="E276" i="1" a="1"/>
  <c r="E276" i="1" s="1"/>
  <c r="B277" i="1"/>
  <c r="D34" i="1"/>
  <c r="E34" i="1" s="1"/>
  <c r="C178" i="1"/>
  <c r="B179" i="1"/>
  <c r="E205" i="1"/>
  <c r="C36" i="1"/>
  <c r="D35" i="1"/>
  <c r="E35" i="1" s="1"/>
  <c r="D157" i="1"/>
  <c r="E156" i="1"/>
  <c r="D87" i="1"/>
  <c r="D109" i="1"/>
  <c r="I180" i="1"/>
  <c r="H181" i="1"/>
  <c r="K180" i="1" a="1"/>
  <c r="K180" i="1" s="1"/>
  <c r="J180" i="1"/>
  <c r="E251" i="1" a="1"/>
  <c r="E251" i="1" s="1"/>
  <c r="B252" i="1"/>
  <c r="D251" i="1"/>
  <c r="E227" i="1" a="1"/>
  <c r="E227" i="1" s="1"/>
  <c r="B228" i="1"/>
  <c r="K203" i="1" a="1"/>
  <c r="K203" i="1" s="1"/>
  <c r="H204" i="1"/>
  <c r="J203" i="1"/>
  <c r="B207" i="1"/>
  <c r="I207" i="1" s="1"/>
  <c r="K229" i="1" a="1"/>
  <c r="K229" i="1" s="1"/>
  <c r="H230" i="1"/>
  <c r="D33" i="1"/>
  <c r="E33" i="1" s="1"/>
  <c r="F205" i="1" a="1"/>
  <c r="F205" i="1" s="1"/>
  <c r="I53" i="1"/>
  <c r="E249" i="1" a="1"/>
  <c r="E249" i="1" s="1"/>
  <c r="D249" i="1"/>
  <c r="D206" i="1"/>
  <c r="K179" i="1" a="1"/>
  <c r="K179" i="1" s="1"/>
  <c r="K178" i="1" a="1"/>
  <c r="K178" i="1" s="1"/>
  <c r="I178" i="1"/>
  <c r="E204" i="1"/>
  <c r="C177" i="1"/>
  <c r="J178" i="1"/>
  <c r="C204" i="1"/>
  <c r="D250" i="1"/>
  <c r="G153" i="1"/>
  <c r="E177" i="1" a="1"/>
  <c r="E177" i="1" s="1"/>
  <c r="F204" i="1" a="1"/>
  <c r="F204" i="1" s="1"/>
  <c r="K227" i="1" a="1"/>
  <c r="K227" i="1" s="1"/>
  <c r="E250" i="1" a="1"/>
  <c r="E250" i="1" s="1"/>
  <c r="G2" i="1"/>
  <c r="C251" i="1" s="1"/>
  <c r="B134" i="1"/>
  <c r="C10" i="10" s="1"/>
  <c r="E10" i="10" s="1"/>
  <c r="K202" i="1" a="1"/>
  <c r="K202" i="1" s="1"/>
  <c r="F202" i="1" a="1"/>
  <c r="F202" i="1" s="1"/>
  <c r="C176" i="1"/>
  <c r="J86" i="1"/>
  <c r="I206" i="1"/>
  <c r="E84" i="1"/>
  <c r="I205" i="1"/>
  <c r="K2" i="1"/>
  <c r="L2" i="1" s="1"/>
  <c r="D204" i="1"/>
  <c r="G156" i="1"/>
  <c r="E83" i="1"/>
  <c r="D205" i="1"/>
  <c r="I202" i="1"/>
  <c r="H154" i="1"/>
  <c r="I154" i="1" s="1"/>
  <c r="B73" i="1"/>
  <c r="A80" i="1" s="1"/>
  <c r="E66" i="1"/>
  <c r="D176" i="1"/>
  <c r="I204" i="1"/>
  <c r="E226" i="1" a="1"/>
  <c r="E226" i="1" s="1"/>
  <c r="F203" i="1" a="1"/>
  <c r="F203" i="1" s="1"/>
  <c r="I68" i="10" l="1"/>
  <c r="J68" i="10" s="1"/>
  <c r="B70" i="10"/>
  <c r="G69" i="10"/>
  <c r="F10" i="10"/>
  <c r="H22" i="10"/>
  <c r="I22" i="10" s="1"/>
  <c r="H34" i="10"/>
  <c r="I34" i="10" s="1"/>
  <c r="H35" i="10"/>
  <c r="I35" i="10" s="1"/>
  <c r="H25" i="10"/>
  <c r="I25" i="10" s="1"/>
  <c r="H26" i="10"/>
  <c r="I26" i="10" s="1"/>
  <c r="H27" i="10"/>
  <c r="I27" i="10" s="1"/>
  <c r="H31" i="10"/>
  <c r="I31" i="10" s="1"/>
  <c r="H20" i="10"/>
  <c r="I20" i="10" s="1"/>
  <c r="H21" i="10"/>
  <c r="I21" i="10" s="1"/>
  <c r="H23" i="10"/>
  <c r="I23" i="10" s="1"/>
  <c r="H32" i="10"/>
  <c r="I32" i="10" s="1"/>
  <c r="H33" i="10"/>
  <c r="I33" i="10" s="1"/>
  <c r="H24" i="10"/>
  <c r="I24" i="10" s="1"/>
  <c r="H36" i="10"/>
  <c r="I36" i="10" s="1"/>
  <c r="H37" i="10"/>
  <c r="I37" i="10" s="1"/>
  <c r="H19" i="10"/>
  <c r="I19" i="10" s="1"/>
  <c r="J19" i="10" s="1"/>
  <c r="H28" i="10"/>
  <c r="I28" i="10" s="1"/>
  <c r="H29" i="10"/>
  <c r="I29" i="10" s="1"/>
  <c r="H30" i="10"/>
  <c r="I30" i="10" s="1"/>
  <c r="E20" i="10"/>
  <c r="E105" i="10"/>
  <c r="E129" i="10"/>
  <c r="E128" i="10"/>
  <c r="E104" i="10"/>
  <c r="D131" i="10"/>
  <c r="D129" i="10"/>
  <c r="C129" i="10"/>
  <c r="C105" i="10"/>
  <c r="C20" i="10"/>
  <c r="H129" i="10"/>
  <c r="H105" i="10"/>
  <c r="B135" i="10"/>
  <c r="B111" i="10"/>
  <c r="L158" i="9"/>
  <c r="J163" i="9" s="1"/>
  <c r="E19" i="10"/>
  <c r="G69" i="9"/>
  <c r="J53" i="9"/>
  <c r="I155" i="9"/>
  <c r="I156" i="9"/>
  <c r="D96" i="9"/>
  <c r="E95" i="9"/>
  <c r="B182" i="9"/>
  <c r="K181" i="9" a="1"/>
  <c r="K181" i="9" s="1"/>
  <c r="D181" i="9"/>
  <c r="E181" i="9" a="1"/>
  <c r="E181" i="9" s="1"/>
  <c r="C181" i="9"/>
  <c r="H206" i="9"/>
  <c r="J205" i="9"/>
  <c r="J180" i="9"/>
  <c r="H181" i="9"/>
  <c r="I180" i="9"/>
  <c r="C36" i="9"/>
  <c r="D35" i="9"/>
  <c r="E35" i="9" s="1"/>
  <c r="D134" i="9"/>
  <c r="E133" i="9"/>
  <c r="D110" i="9"/>
  <c r="E109" i="9"/>
  <c r="B278" i="9"/>
  <c r="E277" i="9" a="1"/>
  <c r="E277" i="9" s="1"/>
  <c r="K277" i="9" a="1"/>
  <c r="K277" i="9" s="1"/>
  <c r="D158" i="9"/>
  <c r="E157" i="9"/>
  <c r="G157" i="9"/>
  <c r="C252" i="9"/>
  <c r="B253" i="9"/>
  <c r="E252" i="9" a="1"/>
  <c r="E252" i="9" s="1"/>
  <c r="D252" i="9"/>
  <c r="B231" i="9"/>
  <c r="E230" i="9" a="1"/>
  <c r="E230" i="9" s="1"/>
  <c r="K230" i="9" a="1"/>
  <c r="K230" i="9" s="1"/>
  <c r="C205" i="9"/>
  <c r="B206" i="9"/>
  <c r="E205" i="9"/>
  <c r="F205" i="9" a="1"/>
  <c r="F205" i="9" s="1"/>
  <c r="K205" i="9" a="1"/>
  <c r="K205" i="9" s="1"/>
  <c r="I205" i="9"/>
  <c r="D205" i="9"/>
  <c r="C183" i="5"/>
  <c r="B184" i="5"/>
  <c r="D158" i="5"/>
  <c r="G157" i="5"/>
  <c r="I157" i="5" s="1"/>
  <c r="I180" i="5"/>
  <c r="H181" i="5"/>
  <c r="E278" i="5" a="1"/>
  <c r="E278" i="5" s="1"/>
  <c r="B279" i="5"/>
  <c r="K278" i="5" a="1"/>
  <c r="K278" i="5" s="1"/>
  <c r="C41" i="5"/>
  <c r="D40" i="5"/>
  <c r="E40" i="5" s="1"/>
  <c r="D136" i="5"/>
  <c r="E135" i="5"/>
  <c r="C207" i="5"/>
  <c r="B208" i="5"/>
  <c r="D207" i="5"/>
  <c r="I207" i="5"/>
  <c r="K276" i="3" a="1"/>
  <c r="K276" i="3" s="1"/>
  <c r="E276" i="3" a="1"/>
  <c r="E276" i="3" s="1"/>
  <c r="B277" i="3"/>
  <c r="L161" i="3"/>
  <c r="J163" i="3"/>
  <c r="B180" i="3"/>
  <c r="C179" i="3"/>
  <c r="C36" i="3"/>
  <c r="D35" i="3"/>
  <c r="E35" i="3" s="1"/>
  <c r="C205" i="3"/>
  <c r="B206" i="3"/>
  <c r="I205" i="3"/>
  <c r="D205" i="3"/>
  <c r="I179" i="3"/>
  <c r="H180" i="3"/>
  <c r="D132" i="3"/>
  <c r="E131" i="3"/>
  <c r="D93" i="3"/>
  <c r="E92" i="3"/>
  <c r="B179" i="2"/>
  <c r="K178" i="2" a="1"/>
  <c r="K178" i="2" s="1"/>
  <c r="C178" i="2"/>
  <c r="D178" i="2"/>
  <c r="E178" i="2" a="1"/>
  <c r="E178" i="2" s="1"/>
  <c r="K66" i="2"/>
  <c r="H159" i="2"/>
  <c r="N189" i="2"/>
  <c r="H155" i="2"/>
  <c r="I155" i="2" s="1"/>
  <c r="H160" i="2"/>
  <c r="D160" i="2"/>
  <c r="G159" i="2"/>
  <c r="E159" i="2"/>
  <c r="E66" i="2"/>
  <c r="H153" i="2"/>
  <c r="I153" i="2" s="1"/>
  <c r="D252" i="2"/>
  <c r="D109" i="2"/>
  <c r="E108" i="2"/>
  <c r="H206" i="2"/>
  <c r="J205" i="2"/>
  <c r="C36" i="2"/>
  <c r="D35" i="2"/>
  <c r="E35" i="2" s="1"/>
  <c r="H66" i="2"/>
  <c r="H156" i="2"/>
  <c r="I156" i="2" s="1"/>
  <c r="J203" i="2"/>
  <c r="J202" i="2"/>
  <c r="N215" i="2" s="1"/>
  <c r="E205" i="2"/>
  <c r="I179" i="2"/>
  <c r="J179" i="2"/>
  <c r="H180" i="2"/>
  <c r="K204" i="2" a="1"/>
  <c r="K204" i="2" s="1"/>
  <c r="E203" i="2"/>
  <c r="B207" i="2"/>
  <c r="D206" i="2"/>
  <c r="C206" i="2"/>
  <c r="E206" i="2"/>
  <c r="I206" i="2"/>
  <c r="E253" i="2" a="1"/>
  <c r="E253" i="2" s="1"/>
  <c r="D253" i="2"/>
  <c r="C253" i="2"/>
  <c r="B254" i="2"/>
  <c r="I66" i="2"/>
  <c r="H157" i="2"/>
  <c r="I157" i="2" s="1"/>
  <c r="H158" i="2"/>
  <c r="I158" i="2" s="1"/>
  <c r="D249" i="2"/>
  <c r="D250" i="2"/>
  <c r="F204" i="2" a="1"/>
  <c r="F204" i="2" s="1"/>
  <c r="D93" i="2"/>
  <c r="E92" i="2"/>
  <c r="D251" i="2"/>
  <c r="K275" i="2" a="1"/>
  <c r="K275" i="2" s="1"/>
  <c r="E275" i="2" a="1"/>
  <c r="E275" i="2" s="1"/>
  <c r="B276" i="2"/>
  <c r="E204" i="2"/>
  <c r="M53" i="2"/>
  <c r="L66" i="2"/>
  <c r="B229" i="2"/>
  <c r="K228" i="2" a="1"/>
  <c r="K228" i="2" s="1"/>
  <c r="E228" i="2" a="1"/>
  <c r="E228" i="2" s="1"/>
  <c r="D137" i="2"/>
  <c r="E136" i="2"/>
  <c r="H155" i="1"/>
  <c r="I155" i="1" s="1"/>
  <c r="G66" i="1"/>
  <c r="C249" i="1"/>
  <c r="D110" i="1"/>
  <c r="H156" i="1"/>
  <c r="I156" i="1" s="1"/>
  <c r="H66" i="1"/>
  <c r="E228" i="1" a="1"/>
  <c r="E228" i="1" s="1"/>
  <c r="B229" i="1"/>
  <c r="C37" i="1"/>
  <c r="D36" i="1"/>
  <c r="E36" i="1" s="1"/>
  <c r="K277" i="1" a="1"/>
  <c r="K277" i="1" s="1"/>
  <c r="B278" i="1"/>
  <c r="E277" i="1" a="1"/>
  <c r="E277" i="1" s="1"/>
  <c r="D158" i="1"/>
  <c r="E157" i="1"/>
  <c r="H153" i="1"/>
  <c r="I153" i="1" s="1"/>
  <c r="C250" i="1"/>
  <c r="E135" i="1"/>
  <c r="E145" i="1"/>
  <c r="E141" i="1"/>
  <c r="E137" i="1"/>
  <c r="E134" i="1"/>
  <c r="E143" i="1"/>
  <c r="E138" i="1"/>
  <c r="E130" i="1"/>
  <c r="E129" i="1"/>
  <c r="E132" i="1"/>
  <c r="F249" i="1"/>
  <c r="E146" i="1"/>
  <c r="E142" i="1"/>
  <c r="E136" i="1"/>
  <c r="E131" i="1"/>
  <c r="E128" i="1"/>
  <c r="E133" i="1"/>
  <c r="H128" i="1"/>
  <c r="E140" i="1"/>
  <c r="E139" i="1"/>
  <c r="E144" i="1"/>
  <c r="E87" i="1"/>
  <c r="D88" i="1"/>
  <c r="E252" i="1" a="1"/>
  <c r="E252" i="1" s="1"/>
  <c r="D252" i="1"/>
  <c r="C252" i="1"/>
  <c r="B253" i="1"/>
  <c r="J53" i="1"/>
  <c r="E179" i="1" a="1"/>
  <c r="E179" i="1" s="1"/>
  <c r="B180" i="1"/>
  <c r="C179" i="1"/>
  <c r="D179" i="1"/>
  <c r="F66" i="1"/>
  <c r="H205" i="1"/>
  <c r="K204" i="1" a="1"/>
  <c r="K204" i="1" s="1"/>
  <c r="J204" i="1"/>
  <c r="J181" i="1"/>
  <c r="H182" i="1"/>
  <c r="K181" i="1" a="1"/>
  <c r="K181" i="1" s="1"/>
  <c r="I181" i="1"/>
  <c r="N215" i="1"/>
  <c r="G157" i="1"/>
  <c r="B72" i="1"/>
  <c r="K230" i="1" a="1"/>
  <c r="K230" i="1" s="1"/>
  <c r="H231" i="1"/>
  <c r="C207" i="1"/>
  <c r="B208" i="1"/>
  <c r="E207" i="1"/>
  <c r="D207" i="1"/>
  <c r="G70" i="10" l="1"/>
  <c r="B71" i="10"/>
  <c r="I69" i="10"/>
  <c r="J69" i="10" s="1"/>
  <c r="L161" i="9"/>
  <c r="E22" i="10"/>
  <c r="E107" i="10"/>
  <c r="E131" i="10"/>
  <c r="E21" i="10"/>
  <c r="E130" i="10"/>
  <c r="E106" i="10"/>
  <c r="D132" i="10"/>
  <c r="C133" i="10"/>
  <c r="C131" i="10"/>
  <c r="C132" i="10"/>
  <c r="C130" i="10"/>
  <c r="L158" i="2"/>
  <c r="J163" i="2" s="1"/>
  <c r="C128" i="10"/>
  <c r="H128" i="10" s="1"/>
  <c r="C106" i="10"/>
  <c r="C21" i="10"/>
  <c r="L158" i="1"/>
  <c r="L161" i="1" s="1"/>
  <c r="C19" i="10"/>
  <c r="C104" i="10"/>
  <c r="H104" i="10" s="1"/>
  <c r="C107" i="10"/>
  <c r="H107" i="10" s="1"/>
  <c r="C22" i="10"/>
  <c r="B136" i="10"/>
  <c r="B112" i="10"/>
  <c r="I69" i="9"/>
  <c r="K53" i="9"/>
  <c r="C182" i="9"/>
  <c r="D182" i="9"/>
  <c r="K182" i="9" a="1"/>
  <c r="K182" i="9" s="1"/>
  <c r="E182" i="9" a="1"/>
  <c r="E182" i="9" s="1"/>
  <c r="B183" i="9"/>
  <c r="C206" i="9"/>
  <c r="K206" i="9" a="1"/>
  <c r="K206" i="9" s="1"/>
  <c r="B207" i="9"/>
  <c r="E206" i="9"/>
  <c r="F206" i="9" a="1"/>
  <c r="F206" i="9" s="1"/>
  <c r="I206" i="9"/>
  <c r="D206" i="9"/>
  <c r="J181" i="9"/>
  <c r="I181" i="9"/>
  <c r="H182" i="9"/>
  <c r="K278" i="9" a="1"/>
  <c r="K278" i="9" s="1"/>
  <c r="B279" i="9"/>
  <c r="E278" i="9" a="1"/>
  <c r="E278" i="9" s="1"/>
  <c r="J206" i="9"/>
  <c r="H207" i="9"/>
  <c r="E110" i="9"/>
  <c r="D111" i="9"/>
  <c r="E253" i="9" a="1"/>
  <c r="E253" i="9" s="1"/>
  <c r="D253" i="9"/>
  <c r="C253" i="9"/>
  <c r="B254" i="9"/>
  <c r="I157" i="9"/>
  <c r="D36" i="9"/>
  <c r="E36" i="9" s="1"/>
  <c r="C37" i="9"/>
  <c r="D159" i="9"/>
  <c r="E158" i="9"/>
  <c r="G158" i="9"/>
  <c r="D97" i="9"/>
  <c r="E96" i="9"/>
  <c r="K231" i="9" a="1"/>
  <c r="K231" i="9" s="1"/>
  <c r="E231" i="9" a="1"/>
  <c r="E231" i="9" s="1"/>
  <c r="B232" i="9"/>
  <c r="D135" i="9"/>
  <c r="E134" i="9"/>
  <c r="D137" i="5"/>
  <c r="E136" i="5"/>
  <c r="C42" i="5"/>
  <c r="D41" i="5"/>
  <c r="E41" i="5" s="1"/>
  <c r="B209" i="5"/>
  <c r="C208" i="5"/>
  <c r="D208" i="5"/>
  <c r="I208" i="5"/>
  <c r="D159" i="5"/>
  <c r="G158" i="5"/>
  <c r="I158" i="5" s="1"/>
  <c r="B185" i="5"/>
  <c r="C184" i="5"/>
  <c r="B280" i="5"/>
  <c r="K279" i="5" a="1"/>
  <c r="K279" i="5" s="1"/>
  <c r="E279" i="5" a="1"/>
  <c r="E279" i="5" s="1"/>
  <c r="H182" i="5"/>
  <c r="I181" i="5"/>
  <c r="C206" i="3"/>
  <c r="B207" i="3"/>
  <c r="D206" i="3"/>
  <c r="I206" i="3"/>
  <c r="D36" i="3"/>
  <c r="E36" i="3" s="1"/>
  <c r="C37" i="3"/>
  <c r="D94" i="3"/>
  <c r="E93" i="3"/>
  <c r="B181" i="3"/>
  <c r="C180" i="3"/>
  <c r="I180" i="3"/>
  <c r="H181" i="3"/>
  <c r="E277" i="3" a="1"/>
  <c r="E277" i="3" s="1"/>
  <c r="B278" i="3"/>
  <c r="K277" i="3" a="1"/>
  <c r="K277" i="3" s="1"/>
  <c r="E132" i="3"/>
  <c r="D133" i="3"/>
  <c r="H207" i="2"/>
  <c r="J206" i="2"/>
  <c r="D138" i="2"/>
  <c r="E137" i="2"/>
  <c r="D110" i="2"/>
  <c r="E109" i="2"/>
  <c r="E229" i="2" a="1"/>
  <c r="E229" i="2" s="1"/>
  <c r="K229" i="2" a="1"/>
  <c r="K229" i="2" s="1"/>
  <c r="B230" i="2"/>
  <c r="E254" i="2" a="1"/>
  <c r="E254" i="2" s="1"/>
  <c r="D254" i="2"/>
  <c r="B255" i="2"/>
  <c r="C254" i="2"/>
  <c r="H181" i="2"/>
  <c r="J180" i="2"/>
  <c r="I180" i="2"/>
  <c r="E160" i="2"/>
  <c r="D161" i="2"/>
  <c r="G160" i="2"/>
  <c r="C207" i="2"/>
  <c r="E207" i="2"/>
  <c r="B208" i="2"/>
  <c r="D207" i="2"/>
  <c r="I207" i="2"/>
  <c r="D94" i="2"/>
  <c r="E93" i="2"/>
  <c r="I159" i="2"/>
  <c r="N53" i="2"/>
  <c r="E179" i="2" a="1"/>
  <c r="E179" i="2" s="1"/>
  <c r="K179" i="2" a="1"/>
  <c r="K179" i="2" s="1"/>
  <c r="C179" i="2"/>
  <c r="B180" i="2"/>
  <c r="D179" i="2"/>
  <c r="F205" i="2" a="1"/>
  <c r="F205" i="2" s="1"/>
  <c r="K205" i="2" a="1"/>
  <c r="K205" i="2" s="1"/>
  <c r="E276" i="2" a="1"/>
  <c r="E276" i="2" s="1"/>
  <c r="B277" i="2"/>
  <c r="K276" i="2" a="1"/>
  <c r="K276" i="2" s="1"/>
  <c r="C37" i="2"/>
  <c r="D36" i="2"/>
  <c r="E36" i="2" s="1"/>
  <c r="C180" i="1"/>
  <c r="B181" i="1"/>
  <c r="E180" i="1" a="1"/>
  <c r="E180" i="1" s="1"/>
  <c r="D180" i="1"/>
  <c r="F206" i="1" a="1"/>
  <c r="F206" i="1" s="1"/>
  <c r="D159" i="1"/>
  <c r="E158" i="1"/>
  <c r="G158" i="1"/>
  <c r="D89" i="1"/>
  <c r="E88" i="1"/>
  <c r="E208" i="1"/>
  <c r="C208" i="1"/>
  <c r="B209" i="1"/>
  <c r="I208" i="1"/>
  <c r="D208" i="1"/>
  <c r="E229" i="1" a="1"/>
  <c r="E229" i="1" s="1"/>
  <c r="B230" i="1"/>
  <c r="B279" i="1"/>
  <c r="E278" i="1" a="1"/>
  <c r="E278" i="1" s="1"/>
  <c r="K278" i="1" a="1"/>
  <c r="K278" i="1" s="1"/>
  <c r="B254" i="1"/>
  <c r="C253" i="1"/>
  <c r="D253" i="1"/>
  <c r="E253" i="1" a="1"/>
  <c r="E253" i="1" s="1"/>
  <c r="D111" i="1"/>
  <c r="C38" i="1"/>
  <c r="D37" i="1"/>
  <c r="E37" i="1" s="1"/>
  <c r="K205" i="1" a="1"/>
  <c r="K205" i="1" s="1"/>
  <c r="J205" i="1"/>
  <c r="H206" i="1"/>
  <c r="H232" i="1"/>
  <c r="K231" i="1" a="1"/>
  <c r="K231" i="1" s="1"/>
  <c r="H157" i="1"/>
  <c r="I157" i="1" s="1"/>
  <c r="I66" i="1"/>
  <c r="K182" i="1" a="1"/>
  <c r="K182" i="1" s="1"/>
  <c r="J182" i="1"/>
  <c r="I182" i="1"/>
  <c r="H183" i="1"/>
  <c r="K53" i="1"/>
  <c r="B72" i="10" l="1"/>
  <c r="G71" i="10"/>
  <c r="I70" i="10"/>
  <c r="J70" i="10" s="1"/>
  <c r="E23" i="10"/>
  <c r="E108" i="10"/>
  <c r="E132" i="10"/>
  <c r="H132" i="10"/>
  <c r="H106" i="10"/>
  <c r="H131" i="10"/>
  <c r="H130" i="10"/>
  <c r="D133" i="10"/>
  <c r="L161" i="2"/>
  <c r="C134" i="10"/>
  <c r="C108" i="10"/>
  <c r="H108" i="10" s="1"/>
  <c r="C23" i="10"/>
  <c r="B137" i="10"/>
  <c r="B113" i="10"/>
  <c r="J69" i="9"/>
  <c r="L53" i="9"/>
  <c r="E111" i="9"/>
  <c r="D112" i="9"/>
  <c r="E207" i="9"/>
  <c r="C207" i="9"/>
  <c r="B208" i="9"/>
  <c r="K207" i="9" a="1"/>
  <c r="K207" i="9" s="1"/>
  <c r="I207" i="9"/>
  <c r="F207" i="9" a="1"/>
  <c r="F207" i="9" s="1"/>
  <c r="D207" i="9"/>
  <c r="D98" i="9"/>
  <c r="E97" i="9"/>
  <c r="I158" i="9"/>
  <c r="E254" i="9" a="1"/>
  <c r="E254" i="9" s="1"/>
  <c r="D254" i="9"/>
  <c r="C254" i="9"/>
  <c r="B255" i="9"/>
  <c r="E159" i="9"/>
  <c r="D160" i="9"/>
  <c r="G159" i="9"/>
  <c r="H183" i="9"/>
  <c r="I182" i="9"/>
  <c r="J182" i="9"/>
  <c r="D136" i="9"/>
  <c r="E135" i="9"/>
  <c r="E232" i="9" a="1"/>
  <c r="E232" i="9" s="1"/>
  <c r="B233" i="9"/>
  <c r="K232" i="9" a="1"/>
  <c r="K232" i="9" s="1"/>
  <c r="J207" i="9"/>
  <c r="H208" i="9"/>
  <c r="E279" i="9" a="1"/>
  <c r="E279" i="9" s="1"/>
  <c r="B280" i="9"/>
  <c r="K279" i="9" a="1"/>
  <c r="K279" i="9" s="1"/>
  <c r="E183" i="9" a="1"/>
  <c r="E183" i="9" s="1"/>
  <c r="D183" i="9"/>
  <c r="C183" i="9"/>
  <c r="K183" i="9" a="1"/>
  <c r="K183" i="9" s="1"/>
  <c r="B184" i="9"/>
  <c r="C38" i="9"/>
  <c r="D37" i="9"/>
  <c r="E37" i="9" s="1"/>
  <c r="C185" i="5"/>
  <c r="B186" i="5"/>
  <c r="D160" i="5"/>
  <c r="G159" i="5"/>
  <c r="I159" i="5" s="1"/>
  <c r="B210" i="5"/>
  <c r="C209" i="5"/>
  <c r="D209" i="5"/>
  <c r="I209" i="5"/>
  <c r="I182" i="5"/>
  <c r="H183" i="5"/>
  <c r="D42" i="5"/>
  <c r="E42" i="5" s="1"/>
  <c r="C43" i="5"/>
  <c r="K280" i="5" a="1"/>
  <c r="K280" i="5" s="1"/>
  <c r="E280" i="5" a="1"/>
  <c r="E280" i="5" s="1"/>
  <c r="B281" i="5"/>
  <c r="D138" i="5"/>
  <c r="E137" i="5"/>
  <c r="D134" i="3"/>
  <c r="E133" i="3"/>
  <c r="I181" i="3"/>
  <c r="H182" i="3"/>
  <c r="B182" i="3"/>
  <c r="C181" i="3"/>
  <c r="D95" i="3"/>
  <c r="E94" i="3"/>
  <c r="C38" i="3"/>
  <c r="D37" i="3"/>
  <c r="E37" i="3" s="1"/>
  <c r="E278" i="3" a="1"/>
  <c r="E278" i="3" s="1"/>
  <c r="B279" i="3"/>
  <c r="K278" i="3" a="1"/>
  <c r="K278" i="3" s="1"/>
  <c r="B208" i="3"/>
  <c r="C207" i="3"/>
  <c r="D207" i="3"/>
  <c r="I207" i="3"/>
  <c r="E277" i="2" a="1"/>
  <c r="E277" i="2" s="1"/>
  <c r="B278" i="2"/>
  <c r="K277" i="2" a="1"/>
  <c r="K277" i="2" s="1"/>
  <c r="H161" i="2"/>
  <c r="M66" i="2"/>
  <c r="E230" i="2" a="1"/>
  <c r="E230" i="2" s="1"/>
  <c r="B231" i="2"/>
  <c r="K230" i="2" a="1"/>
  <c r="K230" i="2" s="1"/>
  <c r="D162" i="2"/>
  <c r="G161" i="2"/>
  <c r="E161" i="2"/>
  <c r="I160" i="2"/>
  <c r="D95" i="2"/>
  <c r="E94" i="2"/>
  <c r="D139" i="2"/>
  <c r="E138" i="2"/>
  <c r="D255" i="2"/>
  <c r="B256" i="2"/>
  <c r="C255" i="2"/>
  <c r="E255" i="2" a="1"/>
  <c r="E255" i="2" s="1"/>
  <c r="E208" i="2"/>
  <c r="C208" i="2"/>
  <c r="B209" i="2"/>
  <c r="D208" i="2"/>
  <c r="I208" i="2"/>
  <c r="O53" i="2"/>
  <c r="E110" i="2"/>
  <c r="D111" i="2"/>
  <c r="C180" i="2"/>
  <c r="E180" i="2" a="1"/>
  <c r="E180" i="2" s="1"/>
  <c r="D180" i="2"/>
  <c r="B181" i="2"/>
  <c r="K180" i="2" a="1"/>
  <c r="K180" i="2" s="1"/>
  <c r="K206" i="2" a="1"/>
  <c r="K206" i="2" s="1"/>
  <c r="F206" i="2" a="1"/>
  <c r="F206" i="2" s="1"/>
  <c r="H182" i="2"/>
  <c r="I181" i="2"/>
  <c r="J181" i="2"/>
  <c r="H208" i="2"/>
  <c r="J207" i="2"/>
  <c r="C38" i="2"/>
  <c r="D37" i="2"/>
  <c r="E37" i="2" s="1"/>
  <c r="L53" i="1"/>
  <c r="B231" i="1"/>
  <c r="E230" i="1" a="1"/>
  <c r="E230" i="1" s="1"/>
  <c r="D160" i="1"/>
  <c r="E159" i="1"/>
  <c r="G159" i="1"/>
  <c r="D90" i="1"/>
  <c r="E89" i="1"/>
  <c r="K279" i="1" a="1"/>
  <c r="K279" i="1" s="1"/>
  <c r="E279" i="1" a="1"/>
  <c r="E279" i="1" s="1"/>
  <c r="B280" i="1"/>
  <c r="I183" i="1"/>
  <c r="H184" i="1"/>
  <c r="K183" i="1" a="1"/>
  <c r="K183" i="1" s="1"/>
  <c r="J183" i="1"/>
  <c r="D38" i="1"/>
  <c r="E38" i="1" s="1"/>
  <c r="C39" i="1"/>
  <c r="D181" i="1"/>
  <c r="B182" i="1"/>
  <c r="C181" i="1"/>
  <c r="E181" i="1" a="1"/>
  <c r="E181" i="1" s="1"/>
  <c r="F207" i="1" a="1"/>
  <c r="F207" i="1" s="1"/>
  <c r="K206" i="1" a="1"/>
  <c r="K206" i="1" s="1"/>
  <c r="H207" i="1"/>
  <c r="J206" i="1"/>
  <c r="E209" i="1"/>
  <c r="C209" i="1"/>
  <c r="B210" i="1"/>
  <c r="I209" i="1"/>
  <c r="D209" i="1"/>
  <c r="H233" i="1"/>
  <c r="K232" i="1" a="1"/>
  <c r="K232" i="1" s="1"/>
  <c r="H158" i="1"/>
  <c r="I158" i="1" s="1"/>
  <c r="J66" i="1"/>
  <c r="D112" i="1"/>
  <c r="C254" i="1"/>
  <c r="B255" i="1"/>
  <c r="E254" i="1" a="1"/>
  <c r="E254" i="1" s="1"/>
  <c r="D254" i="1"/>
  <c r="I71" i="10" l="1"/>
  <c r="J71" i="10" s="1"/>
  <c r="B73" i="10"/>
  <c r="G72" i="10"/>
  <c r="E24" i="10"/>
  <c r="E109" i="10"/>
  <c r="E133" i="10"/>
  <c r="H133" i="10" s="1"/>
  <c r="D134" i="10"/>
  <c r="I161" i="2"/>
  <c r="C135" i="10"/>
  <c r="C136" i="10"/>
  <c r="C24" i="10"/>
  <c r="C109" i="10"/>
  <c r="B138" i="10"/>
  <c r="B114" i="10"/>
  <c r="K69" i="9"/>
  <c r="M53" i="9"/>
  <c r="H184" i="9"/>
  <c r="I183" i="9"/>
  <c r="J183" i="9"/>
  <c r="D99" i="9"/>
  <c r="E98" i="9"/>
  <c r="D161" i="9"/>
  <c r="E160" i="9"/>
  <c r="G160" i="9"/>
  <c r="J208" i="9"/>
  <c r="H209" i="9"/>
  <c r="I159" i="9"/>
  <c r="F208" i="9" a="1"/>
  <c r="F208" i="9" s="1"/>
  <c r="E208" i="9"/>
  <c r="C208" i="9"/>
  <c r="K208" i="9" a="1"/>
  <c r="K208" i="9" s="1"/>
  <c r="B209" i="9"/>
  <c r="I208" i="9"/>
  <c r="D208" i="9"/>
  <c r="D113" i="9"/>
  <c r="E112" i="9"/>
  <c r="C39" i="9"/>
  <c r="D38" i="9"/>
  <c r="E38" i="9" s="1"/>
  <c r="E184" i="9" a="1"/>
  <c r="E184" i="9" s="1"/>
  <c r="B185" i="9"/>
  <c r="K184" i="9" a="1"/>
  <c r="K184" i="9" s="1"/>
  <c r="D184" i="9"/>
  <c r="C184" i="9"/>
  <c r="E255" i="9" a="1"/>
  <c r="E255" i="9" s="1"/>
  <c r="D255" i="9"/>
  <c r="C255" i="9"/>
  <c r="B256" i="9"/>
  <c r="E280" i="9" a="1"/>
  <c r="E280" i="9" s="1"/>
  <c r="K280" i="9" a="1"/>
  <c r="K280" i="9" s="1"/>
  <c r="B281" i="9"/>
  <c r="B234" i="9"/>
  <c r="E233" i="9" a="1"/>
  <c r="E233" i="9" s="1"/>
  <c r="K233" i="9" a="1"/>
  <c r="K233" i="9" s="1"/>
  <c r="D137" i="9"/>
  <c r="E136" i="9"/>
  <c r="C210" i="5"/>
  <c r="B211" i="5"/>
  <c r="D210" i="5"/>
  <c r="I210" i="5"/>
  <c r="D139" i="5"/>
  <c r="E138" i="5"/>
  <c r="B282" i="5"/>
  <c r="E281" i="5" a="1"/>
  <c r="E281" i="5" s="1"/>
  <c r="K281" i="5" a="1"/>
  <c r="K281" i="5" s="1"/>
  <c r="G160" i="5"/>
  <c r="I160" i="5" s="1"/>
  <c r="D161" i="5"/>
  <c r="B187" i="5"/>
  <c r="C186" i="5"/>
  <c r="D43" i="5"/>
  <c r="E43" i="5" s="1"/>
  <c r="C44" i="5"/>
  <c r="H184" i="5"/>
  <c r="I183" i="5"/>
  <c r="D96" i="3"/>
  <c r="E95" i="3"/>
  <c r="E134" i="3"/>
  <c r="D135" i="3"/>
  <c r="K279" i="3" a="1"/>
  <c r="K279" i="3" s="1"/>
  <c r="E279" i="3" a="1"/>
  <c r="E279" i="3" s="1"/>
  <c r="B280" i="3"/>
  <c r="C39" i="3"/>
  <c r="D38" i="3"/>
  <c r="E38" i="3" s="1"/>
  <c r="B183" i="3"/>
  <c r="C182" i="3"/>
  <c r="I182" i="3"/>
  <c r="H183" i="3"/>
  <c r="B209" i="3"/>
  <c r="C208" i="3"/>
  <c r="I208" i="3"/>
  <c r="D208" i="3"/>
  <c r="B232" i="2"/>
  <c r="K231" i="2" a="1"/>
  <c r="K231" i="2" s="1"/>
  <c r="E231" i="2" a="1"/>
  <c r="E231" i="2" s="1"/>
  <c r="D140" i="2"/>
  <c r="E139" i="2"/>
  <c r="E111" i="2"/>
  <c r="D112" i="2"/>
  <c r="J208" i="2"/>
  <c r="H209" i="2"/>
  <c r="D163" i="2"/>
  <c r="G162" i="2"/>
  <c r="E162" i="2"/>
  <c r="J182" i="2"/>
  <c r="I182" i="2"/>
  <c r="H183" i="2"/>
  <c r="P53" i="2"/>
  <c r="B279" i="2"/>
  <c r="E278" i="2" a="1"/>
  <c r="E278" i="2" s="1"/>
  <c r="K278" i="2" a="1"/>
  <c r="K278" i="2" s="1"/>
  <c r="B257" i="2"/>
  <c r="E256" i="2" a="1"/>
  <c r="E256" i="2" s="1"/>
  <c r="D256" i="2"/>
  <c r="C256" i="2"/>
  <c r="H162" i="2"/>
  <c r="N66" i="2"/>
  <c r="E181" i="2" a="1"/>
  <c r="E181" i="2" s="1"/>
  <c r="C181" i="2"/>
  <c r="B182" i="2"/>
  <c r="D181" i="2"/>
  <c r="K181" i="2" a="1"/>
  <c r="K181" i="2" s="1"/>
  <c r="K207" i="2" a="1"/>
  <c r="K207" i="2" s="1"/>
  <c r="F207" i="2" a="1"/>
  <c r="F207" i="2" s="1"/>
  <c r="D38" i="2"/>
  <c r="E38" i="2" s="1"/>
  <c r="C39" i="2"/>
  <c r="B210" i="2"/>
  <c r="E209" i="2"/>
  <c r="D209" i="2"/>
  <c r="I209" i="2"/>
  <c r="C209" i="2"/>
  <c r="D96" i="2"/>
  <c r="E95" i="2"/>
  <c r="E231" i="1" a="1"/>
  <c r="E231" i="1" s="1"/>
  <c r="B232" i="1"/>
  <c r="D113" i="1"/>
  <c r="K66" i="1"/>
  <c r="H159" i="1"/>
  <c r="I159" i="1" s="1"/>
  <c r="B183" i="1"/>
  <c r="E182" i="1" a="1"/>
  <c r="E182" i="1" s="1"/>
  <c r="D182" i="1"/>
  <c r="C182" i="1"/>
  <c r="F208" i="1" a="1"/>
  <c r="F208" i="1" s="1"/>
  <c r="D91" i="1"/>
  <c r="E90" i="1"/>
  <c r="K184" i="1" a="1"/>
  <c r="K184" i="1" s="1"/>
  <c r="J184" i="1"/>
  <c r="I184" i="1"/>
  <c r="H185" i="1"/>
  <c r="J207" i="1"/>
  <c r="K207" i="1" a="1"/>
  <c r="K207" i="1" s="1"/>
  <c r="H208" i="1"/>
  <c r="H234" i="1"/>
  <c r="K233" i="1" a="1"/>
  <c r="K233" i="1" s="1"/>
  <c r="D161" i="1"/>
  <c r="E160" i="1"/>
  <c r="G160" i="1"/>
  <c r="M53" i="1"/>
  <c r="E280" i="1" a="1"/>
  <c r="E280" i="1" s="1"/>
  <c r="B281" i="1"/>
  <c r="K280" i="1" a="1"/>
  <c r="K280" i="1" s="1"/>
  <c r="B211" i="1"/>
  <c r="I210" i="1"/>
  <c r="E210" i="1"/>
  <c r="D210" i="1"/>
  <c r="C210" i="1"/>
  <c r="C40" i="1"/>
  <c r="D39" i="1"/>
  <c r="E39" i="1" s="1"/>
  <c r="E255" i="1" a="1"/>
  <c r="E255" i="1" s="1"/>
  <c r="D255" i="1"/>
  <c r="B256" i="1"/>
  <c r="C255" i="1"/>
  <c r="I72" i="10" l="1"/>
  <c r="J72" i="10" s="1"/>
  <c r="B74" i="10"/>
  <c r="G73" i="10"/>
  <c r="E25" i="10"/>
  <c r="E134" i="10"/>
  <c r="E110" i="10"/>
  <c r="H109" i="10"/>
  <c r="H134" i="10"/>
  <c r="D135" i="10"/>
  <c r="I162" i="2"/>
  <c r="C137" i="10" s="1"/>
  <c r="C25" i="10"/>
  <c r="C110" i="10"/>
  <c r="B139" i="10"/>
  <c r="B115" i="10"/>
  <c r="N53" i="9"/>
  <c r="I160" i="9"/>
  <c r="L69" i="9"/>
  <c r="H210" i="9"/>
  <c r="J209" i="9"/>
  <c r="C40" i="9"/>
  <c r="D39" i="9"/>
  <c r="E39" i="9" s="1"/>
  <c r="D100" i="9"/>
  <c r="E99" i="9"/>
  <c r="B257" i="9"/>
  <c r="E256" i="9" a="1"/>
  <c r="E256" i="9" s="1"/>
  <c r="D256" i="9"/>
  <c r="C256" i="9"/>
  <c r="D162" i="9"/>
  <c r="E161" i="9"/>
  <c r="G161" i="9"/>
  <c r="H185" i="9"/>
  <c r="J184" i="9"/>
  <c r="I184" i="9"/>
  <c r="K234" i="9" a="1"/>
  <c r="K234" i="9" s="1"/>
  <c r="E234" i="9" a="1"/>
  <c r="E234" i="9" s="1"/>
  <c r="B235" i="9"/>
  <c r="D114" i="9"/>
  <c r="E113" i="9"/>
  <c r="D138" i="9"/>
  <c r="E137" i="9"/>
  <c r="C185" i="9"/>
  <c r="E185" i="9" a="1"/>
  <c r="E185" i="9" s="1"/>
  <c r="K185" i="9" a="1"/>
  <c r="K185" i="9" s="1"/>
  <c r="B186" i="9"/>
  <c r="D185" i="9"/>
  <c r="B282" i="9"/>
  <c r="K281" i="9" a="1"/>
  <c r="K281" i="9" s="1"/>
  <c r="E281" i="9" a="1"/>
  <c r="E281" i="9" s="1"/>
  <c r="F209" i="9" a="1"/>
  <c r="F209" i="9" s="1"/>
  <c r="E209" i="9"/>
  <c r="K209" i="9" a="1"/>
  <c r="K209" i="9" s="1"/>
  <c r="B210" i="9"/>
  <c r="C209" i="9"/>
  <c r="D209" i="9"/>
  <c r="I209" i="9"/>
  <c r="C187" i="5"/>
  <c r="B188" i="5"/>
  <c r="D162" i="5"/>
  <c r="G161" i="5"/>
  <c r="I161" i="5" s="1"/>
  <c r="C45" i="5"/>
  <c r="D44" i="5"/>
  <c r="E44" i="5" s="1"/>
  <c r="C211" i="5"/>
  <c r="B212" i="5"/>
  <c r="I211" i="5"/>
  <c r="D211" i="5"/>
  <c r="K282" i="5" a="1"/>
  <c r="K282" i="5" s="1"/>
  <c r="E282" i="5" a="1"/>
  <c r="E282" i="5" s="1"/>
  <c r="B283" i="5"/>
  <c r="D140" i="5"/>
  <c r="E139" i="5"/>
  <c r="I184" i="5"/>
  <c r="H185" i="5"/>
  <c r="B184" i="3"/>
  <c r="C183" i="3"/>
  <c r="D39" i="3"/>
  <c r="E39" i="3" s="1"/>
  <c r="C40" i="3"/>
  <c r="K280" i="3" a="1"/>
  <c r="K280" i="3" s="1"/>
  <c r="E280" i="3" a="1"/>
  <c r="E280" i="3" s="1"/>
  <c r="B281" i="3"/>
  <c r="D136" i="3"/>
  <c r="E135" i="3"/>
  <c r="C209" i="3"/>
  <c r="B210" i="3"/>
  <c r="I209" i="3"/>
  <c r="D209" i="3"/>
  <c r="H184" i="3"/>
  <c r="I183" i="3"/>
  <c r="D97" i="3"/>
  <c r="E96" i="3"/>
  <c r="B280" i="2"/>
  <c r="K279" i="2" a="1"/>
  <c r="K279" i="2" s="1"/>
  <c r="E279" i="2" a="1"/>
  <c r="E279" i="2" s="1"/>
  <c r="J209" i="2"/>
  <c r="H210" i="2"/>
  <c r="O66" i="2"/>
  <c r="H163" i="2"/>
  <c r="Q53" i="2"/>
  <c r="E112" i="2"/>
  <c r="D113" i="2"/>
  <c r="C210" i="2"/>
  <c r="E210" i="2"/>
  <c r="D210" i="2"/>
  <c r="B211" i="2"/>
  <c r="I210" i="2"/>
  <c r="K182" i="2" a="1"/>
  <c r="K182" i="2" s="1"/>
  <c r="E182" i="2" a="1"/>
  <c r="E182" i="2" s="1"/>
  <c r="C182" i="2"/>
  <c r="D182" i="2"/>
  <c r="B183" i="2"/>
  <c r="F208" i="2" a="1"/>
  <c r="F208" i="2" s="1"/>
  <c r="K208" i="2" a="1"/>
  <c r="K208" i="2" s="1"/>
  <c r="E163" i="2"/>
  <c r="D164" i="2"/>
  <c r="G163" i="2"/>
  <c r="C40" i="2"/>
  <c r="D39" i="2"/>
  <c r="E39" i="2" s="1"/>
  <c r="D141" i="2"/>
  <c r="E140" i="2"/>
  <c r="J183" i="2"/>
  <c r="H184" i="2"/>
  <c r="I183" i="2"/>
  <c r="C257" i="2"/>
  <c r="D257" i="2"/>
  <c r="B258" i="2"/>
  <c r="E257" i="2" a="1"/>
  <c r="E257" i="2" s="1"/>
  <c r="D97" i="2"/>
  <c r="E96" i="2"/>
  <c r="K232" i="2" a="1"/>
  <c r="K232" i="2" s="1"/>
  <c r="B233" i="2"/>
  <c r="E232" i="2" a="1"/>
  <c r="E232" i="2" s="1"/>
  <c r="L66" i="1"/>
  <c r="H160" i="1"/>
  <c r="I160" i="1" s="1"/>
  <c r="K208" i="1" a="1"/>
  <c r="K208" i="1" s="1"/>
  <c r="H209" i="1"/>
  <c r="J208" i="1"/>
  <c r="H186" i="1"/>
  <c r="K185" i="1" a="1"/>
  <c r="K185" i="1" s="1"/>
  <c r="I185" i="1"/>
  <c r="J185" i="1"/>
  <c r="C41" i="1"/>
  <c r="D40" i="1"/>
  <c r="E40" i="1" s="1"/>
  <c r="K234" i="1" a="1"/>
  <c r="K234" i="1" s="1"/>
  <c r="H235" i="1"/>
  <c r="N53" i="1"/>
  <c r="D114" i="1"/>
  <c r="E161" i="1"/>
  <c r="D162" i="1"/>
  <c r="G161" i="1"/>
  <c r="D92" i="1"/>
  <c r="E91" i="1"/>
  <c r="E183" i="1" a="1"/>
  <c r="E183" i="1" s="1"/>
  <c r="C183" i="1"/>
  <c r="B184" i="1"/>
  <c r="D183" i="1"/>
  <c r="F209" i="1" a="1"/>
  <c r="F209" i="1" s="1"/>
  <c r="B212" i="1"/>
  <c r="E211" i="1"/>
  <c r="C211" i="1"/>
  <c r="I211" i="1"/>
  <c r="D211" i="1"/>
  <c r="E256" i="1" a="1"/>
  <c r="E256" i="1" s="1"/>
  <c r="D256" i="1"/>
  <c r="B257" i="1"/>
  <c r="C256" i="1"/>
  <c r="B282" i="1"/>
  <c r="E281" i="1" a="1"/>
  <c r="E281" i="1" s="1"/>
  <c r="K281" i="1" a="1"/>
  <c r="K281" i="1" s="1"/>
  <c r="B233" i="1"/>
  <c r="E232" i="1" a="1"/>
  <c r="E232" i="1" s="1"/>
  <c r="G74" i="10" l="1"/>
  <c r="B75" i="10"/>
  <c r="I73" i="10"/>
  <c r="J73" i="10" s="1"/>
  <c r="H110" i="10"/>
  <c r="E26" i="10"/>
  <c r="E135" i="10"/>
  <c r="H135" i="10" s="1"/>
  <c r="E111" i="10"/>
  <c r="D136" i="10"/>
  <c r="C26" i="10"/>
  <c r="C111" i="10"/>
  <c r="H111" i="10" s="1"/>
  <c r="B140" i="10"/>
  <c r="B116" i="10"/>
  <c r="M69" i="9"/>
  <c r="O53" i="9"/>
  <c r="B236" i="9"/>
  <c r="K235" i="9" a="1"/>
  <c r="K235" i="9" s="1"/>
  <c r="E235" i="9" a="1"/>
  <c r="E235" i="9" s="1"/>
  <c r="D139" i="9"/>
  <c r="E138" i="9"/>
  <c r="F210" i="9" a="1"/>
  <c r="F210" i="9" s="1"/>
  <c r="B211" i="9"/>
  <c r="K210" i="9" a="1"/>
  <c r="K210" i="9" s="1"/>
  <c r="E210" i="9"/>
  <c r="C210" i="9"/>
  <c r="D210" i="9"/>
  <c r="I210" i="9"/>
  <c r="C257" i="9"/>
  <c r="B258" i="9"/>
  <c r="E257" i="9" a="1"/>
  <c r="E257" i="9" s="1"/>
  <c r="D257" i="9"/>
  <c r="K186" i="9" a="1"/>
  <c r="K186" i="9" s="1"/>
  <c r="C186" i="9"/>
  <c r="D186" i="9"/>
  <c r="E186" i="9" a="1"/>
  <c r="E186" i="9" s="1"/>
  <c r="B187" i="9"/>
  <c r="J185" i="9"/>
  <c r="I185" i="9"/>
  <c r="H186" i="9"/>
  <c r="I161" i="9"/>
  <c r="E114" i="9"/>
  <c r="D115" i="9"/>
  <c r="D101" i="9"/>
  <c r="E101" i="9" s="1"/>
  <c r="E100" i="9"/>
  <c r="D40" i="9"/>
  <c r="E40" i="9" s="1"/>
  <c r="C41" i="9"/>
  <c r="K282" i="9" a="1"/>
  <c r="K282" i="9" s="1"/>
  <c r="B283" i="9"/>
  <c r="E282" i="9" a="1"/>
  <c r="E282" i="9" s="1"/>
  <c r="E162" i="9"/>
  <c r="D163" i="9"/>
  <c r="G162" i="9"/>
  <c r="H211" i="9"/>
  <c r="J210" i="9"/>
  <c r="H186" i="5"/>
  <c r="I185" i="5"/>
  <c r="D163" i="5"/>
  <c r="G162" i="5"/>
  <c r="I162" i="5" s="1"/>
  <c r="B213" i="5"/>
  <c r="C212" i="5"/>
  <c r="D212" i="5"/>
  <c r="I212" i="5"/>
  <c r="E140" i="5"/>
  <c r="D141" i="5"/>
  <c r="B189" i="5"/>
  <c r="C188" i="5"/>
  <c r="C46" i="5"/>
  <c r="D45" i="5"/>
  <c r="E45" i="5" s="1"/>
  <c r="B284" i="5"/>
  <c r="K283" i="5" a="1"/>
  <c r="K283" i="5" s="1"/>
  <c r="E283" i="5" a="1"/>
  <c r="E283" i="5" s="1"/>
  <c r="B211" i="3"/>
  <c r="D210" i="3"/>
  <c r="C210" i="3"/>
  <c r="I210" i="3"/>
  <c r="E136" i="3"/>
  <c r="D137" i="3"/>
  <c r="B282" i="3"/>
  <c r="E281" i="3" a="1"/>
  <c r="E281" i="3" s="1"/>
  <c r="K281" i="3" a="1"/>
  <c r="K281" i="3" s="1"/>
  <c r="D98" i="3"/>
  <c r="E97" i="3"/>
  <c r="C41" i="3"/>
  <c r="D40" i="3"/>
  <c r="E40" i="3" s="1"/>
  <c r="I184" i="3"/>
  <c r="H185" i="3"/>
  <c r="B185" i="3"/>
  <c r="C184" i="3"/>
  <c r="R53" i="2"/>
  <c r="D98" i="2"/>
  <c r="E97" i="2"/>
  <c r="B212" i="2"/>
  <c r="E211" i="2"/>
  <c r="I211" i="2"/>
  <c r="C211" i="2"/>
  <c r="D211" i="2"/>
  <c r="I163" i="2"/>
  <c r="D165" i="2"/>
  <c r="G164" i="2"/>
  <c r="E164" i="2"/>
  <c r="J210" i="2"/>
  <c r="H211" i="2"/>
  <c r="B184" i="2"/>
  <c r="D183" i="2"/>
  <c r="C183" i="2"/>
  <c r="K183" i="2" a="1"/>
  <c r="K183" i="2" s="1"/>
  <c r="E183" i="2" a="1"/>
  <c r="E183" i="2" s="1"/>
  <c r="K209" i="2" a="1"/>
  <c r="K209" i="2" s="1"/>
  <c r="F209" i="2" a="1"/>
  <c r="F209" i="2" s="1"/>
  <c r="D114" i="2"/>
  <c r="E113" i="2"/>
  <c r="H185" i="2"/>
  <c r="J184" i="2"/>
  <c r="I184" i="2"/>
  <c r="B234" i="2"/>
  <c r="E233" i="2" a="1"/>
  <c r="E233" i="2" s="1"/>
  <c r="K233" i="2" a="1"/>
  <c r="K233" i="2" s="1"/>
  <c r="D142" i="2"/>
  <c r="E141" i="2"/>
  <c r="D40" i="2"/>
  <c r="E40" i="2" s="1"/>
  <c r="C41" i="2"/>
  <c r="P66" i="2"/>
  <c r="H164" i="2"/>
  <c r="B259" i="2"/>
  <c r="D258" i="2"/>
  <c r="C258" i="2"/>
  <c r="E258" i="2" a="1"/>
  <c r="E258" i="2" s="1"/>
  <c r="B281" i="2"/>
  <c r="K280" i="2" a="1"/>
  <c r="K280" i="2" s="1"/>
  <c r="E280" i="2" a="1"/>
  <c r="E280" i="2" s="1"/>
  <c r="B258" i="1"/>
  <c r="E257" i="1" a="1"/>
  <c r="E257" i="1" s="1"/>
  <c r="C257" i="1"/>
  <c r="D257" i="1"/>
  <c r="H161" i="1"/>
  <c r="I161" i="1" s="1"/>
  <c r="M66" i="1"/>
  <c r="D115" i="1"/>
  <c r="E282" i="1" a="1"/>
  <c r="E282" i="1" s="1"/>
  <c r="K282" i="1" a="1"/>
  <c r="K282" i="1" s="1"/>
  <c r="B283" i="1"/>
  <c r="K186" i="1" a="1"/>
  <c r="K186" i="1" s="1"/>
  <c r="J186" i="1"/>
  <c r="I186" i="1"/>
  <c r="H187" i="1"/>
  <c r="K209" i="1" a="1"/>
  <c r="K209" i="1" s="1"/>
  <c r="J209" i="1"/>
  <c r="H210" i="1"/>
  <c r="C184" i="1"/>
  <c r="B185" i="1"/>
  <c r="D184" i="1"/>
  <c r="E184" i="1" a="1"/>
  <c r="E184" i="1" s="1"/>
  <c r="F210" i="1" a="1"/>
  <c r="F210" i="1" s="1"/>
  <c r="C212" i="1"/>
  <c r="B213" i="1"/>
  <c r="I212" i="1"/>
  <c r="E212" i="1"/>
  <c r="D212" i="1"/>
  <c r="D41" i="1"/>
  <c r="E41" i="1" s="1"/>
  <c r="C42" i="1"/>
  <c r="O53" i="1"/>
  <c r="D93" i="1"/>
  <c r="E92" i="1"/>
  <c r="E162" i="1"/>
  <c r="G162" i="1"/>
  <c r="D163" i="1"/>
  <c r="E233" i="1" a="1"/>
  <c r="E233" i="1" s="1"/>
  <c r="B234" i="1"/>
  <c r="K235" i="1" a="1"/>
  <c r="K235" i="1" s="1"/>
  <c r="H236" i="1"/>
  <c r="B76" i="10" l="1"/>
  <c r="G75" i="10"/>
  <c r="I74" i="10"/>
  <c r="J74" i="10" s="1"/>
  <c r="E27" i="10"/>
  <c r="E136" i="10"/>
  <c r="H136" i="10" s="1"/>
  <c r="E112" i="10"/>
  <c r="D137" i="10"/>
  <c r="I164" i="2"/>
  <c r="C139" i="10" s="1"/>
  <c r="C138" i="10"/>
  <c r="C27" i="10"/>
  <c r="C112" i="10"/>
  <c r="B141" i="10"/>
  <c r="B117" i="10"/>
  <c r="P53" i="9"/>
  <c r="N69" i="9"/>
  <c r="I162" i="9"/>
  <c r="D116" i="9"/>
  <c r="E115" i="9"/>
  <c r="D140" i="9"/>
  <c r="E139" i="9"/>
  <c r="B259" i="9"/>
  <c r="E258" i="9" a="1"/>
  <c r="E258" i="9" s="1"/>
  <c r="C258" i="9"/>
  <c r="D258" i="9"/>
  <c r="D164" i="9"/>
  <c r="E163" i="9"/>
  <c r="G163" i="9"/>
  <c r="B237" i="9"/>
  <c r="E236" i="9" a="1"/>
  <c r="E236" i="9" s="1"/>
  <c r="K236" i="9" a="1"/>
  <c r="K236" i="9" s="1"/>
  <c r="B284" i="9"/>
  <c r="K283" i="9" a="1"/>
  <c r="K283" i="9" s="1"/>
  <c r="E283" i="9" a="1"/>
  <c r="E283" i="9" s="1"/>
  <c r="H212" i="9"/>
  <c r="J211" i="9"/>
  <c r="J186" i="9"/>
  <c r="I186" i="9"/>
  <c r="H187" i="9"/>
  <c r="C42" i="9"/>
  <c r="D41" i="9"/>
  <c r="E41" i="9" s="1"/>
  <c r="B188" i="9"/>
  <c r="E187" i="9" a="1"/>
  <c r="E187" i="9" s="1"/>
  <c r="C187" i="9"/>
  <c r="K187" i="9" a="1"/>
  <c r="K187" i="9" s="1"/>
  <c r="D187" i="9"/>
  <c r="C211" i="9"/>
  <c r="B212" i="9"/>
  <c r="K211" i="9" a="1"/>
  <c r="K211" i="9" s="1"/>
  <c r="F211" i="9" a="1"/>
  <c r="F211" i="9" s="1"/>
  <c r="E211" i="9"/>
  <c r="D211" i="9"/>
  <c r="I211" i="9"/>
  <c r="C189" i="5"/>
  <c r="B190" i="5"/>
  <c r="D142" i="5"/>
  <c r="E141" i="5"/>
  <c r="E284" i="5" a="1"/>
  <c r="E284" i="5" s="1"/>
  <c r="B285" i="5"/>
  <c r="K284" i="5" a="1"/>
  <c r="K284" i="5" s="1"/>
  <c r="D164" i="5"/>
  <c r="G163" i="5"/>
  <c r="I163" i="5" s="1"/>
  <c r="B214" i="5"/>
  <c r="C213" i="5"/>
  <c r="D213" i="5"/>
  <c r="I213" i="5"/>
  <c r="C47" i="5"/>
  <c r="D46" i="5"/>
  <c r="E46" i="5" s="1"/>
  <c r="I186" i="5"/>
  <c r="H187" i="5"/>
  <c r="K282" i="3" a="1"/>
  <c r="K282" i="3" s="1"/>
  <c r="B283" i="3"/>
  <c r="E282" i="3" a="1"/>
  <c r="E282" i="3" s="1"/>
  <c r="D138" i="3"/>
  <c r="E137" i="3"/>
  <c r="H186" i="3"/>
  <c r="I185" i="3"/>
  <c r="D41" i="3"/>
  <c r="E41" i="3" s="1"/>
  <c r="C42" i="3"/>
  <c r="D99" i="3"/>
  <c r="E98" i="3"/>
  <c r="B186" i="3"/>
  <c r="C185" i="3"/>
  <c r="C211" i="3"/>
  <c r="B212" i="3"/>
  <c r="D211" i="3"/>
  <c r="I211" i="3"/>
  <c r="K234" i="2" a="1"/>
  <c r="K234" i="2" s="1"/>
  <c r="E234" i="2" a="1"/>
  <c r="E234" i="2" s="1"/>
  <c r="B235" i="2"/>
  <c r="D184" i="2"/>
  <c r="C184" i="2"/>
  <c r="E184" i="2" a="1"/>
  <c r="E184" i="2" s="1"/>
  <c r="B185" i="2"/>
  <c r="K184" i="2" a="1"/>
  <c r="K184" i="2" s="1"/>
  <c r="F210" i="2" a="1"/>
  <c r="F210" i="2" s="1"/>
  <c r="K210" i="2" a="1"/>
  <c r="K210" i="2" s="1"/>
  <c r="H212" i="2"/>
  <c r="J211" i="2"/>
  <c r="B213" i="2"/>
  <c r="D212" i="2"/>
  <c r="E212" i="2"/>
  <c r="C212" i="2"/>
  <c r="I212" i="2"/>
  <c r="E259" i="2" a="1"/>
  <c r="E259" i="2" s="1"/>
  <c r="B260" i="2"/>
  <c r="D259" i="2"/>
  <c r="C259" i="2"/>
  <c r="J185" i="2"/>
  <c r="I185" i="2"/>
  <c r="H186" i="2"/>
  <c r="D99" i="2"/>
  <c r="E98" i="2"/>
  <c r="D115" i="2"/>
  <c r="E114" i="2"/>
  <c r="D166" i="2"/>
  <c r="E165" i="2"/>
  <c r="G165" i="2"/>
  <c r="D143" i="2"/>
  <c r="E142" i="2"/>
  <c r="S53" i="2"/>
  <c r="E281" i="2" a="1"/>
  <c r="E281" i="2" s="1"/>
  <c r="K281" i="2" a="1"/>
  <c r="K281" i="2" s="1"/>
  <c r="B282" i="2"/>
  <c r="C42" i="2"/>
  <c r="D41" i="2"/>
  <c r="E41" i="2" s="1"/>
  <c r="H165" i="2"/>
  <c r="Q66" i="2"/>
  <c r="E185" i="1" a="1"/>
  <c r="E185" i="1" s="1"/>
  <c r="B186" i="1"/>
  <c r="C185" i="1"/>
  <c r="D185" i="1"/>
  <c r="F211" i="1" a="1"/>
  <c r="F211" i="1" s="1"/>
  <c r="K283" i="1" a="1"/>
  <c r="K283" i="1" s="1"/>
  <c r="B284" i="1"/>
  <c r="E283" i="1" a="1"/>
  <c r="E283" i="1" s="1"/>
  <c r="I162" i="1"/>
  <c r="E93" i="1"/>
  <c r="D94" i="1"/>
  <c r="N66" i="1"/>
  <c r="H162" i="1"/>
  <c r="P53" i="1"/>
  <c r="D116" i="1"/>
  <c r="J187" i="1"/>
  <c r="K187" i="1" a="1"/>
  <c r="K187" i="1" s="1"/>
  <c r="I187" i="1"/>
  <c r="H188" i="1"/>
  <c r="D164" i="1"/>
  <c r="E163" i="1"/>
  <c r="G163" i="1"/>
  <c r="K210" i="1" a="1"/>
  <c r="K210" i="1" s="1"/>
  <c r="J210" i="1"/>
  <c r="H211" i="1"/>
  <c r="K236" i="1" a="1"/>
  <c r="K236" i="1" s="1"/>
  <c r="H237" i="1"/>
  <c r="C43" i="1"/>
  <c r="D42" i="1"/>
  <c r="E42" i="1" s="1"/>
  <c r="B235" i="1"/>
  <c r="E234" i="1" a="1"/>
  <c r="E234" i="1" s="1"/>
  <c r="E213" i="1"/>
  <c r="C213" i="1"/>
  <c r="B214" i="1"/>
  <c r="D213" i="1"/>
  <c r="I213" i="1"/>
  <c r="B259" i="1"/>
  <c r="E258" i="1" a="1"/>
  <c r="E258" i="1" s="1"/>
  <c r="C258" i="1"/>
  <c r="D258" i="1"/>
  <c r="I75" i="10" l="1"/>
  <c r="J75" i="10" s="1"/>
  <c r="B77" i="10"/>
  <c r="G76" i="10"/>
  <c r="E28" i="10"/>
  <c r="E137" i="10"/>
  <c r="H137" i="10" s="1"/>
  <c r="E113" i="10"/>
  <c r="H112" i="10"/>
  <c r="D138" i="10"/>
  <c r="C28" i="10"/>
  <c r="C113" i="10"/>
  <c r="H113" i="10" s="1"/>
  <c r="B142" i="10"/>
  <c r="B118" i="10"/>
  <c r="O69" i="9"/>
  <c r="Q53" i="9"/>
  <c r="K212" i="9" a="1"/>
  <c r="K212" i="9" s="1"/>
  <c r="F212" i="9" a="1"/>
  <c r="F212" i="9" s="1"/>
  <c r="B213" i="9"/>
  <c r="E212" i="9"/>
  <c r="C212" i="9"/>
  <c r="I212" i="9"/>
  <c r="D212" i="9"/>
  <c r="E164" i="9"/>
  <c r="D165" i="9"/>
  <c r="G164" i="9"/>
  <c r="I163" i="9"/>
  <c r="J212" i="9"/>
  <c r="H213" i="9"/>
  <c r="D259" i="9"/>
  <c r="C259" i="9"/>
  <c r="B260" i="9"/>
  <c r="E259" i="9" a="1"/>
  <c r="E259" i="9" s="1"/>
  <c r="C188" i="9"/>
  <c r="E188" i="9" a="1"/>
  <c r="E188" i="9" s="1"/>
  <c r="B189" i="9"/>
  <c r="K188" i="9" a="1"/>
  <c r="K188" i="9" s="1"/>
  <c r="D188" i="9"/>
  <c r="K284" i="9" a="1"/>
  <c r="K284" i="9" s="1"/>
  <c r="E284" i="9" a="1"/>
  <c r="E284" i="9" s="1"/>
  <c r="B285" i="9"/>
  <c r="D141" i="9"/>
  <c r="E140" i="9"/>
  <c r="D42" i="9"/>
  <c r="E42" i="9" s="1"/>
  <c r="C43" i="9"/>
  <c r="I187" i="9"/>
  <c r="H188" i="9"/>
  <c r="J187" i="9"/>
  <c r="E237" i="9" a="1"/>
  <c r="E237" i="9" s="1"/>
  <c r="B238" i="9"/>
  <c r="K237" i="9" a="1"/>
  <c r="K237" i="9" s="1"/>
  <c r="D117" i="9"/>
  <c r="E116" i="9"/>
  <c r="H188" i="5"/>
  <c r="I187" i="5"/>
  <c r="D143" i="5"/>
  <c r="E142" i="5"/>
  <c r="D47" i="5"/>
  <c r="E47" i="5" s="1"/>
  <c r="C48" i="5"/>
  <c r="B191" i="5"/>
  <c r="C190" i="5"/>
  <c r="C214" i="5"/>
  <c r="B215" i="5"/>
  <c r="D214" i="5"/>
  <c r="I214" i="5"/>
  <c r="D165" i="5"/>
  <c r="G164" i="5"/>
  <c r="I164" i="5" s="1"/>
  <c r="B286" i="5"/>
  <c r="K285" i="5" a="1"/>
  <c r="K285" i="5" s="1"/>
  <c r="E285" i="5" a="1"/>
  <c r="E285" i="5" s="1"/>
  <c r="B187" i="3"/>
  <c r="C186" i="3"/>
  <c r="D100" i="3"/>
  <c r="E99" i="3"/>
  <c r="C43" i="3"/>
  <c r="D42" i="3"/>
  <c r="E42" i="3" s="1"/>
  <c r="I186" i="3"/>
  <c r="H187" i="3"/>
  <c r="D139" i="3"/>
  <c r="E138" i="3"/>
  <c r="B213" i="3"/>
  <c r="I212" i="3"/>
  <c r="C212" i="3"/>
  <c r="D212" i="3"/>
  <c r="E283" i="3" a="1"/>
  <c r="E283" i="3" s="1"/>
  <c r="B284" i="3"/>
  <c r="K283" i="3" a="1"/>
  <c r="K283" i="3" s="1"/>
  <c r="C260" i="2"/>
  <c r="E260" i="2" a="1"/>
  <c r="E260" i="2" s="1"/>
  <c r="D260" i="2"/>
  <c r="B261" i="2"/>
  <c r="K185" i="2" a="1"/>
  <c r="K185" i="2" s="1"/>
  <c r="B186" i="2"/>
  <c r="E185" i="2" a="1"/>
  <c r="E185" i="2" s="1"/>
  <c r="C185" i="2"/>
  <c r="D185" i="2"/>
  <c r="K211" i="2" a="1"/>
  <c r="K211" i="2" s="1"/>
  <c r="F211" i="2" a="1"/>
  <c r="F211" i="2" s="1"/>
  <c r="R66" i="2"/>
  <c r="H166" i="2"/>
  <c r="K282" i="2" a="1"/>
  <c r="K282" i="2" s="1"/>
  <c r="B283" i="2"/>
  <c r="E282" i="2" a="1"/>
  <c r="E282" i="2" s="1"/>
  <c r="I165" i="2"/>
  <c r="E115" i="2"/>
  <c r="D116" i="2"/>
  <c r="J212" i="2"/>
  <c r="H213" i="2"/>
  <c r="D42" i="2"/>
  <c r="E42" i="2" s="1"/>
  <c r="C43" i="2"/>
  <c r="D144" i="2"/>
  <c r="E143" i="2"/>
  <c r="D167" i="2"/>
  <c r="E166" i="2"/>
  <c r="G166" i="2"/>
  <c r="E99" i="2"/>
  <c r="D100" i="2"/>
  <c r="E235" i="2" a="1"/>
  <c r="E235" i="2" s="1"/>
  <c r="B236" i="2"/>
  <c r="K235" i="2" a="1"/>
  <c r="K235" i="2" s="1"/>
  <c r="J186" i="2"/>
  <c r="H187" i="2"/>
  <c r="I186" i="2"/>
  <c r="T53" i="2"/>
  <c r="C213" i="2"/>
  <c r="B214" i="2"/>
  <c r="I213" i="2"/>
  <c r="E213" i="2"/>
  <c r="D213" i="2"/>
  <c r="C259" i="1"/>
  <c r="B260" i="1"/>
  <c r="E259" i="1" a="1"/>
  <c r="E259" i="1" s="1"/>
  <c r="D259" i="1"/>
  <c r="E164" i="1"/>
  <c r="D165" i="1"/>
  <c r="G164" i="1"/>
  <c r="E235" i="1" a="1"/>
  <c r="E235" i="1" s="1"/>
  <c r="B236" i="1"/>
  <c r="H212" i="1"/>
  <c r="J211" i="1"/>
  <c r="K211" i="1" a="1"/>
  <c r="K211" i="1" s="1"/>
  <c r="H163" i="1"/>
  <c r="I163" i="1" s="1"/>
  <c r="O66" i="1"/>
  <c r="B285" i="1"/>
  <c r="K284" i="1" a="1"/>
  <c r="K284" i="1" s="1"/>
  <c r="E284" i="1" a="1"/>
  <c r="E284" i="1" s="1"/>
  <c r="Q53" i="1"/>
  <c r="J188" i="1"/>
  <c r="K188" i="1" a="1"/>
  <c r="K188" i="1" s="1"/>
  <c r="I188" i="1"/>
  <c r="H189" i="1"/>
  <c r="C44" i="1"/>
  <c r="D43" i="1"/>
  <c r="E43" i="1" s="1"/>
  <c r="E186" i="1" a="1"/>
  <c r="E186" i="1" s="1"/>
  <c r="D186" i="1"/>
  <c r="C186" i="1"/>
  <c r="B187" i="1"/>
  <c r="F212" i="1" a="1"/>
  <c r="F212" i="1" s="1"/>
  <c r="D95" i="1"/>
  <c r="E94" i="1"/>
  <c r="E214" i="1"/>
  <c r="C214" i="1"/>
  <c r="B215" i="1"/>
  <c r="D214" i="1"/>
  <c r="I214" i="1"/>
  <c r="K237" i="1" a="1"/>
  <c r="K237" i="1" s="1"/>
  <c r="H238" i="1"/>
  <c r="D117" i="1"/>
  <c r="B78" i="10" l="1"/>
  <c r="G77" i="10"/>
  <c r="I77" i="10"/>
  <c r="J77" i="10" s="1"/>
  <c r="I76" i="10"/>
  <c r="J76" i="10" s="1"/>
  <c r="E29" i="10"/>
  <c r="E138" i="10"/>
  <c r="E114" i="10"/>
  <c r="H138" i="10"/>
  <c r="D139" i="10"/>
  <c r="C140" i="10"/>
  <c r="C29" i="10"/>
  <c r="C114" i="10"/>
  <c r="H114" i="10" s="1"/>
  <c r="B143" i="10"/>
  <c r="B119" i="10"/>
  <c r="R53" i="9"/>
  <c r="I164" i="9"/>
  <c r="P69" i="9"/>
  <c r="E238" i="9" a="1"/>
  <c r="E238" i="9" s="1"/>
  <c r="K238" i="9" a="1"/>
  <c r="K238" i="9" s="1"/>
  <c r="B239" i="9"/>
  <c r="C260" i="9"/>
  <c r="D260" i="9"/>
  <c r="B261" i="9"/>
  <c r="E260" i="9" a="1"/>
  <c r="E260" i="9" s="1"/>
  <c r="D142" i="9"/>
  <c r="E141" i="9"/>
  <c r="E117" i="9"/>
  <c r="D118" i="9"/>
  <c r="E189" i="9" a="1"/>
  <c r="E189" i="9" s="1"/>
  <c r="D189" i="9"/>
  <c r="C189" i="9"/>
  <c r="K189" i="9" a="1"/>
  <c r="K189" i="9" s="1"/>
  <c r="B190" i="9"/>
  <c r="H189" i="9"/>
  <c r="J188" i="9"/>
  <c r="I188" i="9"/>
  <c r="C44" i="9"/>
  <c r="D43" i="9"/>
  <c r="E43" i="9" s="1"/>
  <c r="D166" i="9"/>
  <c r="G165" i="9"/>
  <c r="E165" i="9"/>
  <c r="E285" i="9" a="1"/>
  <c r="E285" i="9" s="1"/>
  <c r="B286" i="9"/>
  <c r="K285" i="9" a="1"/>
  <c r="K285" i="9" s="1"/>
  <c r="J213" i="9"/>
  <c r="H214" i="9"/>
  <c r="K213" i="9" a="1"/>
  <c r="K213" i="9" s="1"/>
  <c r="B214" i="9"/>
  <c r="F213" i="9" a="1"/>
  <c r="F213" i="9" s="1"/>
  <c r="C213" i="9"/>
  <c r="E213" i="9"/>
  <c r="D213" i="9"/>
  <c r="I213" i="9"/>
  <c r="C215" i="5"/>
  <c r="B216" i="5"/>
  <c r="D215" i="5"/>
  <c r="I215" i="5"/>
  <c r="C49" i="5"/>
  <c r="D48" i="5"/>
  <c r="E48" i="5" s="1"/>
  <c r="K286" i="5" a="1"/>
  <c r="K286" i="5" s="1"/>
  <c r="E286" i="5" a="1"/>
  <c r="E286" i="5" s="1"/>
  <c r="B287" i="5"/>
  <c r="D144" i="5"/>
  <c r="E143" i="5"/>
  <c r="C191" i="5"/>
  <c r="B192" i="5"/>
  <c r="D166" i="5"/>
  <c r="G165" i="5"/>
  <c r="I165" i="5" s="1"/>
  <c r="I188" i="5"/>
  <c r="H189" i="5"/>
  <c r="C213" i="3"/>
  <c r="B214" i="3"/>
  <c r="I213" i="3"/>
  <c r="D213" i="3"/>
  <c r="D140" i="3"/>
  <c r="E139" i="3"/>
  <c r="I187" i="3"/>
  <c r="H188" i="3"/>
  <c r="D43" i="3"/>
  <c r="E43" i="3" s="1"/>
  <c r="C44" i="3"/>
  <c r="E284" i="3" a="1"/>
  <c r="E284" i="3" s="1"/>
  <c r="K284" i="3" a="1"/>
  <c r="K284" i="3" s="1"/>
  <c r="B285" i="3"/>
  <c r="D101" i="3"/>
  <c r="E101" i="3" s="1"/>
  <c r="E100" i="3"/>
  <c r="B188" i="3"/>
  <c r="C187" i="3"/>
  <c r="S66" i="2"/>
  <c r="H167" i="2"/>
  <c r="E116" i="2"/>
  <c r="D117" i="2"/>
  <c r="D101" i="2"/>
  <c r="E101" i="2" s="1"/>
  <c r="E100" i="2"/>
  <c r="C186" i="2"/>
  <c r="K186" i="2" a="1"/>
  <c r="K186" i="2" s="1"/>
  <c r="D186" i="2"/>
  <c r="B187" i="2"/>
  <c r="E186" i="2" a="1"/>
  <c r="E186" i="2" s="1"/>
  <c r="K212" i="2" a="1"/>
  <c r="K212" i="2" s="1"/>
  <c r="F212" i="2" a="1"/>
  <c r="F212" i="2" s="1"/>
  <c r="C44" i="2"/>
  <c r="D43" i="2"/>
  <c r="E43" i="2" s="1"/>
  <c r="B262" i="2"/>
  <c r="E261" i="2" a="1"/>
  <c r="E261" i="2" s="1"/>
  <c r="D261" i="2"/>
  <c r="C261" i="2"/>
  <c r="I166" i="2"/>
  <c r="E283" i="2" a="1"/>
  <c r="E283" i="2" s="1"/>
  <c r="B284" i="2"/>
  <c r="K283" i="2" a="1"/>
  <c r="K283" i="2" s="1"/>
  <c r="D168" i="2"/>
  <c r="G167" i="2"/>
  <c r="E167" i="2"/>
  <c r="D145" i="2"/>
  <c r="E144" i="2"/>
  <c r="H188" i="2"/>
  <c r="I187" i="2"/>
  <c r="J187" i="2"/>
  <c r="E214" i="2"/>
  <c r="C214" i="2"/>
  <c r="I214" i="2"/>
  <c r="B215" i="2"/>
  <c r="D214" i="2"/>
  <c r="H214" i="2"/>
  <c r="J213" i="2"/>
  <c r="B237" i="2"/>
  <c r="E236" i="2" a="1"/>
  <c r="E236" i="2" s="1"/>
  <c r="K236" i="2" a="1"/>
  <c r="K236" i="2" s="1"/>
  <c r="U53" i="2"/>
  <c r="I189" i="1"/>
  <c r="H190" i="1"/>
  <c r="K189" i="1" a="1"/>
  <c r="K189" i="1" s="1"/>
  <c r="J189" i="1"/>
  <c r="D166" i="1"/>
  <c r="G165" i="1"/>
  <c r="E165" i="1"/>
  <c r="D96" i="1"/>
  <c r="E95" i="1"/>
  <c r="K285" i="1" a="1"/>
  <c r="K285" i="1" s="1"/>
  <c r="E285" i="1" a="1"/>
  <c r="E285" i="1" s="1"/>
  <c r="B286" i="1"/>
  <c r="K212" i="1" a="1"/>
  <c r="K212" i="1" s="1"/>
  <c r="J212" i="1"/>
  <c r="H213" i="1"/>
  <c r="B237" i="1"/>
  <c r="E236" i="1" a="1"/>
  <c r="E236" i="1" s="1"/>
  <c r="C215" i="1"/>
  <c r="B216" i="1"/>
  <c r="E215" i="1"/>
  <c r="I215" i="1"/>
  <c r="D215" i="1"/>
  <c r="C45" i="1"/>
  <c r="D44" i="1"/>
  <c r="E44" i="1" s="1"/>
  <c r="H164" i="1"/>
  <c r="I164" i="1" s="1"/>
  <c r="P66" i="1"/>
  <c r="D118" i="1"/>
  <c r="D187" i="1"/>
  <c r="E187" i="1" a="1"/>
  <c r="E187" i="1" s="1"/>
  <c r="B188" i="1"/>
  <c r="C187" i="1"/>
  <c r="F213" i="1" a="1"/>
  <c r="F213" i="1" s="1"/>
  <c r="D260" i="1"/>
  <c r="B261" i="1"/>
  <c r="E260" i="1" a="1"/>
  <c r="E260" i="1" s="1"/>
  <c r="C260" i="1"/>
  <c r="R53" i="1"/>
  <c r="K238" i="1" a="1"/>
  <c r="K238" i="1" s="1"/>
  <c r="H239" i="1"/>
  <c r="G78" i="10" l="1"/>
  <c r="E30" i="10"/>
  <c r="E139" i="10"/>
  <c r="E115" i="10"/>
  <c r="H139" i="10"/>
  <c r="D140" i="10"/>
  <c r="I167" i="2"/>
  <c r="C141" i="10"/>
  <c r="C115" i="10"/>
  <c r="H115" i="10" s="1"/>
  <c r="C30" i="10"/>
  <c r="B144" i="10"/>
  <c r="B120" i="10"/>
  <c r="I165" i="9"/>
  <c r="Q69" i="9"/>
  <c r="S53" i="9"/>
  <c r="E286" i="9" a="1"/>
  <c r="E286" i="9" s="1"/>
  <c r="K286" i="9" a="1"/>
  <c r="K286" i="9" s="1"/>
  <c r="B287" i="9"/>
  <c r="B240" i="9"/>
  <c r="K239" i="9" a="1"/>
  <c r="K239" i="9" s="1"/>
  <c r="E239" i="9" a="1"/>
  <c r="E239" i="9" s="1"/>
  <c r="E166" i="9"/>
  <c r="D167" i="9"/>
  <c r="G166" i="9"/>
  <c r="E190" i="9" a="1"/>
  <c r="E190" i="9" s="1"/>
  <c r="D190" i="9"/>
  <c r="B191" i="9"/>
  <c r="K190" i="9" a="1"/>
  <c r="K190" i="9" s="1"/>
  <c r="C190" i="9"/>
  <c r="E118" i="9"/>
  <c r="D119" i="9"/>
  <c r="K214" i="9" a="1"/>
  <c r="K214" i="9" s="1"/>
  <c r="C214" i="9"/>
  <c r="F214" i="9" a="1"/>
  <c r="F214" i="9" s="1"/>
  <c r="B215" i="9"/>
  <c r="E214" i="9"/>
  <c r="I214" i="9"/>
  <c r="D214" i="9"/>
  <c r="D143" i="9"/>
  <c r="E142" i="9"/>
  <c r="D44" i="9"/>
  <c r="E44" i="9" s="1"/>
  <c r="C45" i="9"/>
  <c r="J214" i="9"/>
  <c r="H215" i="9"/>
  <c r="I189" i="9"/>
  <c r="J189" i="9"/>
  <c r="H190" i="9"/>
  <c r="E261" i="9" a="1"/>
  <c r="E261" i="9" s="1"/>
  <c r="D261" i="9"/>
  <c r="B262" i="9"/>
  <c r="C261" i="9"/>
  <c r="B288" i="5"/>
  <c r="E287" i="5" a="1"/>
  <c r="E287" i="5" s="1"/>
  <c r="K287" i="5" a="1"/>
  <c r="K287" i="5" s="1"/>
  <c r="H190" i="5"/>
  <c r="I189" i="5"/>
  <c r="C50" i="5"/>
  <c r="D50" i="5" s="1"/>
  <c r="E50" i="5" s="1"/>
  <c r="D49" i="5"/>
  <c r="E49" i="5" s="1"/>
  <c r="D167" i="5"/>
  <c r="G166" i="5"/>
  <c r="I166" i="5" s="1"/>
  <c r="C216" i="5"/>
  <c r="B217" i="5"/>
  <c r="D216" i="5"/>
  <c r="I216" i="5"/>
  <c r="D145" i="5"/>
  <c r="E144" i="5"/>
  <c r="B193" i="5"/>
  <c r="C192" i="5"/>
  <c r="C45" i="3"/>
  <c r="D44" i="3"/>
  <c r="E44" i="3" s="1"/>
  <c r="I188" i="3"/>
  <c r="H189" i="3"/>
  <c r="D141" i="3"/>
  <c r="E140" i="3"/>
  <c r="B189" i="3"/>
  <c r="C188" i="3"/>
  <c r="C214" i="3"/>
  <c r="B215" i="3"/>
  <c r="D214" i="3"/>
  <c r="I214" i="3"/>
  <c r="B286" i="3"/>
  <c r="E285" i="3" a="1"/>
  <c r="E285" i="3" s="1"/>
  <c r="K285" i="3" a="1"/>
  <c r="K285" i="3" s="1"/>
  <c r="E215" i="2"/>
  <c r="B216" i="2"/>
  <c r="D215" i="2"/>
  <c r="C215" i="2"/>
  <c r="I215" i="2"/>
  <c r="D169" i="2"/>
  <c r="E168" i="2"/>
  <c r="G168" i="2"/>
  <c r="T66" i="2"/>
  <c r="H168" i="2"/>
  <c r="E284" i="2" a="1"/>
  <c r="E284" i="2" s="1"/>
  <c r="B285" i="2"/>
  <c r="K284" i="2" a="1"/>
  <c r="K284" i="2" s="1"/>
  <c r="E187" i="2" a="1"/>
  <c r="E187" i="2" s="1"/>
  <c r="B188" i="2"/>
  <c r="C187" i="2"/>
  <c r="D187" i="2"/>
  <c r="K187" i="2" a="1"/>
  <c r="K187" i="2" s="1"/>
  <c r="K213" i="2" a="1"/>
  <c r="K213" i="2" s="1"/>
  <c r="F213" i="2" a="1"/>
  <c r="F213" i="2" s="1"/>
  <c r="E262" i="2" a="1"/>
  <c r="E262" i="2" s="1"/>
  <c r="D262" i="2"/>
  <c r="C262" i="2"/>
  <c r="B263" i="2"/>
  <c r="D44" i="2"/>
  <c r="E44" i="2" s="1"/>
  <c r="C45" i="2"/>
  <c r="V53" i="2"/>
  <c r="K237" i="2" a="1"/>
  <c r="K237" i="2" s="1"/>
  <c r="E237" i="2" a="1"/>
  <c r="E237" i="2" s="1"/>
  <c r="B238" i="2"/>
  <c r="J188" i="2"/>
  <c r="H189" i="2"/>
  <c r="I188" i="2"/>
  <c r="E117" i="2"/>
  <c r="D118" i="2"/>
  <c r="H215" i="2"/>
  <c r="J214" i="2"/>
  <c r="D146" i="2"/>
  <c r="E146" i="2" s="1"/>
  <c r="E145" i="2"/>
  <c r="C188" i="1"/>
  <c r="E188" i="1" a="1"/>
  <c r="E188" i="1" s="1"/>
  <c r="D188" i="1"/>
  <c r="B189" i="1"/>
  <c r="F214" i="1" a="1"/>
  <c r="F214" i="1" s="1"/>
  <c r="C216" i="1"/>
  <c r="B217" i="1"/>
  <c r="E216" i="1"/>
  <c r="I216" i="1"/>
  <c r="D216" i="1"/>
  <c r="D97" i="1"/>
  <c r="E96" i="1"/>
  <c r="H165" i="1"/>
  <c r="I165" i="1" s="1"/>
  <c r="Q66" i="1"/>
  <c r="D119" i="1"/>
  <c r="D167" i="1"/>
  <c r="E166" i="1"/>
  <c r="G166" i="1"/>
  <c r="S53" i="1"/>
  <c r="H240" i="1"/>
  <c r="K239" i="1" a="1"/>
  <c r="K239" i="1" s="1"/>
  <c r="J190" i="1"/>
  <c r="H191" i="1"/>
  <c r="K190" i="1" a="1"/>
  <c r="K190" i="1" s="1"/>
  <c r="I190" i="1"/>
  <c r="E237" i="1" a="1"/>
  <c r="E237" i="1" s="1"/>
  <c r="B238" i="1"/>
  <c r="H214" i="1"/>
  <c r="J213" i="1"/>
  <c r="K213" i="1" a="1"/>
  <c r="K213" i="1" s="1"/>
  <c r="D261" i="1"/>
  <c r="C261" i="1"/>
  <c r="B262" i="1"/>
  <c r="E261" i="1" a="1"/>
  <c r="E261" i="1" s="1"/>
  <c r="D45" i="1"/>
  <c r="E45" i="1" s="1"/>
  <c r="C46" i="1"/>
  <c r="E286" i="1" a="1"/>
  <c r="E286" i="1" s="1"/>
  <c r="B287" i="1"/>
  <c r="K286" i="1" a="1"/>
  <c r="K286" i="1" s="1"/>
  <c r="I78" i="10" l="1"/>
  <c r="J78" i="10" s="1"/>
  <c r="E31" i="10"/>
  <c r="E116" i="10"/>
  <c r="E140" i="10"/>
  <c r="H140" i="10" s="1"/>
  <c r="D141" i="10"/>
  <c r="C142" i="10"/>
  <c r="C116" i="10"/>
  <c r="H116" i="10" s="1"/>
  <c r="C31" i="10"/>
  <c r="B145" i="10"/>
  <c r="B121" i="10"/>
  <c r="T53" i="9"/>
  <c r="R69" i="9"/>
  <c r="I166" i="9"/>
  <c r="E191" i="9" a="1"/>
  <c r="E191" i="9" s="1"/>
  <c r="D191" i="9"/>
  <c r="C191" i="9"/>
  <c r="B192" i="9"/>
  <c r="K191" i="9" a="1"/>
  <c r="K191" i="9" s="1"/>
  <c r="K215" i="9" a="1"/>
  <c r="K215" i="9" s="1"/>
  <c r="F215" i="9" a="1"/>
  <c r="F215" i="9" s="1"/>
  <c r="B216" i="9"/>
  <c r="E215" i="9"/>
  <c r="C215" i="9"/>
  <c r="D215" i="9"/>
  <c r="I215" i="9"/>
  <c r="D168" i="9"/>
  <c r="E167" i="9"/>
  <c r="G167" i="9"/>
  <c r="J215" i="9"/>
  <c r="H216" i="9"/>
  <c r="E119" i="9"/>
  <c r="D120" i="9"/>
  <c r="C46" i="9"/>
  <c r="D45" i="9"/>
  <c r="E45" i="9" s="1"/>
  <c r="K287" i="9" a="1"/>
  <c r="K287" i="9" s="1"/>
  <c r="E287" i="9" a="1"/>
  <c r="E287" i="9" s="1"/>
  <c r="B288" i="9"/>
  <c r="D144" i="9"/>
  <c r="E143" i="9"/>
  <c r="H191" i="9"/>
  <c r="J190" i="9"/>
  <c r="I190" i="9"/>
  <c r="B241" i="9"/>
  <c r="K240" i="9" a="1"/>
  <c r="K240" i="9" s="1"/>
  <c r="E240" i="9" a="1"/>
  <c r="E240" i="9" s="1"/>
  <c r="B263" i="9"/>
  <c r="D262" i="9"/>
  <c r="C262" i="9"/>
  <c r="E262" i="9" a="1"/>
  <c r="E262" i="9" s="1"/>
  <c r="B218" i="5"/>
  <c r="C217" i="5"/>
  <c r="I217" i="5"/>
  <c r="D217" i="5"/>
  <c r="D168" i="5"/>
  <c r="G167" i="5"/>
  <c r="I167" i="5" s="1"/>
  <c r="C193" i="5"/>
  <c r="B194" i="5"/>
  <c r="C194" i="5" s="1"/>
  <c r="H191" i="5"/>
  <c r="I190" i="5"/>
  <c r="D146" i="5"/>
  <c r="E146" i="5" s="1"/>
  <c r="E145" i="5"/>
  <c r="B289" i="5"/>
  <c r="K288" i="5" a="1"/>
  <c r="K288" i="5" s="1"/>
  <c r="E288" i="5" a="1"/>
  <c r="E288" i="5" s="1"/>
  <c r="B216" i="3"/>
  <c r="D215" i="3"/>
  <c r="C215" i="3"/>
  <c r="I215" i="3"/>
  <c r="B190" i="3"/>
  <c r="C189" i="3"/>
  <c r="H190" i="3"/>
  <c r="I189" i="3"/>
  <c r="D142" i="3"/>
  <c r="E141" i="3"/>
  <c r="K286" i="3" a="1"/>
  <c r="K286" i="3" s="1"/>
  <c r="E286" i="3" a="1"/>
  <c r="E286" i="3" s="1"/>
  <c r="B287" i="3"/>
  <c r="D45" i="3"/>
  <c r="E45" i="3" s="1"/>
  <c r="C46" i="3"/>
  <c r="I168" i="2"/>
  <c r="H216" i="2"/>
  <c r="J215" i="2"/>
  <c r="D170" i="2"/>
  <c r="G169" i="2"/>
  <c r="E169" i="2"/>
  <c r="D119" i="2"/>
  <c r="E118" i="2"/>
  <c r="H169" i="2"/>
  <c r="U66" i="2"/>
  <c r="J189" i="2"/>
  <c r="H190" i="2"/>
  <c r="I189" i="2"/>
  <c r="D45" i="2"/>
  <c r="E45" i="2" s="1"/>
  <c r="C46" i="2"/>
  <c r="K238" i="2" a="1"/>
  <c r="K238" i="2" s="1"/>
  <c r="B239" i="2"/>
  <c r="E238" i="2" a="1"/>
  <c r="E238" i="2" s="1"/>
  <c r="C263" i="2"/>
  <c r="E263" i="2" a="1"/>
  <c r="E263" i="2" s="1"/>
  <c r="B264" i="2"/>
  <c r="D263" i="2"/>
  <c r="E285" i="2" a="1"/>
  <c r="E285" i="2" s="1"/>
  <c r="B286" i="2"/>
  <c r="K285" i="2" a="1"/>
  <c r="K285" i="2" s="1"/>
  <c r="W53" i="2"/>
  <c r="C188" i="2"/>
  <c r="B189" i="2"/>
  <c r="K188" i="2" a="1"/>
  <c r="K188" i="2" s="1"/>
  <c r="E188" i="2" a="1"/>
  <c r="E188" i="2" s="1"/>
  <c r="D188" i="2"/>
  <c r="K214" i="2" a="1"/>
  <c r="K214" i="2" s="1"/>
  <c r="F214" i="2" a="1"/>
  <c r="F214" i="2" s="1"/>
  <c r="E216" i="2"/>
  <c r="B217" i="2"/>
  <c r="D216" i="2"/>
  <c r="C216" i="2"/>
  <c r="I216" i="2"/>
  <c r="D98" i="1"/>
  <c r="E97" i="1"/>
  <c r="C262" i="1"/>
  <c r="B263" i="1"/>
  <c r="E262" i="1" a="1"/>
  <c r="E262" i="1" s="1"/>
  <c r="D262" i="1"/>
  <c r="K240" i="1" a="1"/>
  <c r="K240" i="1" s="1"/>
  <c r="H241" i="1"/>
  <c r="E217" i="1"/>
  <c r="C217" i="1"/>
  <c r="B218" i="1"/>
  <c r="I217" i="1"/>
  <c r="D217" i="1"/>
  <c r="R66" i="1"/>
  <c r="H166" i="1"/>
  <c r="I166" i="1" s="1"/>
  <c r="T53" i="1"/>
  <c r="E167" i="1"/>
  <c r="D168" i="1"/>
  <c r="G167" i="1"/>
  <c r="J214" i="1"/>
  <c r="K214" i="1" a="1"/>
  <c r="K214" i="1" s="1"/>
  <c r="H215" i="1"/>
  <c r="B190" i="1"/>
  <c r="D189" i="1"/>
  <c r="C189" i="1"/>
  <c r="E189" i="1" a="1"/>
  <c r="E189" i="1" s="1"/>
  <c r="F215" i="1" a="1"/>
  <c r="F215" i="1" s="1"/>
  <c r="B239" i="1"/>
  <c r="E238" i="1" a="1"/>
  <c r="E238" i="1" s="1"/>
  <c r="C47" i="1"/>
  <c r="D46" i="1"/>
  <c r="E46" i="1" s="1"/>
  <c r="D120" i="1"/>
  <c r="B288" i="1"/>
  <c r="K287" i="1" a="1"/>
  <c r="K287" i="1" s="1"/>
  <c r="E287" i="1" a="1"/>
  <c r="E287" i="1" s="1"/>
  <c r="K191" i="1" a="1"/>
  <c r="K191" i="1" s="1"/>
  <c r="H192" i="1"/>
  <c r="J191" i="1"/>
  <c r="I191" i="1"/>
  <c r="E32" i="10" l="1"/>
  <c r="E141" i="10"/>
  <c r="E117" i="10"/>
  <c r="H141" i="10"/>
  <c r="D142" i="10"/>
  <c r="C143" i="10"/>
  <c r="C117" i="10"/>
  <c r="H117" i="10" s="1"/>
  <c r="C32" i="10"/>
  <c r="B146" i="10"/>
  <c r="B122" i="10"/>
  <c r="U53" i="9"/>
  <c r="I167" i="9"/>
  <c r="S69" i="9"/>
  <c r="B217" i="9"/>
  <c r="K216" i="9" a="1"/>
  <c r="K216" i="9" s="1"/>
  <c r="F216" i="9" a="1"/>
  <c r="F216" i="9" s="1"/>
  <c r="E216" i="9"/>
  <c r="C216" i="9"/>
  <c r="I216" i="9"/>
  <c r="D216" i="9"/>
  <c r="C47" i="9"/>
  <c r="D46" i="9"/>
  <c r="E46" i="9" s="1"/>
  <c r="J216" i="9"/>
  <c r="H217" i="9"/>
  <c r="E144" i="9"/>
  <c r="D145" i="9"/>
  <c r="B289" i="9"/>
  <c r="K288" i="9" a="1"/>
  <c r="K288" i="9" s="1"/>
  <c r="E288" i="9" a="1"/>
  <c r="E288" i="9" s="1"/>
  <c r="K241" i="9" a="1"/>
  <c r="K241" i="9" s="1"/>
  <c r="E241" i="9" a="1"/>
  <c r="E241" i="9" s="1"/>
  <c r="B242" i="9"/>
  <c r="D121" i="9"/>
  <c r="E120" i="9"/>
  <c r="B264" i="9"/>
  <c r="C263" i="9"/>
  <c r="D263" i="9"/>
  <c r="E263" i="9" a="1"/>
  <c r="E263" i="9" s="1"/>
  <c r="K192" i="9" a="1"/>
  <c r="K192" i="9" s="1"/>
  <c r="B193" i="9"/>
  <c r="E192" i="9" a="1"/>
  <c r="E192" i="9" s="1"/>
  <c r="D192" i="9"/>
  <c r="C192" i="9"/>
  <c r="E168" i="9"/>
  <c r="D169" i="9"/>
  <c r="G168" i="9"/>
  <c r="I191" i="9"/>
  <c r="J191" i="9"/>
  <c r="H192" i="9"/>
  <c r="H192" i="5"/>
  <c r="I191" i="5"/>
  <c r="D169" i="5"/>
  <c r="G168" i="5"/>
  <c r="I168" i="5" s="1"/>
  <c r="B290" i="5"/>
  <c r="K289" i="5" a="1"/>
  <c r="K289" i="5" s="1"/>
  <c r="E289" i="5" a="1"/>
  <c r="E289" i="5" s="1"/>
  <c r="B219" i="5"/>
  <c r="C218" i="5"/>
  <c r="I218" i="5"/>
  <c r="D218" i="5"/>
  <c r="D143" i="3"/>
  <c r="E142" i="3"/>
  <c r="I190" i="3"/>
  <c r="H191" i="3"/>
  <c r="C190" i="3"/>
  <c r="B191" i="3"/>
  <c r="C47" i="3"/>
  <c r="D46" i="3"/>
  <c r="E46" i="3" s="1"/>
  <c r="B288" i="3"/>
  <c r="K287" i="3" a="1"/>
  <c r="K287" i="3" s="1"/>
  <c r="E287" i="3" a="1"/>
  <c r="E287" i="3" s="1"/>
  <c r="C216" i="3"/>
  <c r="B217" i="3"/>
  <c r="I216" i="3"/>
  <c r="D216" i="3"/>
  <c r="D120" i="2"/>
  <c r="E119" i="2"/>
  <c r="I169" i="2"/>
  <c r="C217" i="2"/>
  <c r="I217" i="2"/>
  <c r="D217" i="2"/>
  <c r="B218" i="2"/>
  <c r="E217" i="2"/>
  <c r="H170" i="2"/>
  <c r="V66" i="2"/>
  <c r="B240" i="2"/>
  <c r="K239" i="2" a="1"/>
  <c r="K239" i="2" s="1"/>
  <c r="E239" i="2" a="1"/>
  <c r="E239" i="2" s="1"/>
  <c r="J216" i="2"/>
  <c r="H217" i="2"/>
  <c r="K286" i="2" a="1"/>
  <c r="K286" i="2" s="1"/>
  <c r="B287" i="2"/>
  <c r="E286" i="2" a="1"/>
  <c r="E286" i="2" s="1"/>
  <c r="I190" i="2"/>
  <c r="J190" i="2"/>
  <c r="H191" i="2"/>
  <c r="E189" i="2" a="1"/>
  <c r="E189" i="2" s="1"/>
  <c r="D189" i="2"/>
  <c r="C189" i="2"/>
  <c r="K189" i="2" a="1"/>
  <c r="K189" i="2" s="1"/>
  <c r="B190" i="2"/>
  <c r="F215" i="2" a="1"/>
  <c r="F215" i="2" s="1"/>
  <c r="K215" i="2" a="1"/>
  <c r="K215" i="2" s="1"/>
  <c r="B265" i="2"/>
  <c r="D264" i="2"/>
  <c r="C264" i="2"/>
  <c r="E264" i="2" a="1"/>
  <c r="E264" i="2" s="1"/>
  <c r="D171" i="2"/>
  <c r="E170" i="2"/>
  <c r="G170" i="2"/>
  <c r="C47" i="2"/>
  <c r="D46" i="2"/>
  <c r="E46" i="2" s="1"/>
  <c r="C190" i="1"/>
  <c r="E190" i="1" a="1"/>
  <c r="E190" i="1" s="1"/>
  <c r="D190" i="1"/>
  <c r="B191" i="1"/>
  <c r="F216" i="1" a="1"/>
  <c r="F216" i="1" s="1"/>
  <c r="H167" i="1"/>
  <c r="I167" i="1" s="1"/>
  <c r="S66" i="1"/>
  <c r="B289" i="1"/>
  <c r="E288" i="1" a="1"/>
  <c r="E288" i="1" s="1"/>
  <c r="K288" i="1" a="1"/>
  <c r="K288" i="1" s="1"/>
  <c r="K215" i="1" a="1"/>
  <c r="K215" i="1" s="1"/>
  <c r="J215" i="1"/>
  <c r="H216" i="1"/>
  <c r="D121" i="1"/>
  <c r="K241" i="1" a="1"/>
  <c r="K241" i="1" s="1"/>
  <c r="H242" i="1"/>
  <c r="B219" i="1"/>
  <c r="E218" i="1"/>
  <c r="D218" i="1"/>
  <c r="C218" i="1"/>
  <c r="I218" i="1"/>
  <c r="E263" i="1" a="1"/>
  <c r="E263" i="1" s="1"/>
  <c r="B264" i="1"/>
  <c r="C263" i="1"/>
  <c r="D263" i="1"/>
  <c r="E239" i="1" a="1"/>
  <c r="E239" i="1" s="1"/>
  <c r="B240" i="1"/>
  <c r="U53" i="1"/>
  <c r="C48" i="1"/>
  <c r="D47" i="1"/>
  <c r="E47" i="1" s="1"/>
  <c r="E168" i="1"/>
  <c r="D169" i="1"/>
  <c r="G168" i="1"/>
  <c r="I192" i="1"/>
  <c r="H193" i="1"/>
  <c r="K192" i="1" a="1"/>
  <c r="K192" i="1" s="1"/>
  <c r="J192" i="1"/>
  <c r="D99" i="1"/>
  <c r="E98" i="1"/>
  <c r="E33" i="10" l="1"/>
  <c r="E142" i="10"/>
  <c r="H142" i="10" s="1"/>
  <c r="E118" i="10"/>
  <c r="D143" i="10"/>
  <c r="C144" i="10"/>
  <c r="C118" i="10"/>
  <c r="H118" i="10" s="1"/>
  <c r="C33" i="10"/>
  <c r="V53" i="9"/>
  <c r="I168" i="9"/>
  <c r="T69" i="9"/>
  <c r="H218" i="9"/>
  <c r="J217" i="9"/>
  <c r="E289" i="9" a="1"/>
  <c r="E289" i="9" s="1"/>
  <c r="B290" i="9"/>
  <c r="K289" i="9" a="1"/>
  <c r="K289" i="9" s="1"/>
  <c r="B194" i="9"/>
  <c r="K193" i="9" a="1"/>
  <c r="K193" i="9" s="1"/>
  <c r="C193" i="9"/>
  <c r="E193" i="9" a="1"/>
  <c r="E193" i="9" s="1"/>
  <c r="D193" i="9"/>
  <c r="C48" i="9"/>
  <c r="D47" i="9"/>
  <c r="E47" i="9" s="1"/>
  <c r="J192" i="9"/>
  <c r="I192" i="9"/>
  <c r="H193" i="9"/>
  <c r="C264" i="9"/>
  <c r="E264" i="9" a="1"/>
  <c r="E264" i="9" s="1"/>
  <c r="D264" i="9"/>
  <c r="B265" i="9"/>
  <c r="E121" i="9"/>
  <c r="D122" i="9"/>
  <c r="D170" i="9"/>
  <c r="E169" i="9"/>
  <c r="G169" i="9"/>
  <c r="B243" i="9"/>
  <c r="K242" i="9" a="1"/>
  <c r="K242" i="9" s="1"/>
  <c r="E242" i="9" a="1"/>
  <c r="E242" i="9" s="1"/>
  <c r="D146" i="9"/>
  <c r="E146" i="9" s="1"/>
  <c r="E145" i="9"/>
  <c r="B218" i="9"/>
  <c r="C217" i="9"/>
  <c r="K217" i="9" a="1"/>
  <c r="K217" i="9" s="1"/>
  <c r="F217" i="9" a="1"/>
  <c r="F217" i="9" s="1"/>
  <c r="E217" i="9"/>
  <c r="D217" i="9"/>
  <c r="I217" i="9"/>
  <c r="C219" i="5"/>
  <c r="B220" i="5"/>
  <c r="I219" i="5"/>
  <c r="D219" i="5"/>
  <c r="E290" i="5" a="1"/>
  <c r="E290" i="5" s="1"/>
  <c r="B291" i="5"/>
  <c r="K290" i="5" a="1"/>
  <c r="K290" i="5" s="1"/>
  <c r="G169" i="5"/>
  <c r="I169" i="5" s="1"/>
  <c r="D170" i="5"/>
  <c r="H193" i="5"/>
  <c r="I192" i="5"/>
  <c r="K288" i="3" a="1"/>
  <c r="K288" i="3" s="1"/>
  <c r="B289" i="3"/>
  <c r="E288" i="3" a="1"/>
  <c r="E288" i="3" s="1"/>
  <c r="C48" i="3"/>
  <c r="D47" i="3"/>
  <c r="E47" i="3" s="1"/>
  <c r="B192" i="3"/>
  <c r="C191" i="3"/>
  <c r="H192" i="3"/>
  <c r="I191" i="3"/>
  <c r="B218" i="3"/>
  <c r="C217" i="3"/>
  <c r="I217" i="3"/>
  <c r="D217" i="3"/>
  <c r="D144" i="3"/>
  <c r="E143" i="3"/>
  <c r="B219" i="2"/>
  <c r="E218" i="2"/>
  <c r="I218" i="2"/>
  <c r="C218" i="2"/>
  <c r="D218" i="2"/>
  <c r="G171" i="2"/>
  <c r="E171" i="2"/>
  <c r="J217" i="2"/>
  <c r="H218" i="2"/>
  <c r="K190" i="2" a="1"/>
  <c r="K190" i="2" s="1"/>
  <c r="E190" i="2" a="1"/>
  <c r="E190" i="2" s="1"/>
  <c r="C190" i="2"/>
  <c r="D190" i="2"/>
  <c r="B191" i="2"/>
  <c r="K216" i="2" a="1"/>
  <c r="K216" i="2" s="1"/>
  <c r="F216" i="2" a="1"/>
  <c r="F216" i="2" s="1"/>
  <c r="C48" i="2"/>
  <c r="D47" i="2"/>
  <c r="E47" i="2" s="1"/>
  <c r="I170" i="2"/>
  <c r="W66" i="2"/>
  <c r="H171" i="2"/>
  <c r="I191" i="2"/>
  <c r="J191" i="2"/>
  <c r="H192" i="2"/>
  <c r="C265" i="2"/>
  <c r="B266" i="2"/>
  <c r="E265" i="2" a="1"/>
  <c r="E265" i="2" s="1"/>
  <c r="D265" i="2"/>
  <c r="K287" i="2" a="1"/>
  <c r="K287" i="2" s="1"/>
  <c r="B288" i="2"/>
  <c r="E287" i="2" a="1"/>
  <c r="E287" i="2" s="1"/>
  <c r="E240" i="2" a="1"/>
  <c r="E240" i="2" s="1"/>
  <c r="B241" i="2"/>
  <c r="K240" i="2" a="1"/>
  <c r="K240" i="2" s="1"/>
  <c r="D121" i="2"/>
  <c r="E120" i="2"/>
  <c r="H168" i="1"/>
  <c r="I168" i="1" s="1"/>
  <c r="T66" i="1"/>
  <c r="V53" i="1"/>
  <c r="B290" i="1"/>
  <c r="K289" i="1" a="1"/>
  <c r="K289" i="1" s="1"/>
  <c r="E289" i="1" a="1"/>
  <c r="E289" i="1" s="1"/>
  <c r="I193" i="1"/>
  <c r="H194" i="1"/>
  <c r="K193" i="1" a="1"/>
  <c r="K193" i="1" s="1"/>
  <c r="J193" i="1"/>
  <c r="E169" i="1"/>
  <c r="D170" i="1"/>
  <c r="G169" i="1"/>
  <c r="B241" i="1"/>
  <c r="E240" i="1" a="1"/>
  <c r="E240" i="1" s="1"/>
  <c r="K242" i="1" a="1"/>
  <c r="K242" i="1" s="1"/>
  <c r="H243" i="1"/>
  <c r="C49" i="1"/>
  <c r="D48" i="1"/>
  <c r="E48" i="1" s="1"/>
  <c r="D100" i="1"/>
  <c r="E99" i="1"/>
  <c r="B220" i="1"/>
  <c r="C219" i="1"/>
  <c r="E219" i="1"/>
  <c r="D219" i="1"/>
  <c r="I219" i="1"/>
  <c r="D191" i="1"/>
  <c r="B192" i="1"/>
  <c r="E191" i="1" a="1"/>
  <c r="E191" i="1" s="1"/>
  <c r="C191" i="1"/>
  <c r="F217" i="1" a="1"/>
  <c r="F217" i="1" s="1"/>
  <c r="D122" i="1"/>
  <c r="B265" i="1"/>
  <c r="E264" i="1" a="1"/>
  <c r="E264" i="1" s="1"/>
  <c r="D264" i="1"/>
  <c r="C264" i="1"/>
  <c r="K216" i="1" a="1"/>
  <c r="K216" i="1" s="1"/>
  <c r="J216" i="1"/>
  <c r="H217" i="1"/>
  <c r="E34" i="10" l="1"/>
  <c r="E119" i="10"/>
  <c r="E143" i="10"/>
  <c r="H143" i="10"/>
  <c r="D144" i="10"/>
  <c r="C145" i="10"/>
  <c r="C119" i="10"/>
  <c r="H119" i="10" s="1"/>
  <c r="C34" i="10"/>
  <c r="U69" i="9"/>
  <c r="W53" i="9"/>
  <c r="D123" i="9"/>
  <c r="E122" i="9"/>
  <c r="D48" i="9"/>
  <c r="E48" i="9" s="1"/>
  <c r="C49" i="9"/>
  <c r="C218" i="9"/>
  <c r="B219" i="9"/>
  <c r="F218" i="9" a="1"/>
  <c r="F218" i="9" s="1"/>
  <c r="E218" i="9"/>
  <c r="K218" i="9" a="1"/>
  <c r="K218" i="9" s="1"/>
  <c r="D218" i="9"/>
  <c r="I218" i="9"/>
  <c r="B266" i="9"/>
  <c r="E265" i="9" a="1"/>
  <c r="E265" i="9" s="1"/>
  <c r="D265" i="9"/>
  <c r="C265" i="9"/>
  <c r="K194" i="9" a="1"/>
  <c r="K194" i="9" s="1"/>
  <c r="E194" i="9" a="1"/>
  <c r="E194" i="9" s="1"/>
  <c r="D194" i="9"/>
  <c r="C194" i="9"/>
  <c r="B244" i="9"/>
  <c r="K243" i="9" a="1"/>
  <c r="K243" i="9" s="1"/>
  <c r="E243" i="9" a="1"/>
  <c r="E243" i="9" s="1"/>
  <c r="E290" i="9" a="1"/>
  <c r="E290" i="9" s="1"/>
  <c r="B291" i="9"/>
  <c r="K290" i="9" a="1"/>
  <c r="K290" i="9" s="1"/>
  <c r="H194" i="9"/>
  <c r="J193" i="9"/>
  <c r="I193" i="9"/>
  <c r="I169" i="9"/>
  <c r="E170" i="9"/>
  <c r="D171" i="9"/>
  <c r="G170" i="9"/>
  <c r="H219" i="9"/>
  <c r="J218" i="9"/>
  <c r="H194" i="5"/>
  <c r="I194" i="5" s="1"/>
  <c r="I193" i="5"/>
  <c r="D171" i="5"/>
  <c r="G171" i="5" s="1"/>
  <c r="I171" i="5" s="1"/>
  <c r="G170" i="5"/>
  <c r="I170" i="5" s="1"/>
  <c r="C220" i="5"/>
  <c r="I220" i="5"/>
  <c r="D220" i="5"/>
  <c r="B292" i="5"/>
  <c r="K291" i="5" a="1"/>
  <c r="K291" i="5" s="1"/>
  <c r="E291" i="5" a="1"/>
  <c r="E291" i="5" s="1"/>
  <c r="C218" i="3"/>
  <c r="B219" i="3"/>
  <c r="D218" i="3"/>
  <c r="I218" i="3"/>
  <c r="I192" i="3"/>
  <c r="H193" i="3"/>
  <c r="B193" i="3"/>
  <c r="C192" i="3"/>
  <c r="C49" i="3"/>
  <c r="D48" i="3"/>
  <c r="E48" i="3" s="1"/>
  <c r="D145" i="3"/>
  <c r="E144" i="3"/>
  <c r="E289" i="3" a="1"/>
  <c r="E289" i="3" s="1"/>
  <c r="B290" i="3"/>
  <c r="K289" i="3" a="1"/>
  <c r="K289" i="3" s="1"/>
  <c r="I171" i="2"/>
  <c r="B289" i="2"/>
  <c r="E288" i="2" a="1"/>
  <c r="E288" i="2" s="1"/>
  <c r="K288" i="2" a="1"/>
  <c r="K288" i="2" s="1"/>
  <c r="E241" i="2" a="1"/>
  <c r="E241" i="2" s="1"/>
  <c r="B242" i="2"/>
  <c r="K241" i="2" a="1"/>
  <c r="K241" i="2" s="1"/>
  <c r="H219" i="2"/>
  <c r="J218" i="2"/>
  <c r="D48" i="2"/>
  <c r="E48" i="2" s="1"/>
  <c r="C49" i="2"/>
  <c r="H193" i="2"/>
  <c r="J192" i="2"/>
  <c r="I192" i="2"/>
  <c r="C266" i="2"/>
  <c r="D266" i="2"/>
  <c r="B267" i="2"/>
  <c r="E266" i="2" a="1"/>
  <c r="E266" i="2" s="1"/>
  <c r="B192" i="2"/>
  <c r="K191" i="2" a="1"/>
  <c r="K191" i="2" s="1"/>
  <c r="E191" i="2" a="1"/>
  <c r="E191" i="2" s="1"/>
  <c r="D191" i="2"/>
  <c r="C191" i="2"/>
  <c r="F217" i="2" a="1"/>
  <c r="F217" i="2" s="1"/>
  <c r="K217" i="2" a="1"/>
  <c r="K217" i="2" s="1"/>
  <c r="E121" i="2"/>
  <c r="D122" i="2"/>
  <c r="B220" i="2"/>
  <c r="E219" i="2"/>
  <c r="D219" i="2"/>
  <c r="C219" i="2"/>
  <c r="I219" i="2"/>
  <c r="B266" i="1"/>
  <c r="C265" i="1"/>
  <c r="D265" i="1"/>
  <c r="E265" i="1" a="1"/>
  <c r="E265" i="1" s="1"/>
  <c r="E170" i="1"/>
  <c r="D171" i="1"/>
  <c r="G170" i="1"/>
  <c r="C220" i="1"/>
  <c r="E220" i="1"/>
  <c r="I220" i="1"/>
  <c r="D220" i="1"/>
  <c r="D123" i="1"/>
  <c r="D101" i="1"/>
  <c r="E101" i="1" s="1"/>
  <c r="E100" i="1"/>
  <c r="K194" i="1" a="1"/>
  <c r="K194" i="1" s="1"/>
  <c r="J194" i="1"/>
  <c r="I194" i="1"/>
  <c r="H169" i="1"/>
  <c r="I169" i="1" s="1"/>
  <c r="U66" i="1"/>
  <c r="W53" i="1"/>
  <c r="K217" i="1" a="1"/>
  <c r="K217" i="1" s="1"/>
  <c r="H218" i="1"/>
  <c r="J217" i="1"/>
  <c r="E192" i="1" a="1"/>
  <c r="E192" i="1" s="1"/>
  <c r="D192" i="1"/>
  <c r="C192" i="1"/>
  <c r="B193" i="1"/>
  <c r="F218" i="1" a="1"/>
  <c r="F218" i="1" s="1"/>
  <c r="D49" i="1"/>
  <c r="E49" i="1" s="1"/>
  <c r="C50" i="1"/>
  <c r="D50" i="1" s="1"/>
  <c r="E50" i="1" s="1"/>
  <c r="K243" i="1" a="1"/>
  <c r="K243" i="1" s="1"/>
  <c r="H244" i="1"/>
  <c r="K244" i="1" s="1" a="1"/>
  <c r="K244" i="1" s="1"/>
  <c r="B242" i="1"/>
  <c r="E241" i="1" a="1"/>
  <c r="E241" i="1" s="1"/>
  <c r="B291" i="1"/>
  <c r="E290" i="1" a="1"/>
  <c r="E290" i="1" s="1"/>
  <c r="K290" i="1" a="1"/>
  <c r="K290" i="1" s="1"/>
  <c r="E35" i="10" l="1"/>
  <c r="E120" i="10"/>
  <c r="E144" i="10"/>
  <c r="H144" i="10" s="1"/>
  <c r="D145" i="10"/>
  <c r="D146" i="10"/>
  <c r="C146" i="10"/>
  <c r="C120" i="10"/>
  <c r="H120" i="10" s="1"/>
  <c r="C35" i="10"/>
  <c r="I170" i="9"/>
  <c r="V69" i="9"/>
  <c r="E266" i="9" a="1"/>
  <c r="E266" i="9" s="1"/>
  <c r="D266" i="9"/>
  <c r="C266" i="9"/>
  <c r="B267" i="9"/>
  <c r="E171" i="9"/>
  <c r="G171" i="9"/>
  <c r="C219" i="9"/>
  <c r="K219" i="9" a="1"/>
  <c r="K219" i="9" s="1"/>
  <c r="B220" i="9"/>
  <c r="F219" i="9" a="1"/>
  <c r="F219" i="9" s="1"/>
  <c r="E219" i="9"/>
  <c r="I219" i="9"/>
  <c r="D219" i="9"/>
  <c r="J219" i="9"/>
  <c r="H220" i="9"/>
  <c r="J220" i="9" s="1"/>
  <c r="C50" i="9"/>
  <c r="D50" i="9" s="1"/>
  <c r="E50" i="9" s="1"/>
  <c r="D49" i="9"/>
  <c r="E49" i="9" s="1"/>
  <c r="I194" i="9"/>
  <c r="J194" i="9"/>
  <c r="E291" i="9" a="1"/>
  <c r="E291" i="9" s="1"/>
  <c r="B292" i="9"/>
  <c r="K291" i="9" a="1"/>
  <c r="K291" i="9" s="1"/>
  <c r="E244" i="9" a="1"/>
  <c r="E244" i="9" s="1"/>
  <c r="K244" i="9" a="1"/>
  <c r="K244" i="9" s="1"/>
  <c r="D124" i="9"/>
  <c r="E124" i="9" s="1"/>
  <c r="E123" i="9"/>
  <c r="K292" i="5" a="1"/>
  <c r="K292" i="5" s="1"/>
  <c r="E292" i="5" a="1"/>
  <c r="E292" i="5" s="1"/>
  <c r="D146" i="3"/>
  <c r="E146" i="3" s="1"/>
  <c r="E145" i="3"/>
  <c r="D49" i="3"/>
  <c r="E49" i="3" s="1"/>
  <c r="C50" i="3"/>
  <c r="D50" i="3" s="1"/>
  <c r="E50" i="3" s="1"/>
  <c r="C193" i="3"/>
  <c r="B194" i="3"/>
  <c r="C194" i="3" s="1"/>
  <c r="H194" i="3"/>
  <c r="I194" i="3" s="1"/>
  <c r="I193" i="3"/>
  <c r="E290" i="3" a="1"/>
  <c r="E290" i="3" s="1"/>
  <c r="B291" i="3"/>
  <c r="K290" i="3" a="1"/>
  <c r="K290" i="3" s="1"/>
  <c r="C219" i="3"/>
  <c r="B220" i="3"/>
  <c r="I219" i="3"/>
  <c r="D219" i="3"/>
  <c r="C50" i="2"/>
  <c r="D50" i="2" s="1"/>
  <c r="E50" i="2" s="1"/>
  <c r="D49" i="2"/>
  <c r="E49" i="2" s="1"/>
  <c r="E242" i="2" a="1"/>
  <c r="E242" i="2" s="1"/>
  <c r="K242" i="2" a="1"/>
  <c r="K242" i="2" s="1"/>
  <c r="B243" i="2"/>
  <c r="C220" i="2"/>
  <c r="E220" i="2"/>
  <c r="D220" i="2"/>
  <c r="I220" i="2"/>
  <c r="D267" i="2"/>
  <c r="E267" i="2" a="1"/>
  <c r="E267" i="2" s="1"/>
  <c r="C267" i="2"/>
  <c r="D192" i="2"/>
  <c r="C192" i="2"/>
  <c r="K192" i="2" a="1"/>
  <c r="K192" i="2" s="1"/>
  <c r="B193" i="2"/>
  <c r="E192" i="2" a="1"/>
  <c r="E192" i="2" s="1"/>
  <c r="F218" i="2" a="1"/>
  <c r="F218" i="2" s="1"/>
  <c r="K218" i="2" a="1"/>
  <c r="K218" i="2" s="1"/>
  <c r="E289" i="2" a="1"/>
  <c r="E289" i="2" s="1"/>
  <c r="B290" i="2"/>
  <c r="K289" i="2" a="1"/>
  <c r="K289" i="2" s="1"/>
  <c r="H194" i="2"/>
  <c r="J193" i="2"/>
  <c r="I193" i="2"/>
  <c r="J219" i="2"/>
  <c r="H220" i="2"/>
  <c r="J220" i="2" s="1"/>
  <c r="D123" i="2"/>
  <c r="E122" i="2"/>
  <c r="E242" i="1" a="1"/>
  <c r="E242" i="1" s="1"/>
  <c r="B243" i="1"/>
  <c r="H170" i="1"/>
  <c r="V66" i="1"/>
  <c r="B292" i="1"/>
  <c r="K291" i="1" a="1"/>
  <c r="K291" i="1" s="1"/>
  <c r="E291" i="1" a="1"/>
  <c r="E291" i="1" s="1"/>
  <c r="C193" i="1"/>
  <c r="E193" i="1" a="1"/>
  <c r="E193" i="1" s="1"/>
  <c r="B194" i="1"/>
  <c r="D193" i="1"/>
  <c r="F219" i="1" a="1"/>
  <c r="F219" i="1" s="1"/>
  <c r="E171" i="1"/>
  <c r="G171" i="1"/>
  <c r="I170" i="1"/>
  <c r="D124" i="1"/>
  <c r="J218" i="1"/>
  <c r="K218" i="1" a="1"/>
  <c r="K218" i="1" s="1"/>
  <c r="H219" i="1"/>
  <c r="C266" i="1"/>
  <c r="B267" i="1"/>
  <c r="E266" i="1" a="1"/>
  <c r="E266" i="1" s="1"/>
  <c r="D266" i="1"/>
  <c r="E36" i="10" l="1"/>
  <c r="E121" i="10"/>
  <c r="E145" i="10"/>
  <c r="H145" i="10" s="1"/>
  <c r="C36" i="10"/>
  <c r="C121" i="10"/>
  <c r="H121" i="10" s="1"/>
  <c r="W69" i="9"/>
  <c r="I171" i="9"/>
  <c r="E267" i="9" a="1"/>
  <c r="E267" i="9" s="1"/>
  <c r="C267" i="9"/>
  <c r="D267" i="9"/>
  <c r="K292" i="9" a="1"/>
  <c r="K292" i="9" s="1"/>
  <c r="E292" i="9" a="1"/>
  <c r="E292" i="9" s="1"/>
  <c r="E220" i="9"/>
  <c r="C220" i="9"/>
  <c r="F220" i="9" a="1"/>
  <c r="F220" i="9" s="1"/>
  <c r="K220" i="9" a="1"/>
  <c r="K220" i="9" s="1"/>
  <c r="I220" i="9"/>
  <c r="D220" i="9"/>
  <c r="B292" i="3"/>
  <c r="K291" i="3" a="1"/>
  <c r="K291" i="3" s="1"/>
  <c r="E291" i="3" a="1"/>
  <c r="E291" i="3" s="1"/>
  <c r="D220" i="3"/>
  <c r="C220" i="3"/>
  <c r="I220" i="3"/>
  <c r="E290" i="2" a="1"/>
  <c r="E290" i="2" s="1"/>
  <c r="B291" i="2"/>
  <c r="K290" i="2" a="1"/>
  <c r="K290" i="2" s="1"/>
  <c r="E123" i="2"/>
  <c r="D124" i="2"/>
  <c r="E124" i="2" s="1"/>
  <c r="D193" i="2"/>
  <c r="E193" i="2" a="1"/>
  <c r="E193" i="2" s="1"/>
  <c r="C193" i="2"/>
  <c r="B194" i="2"/>
  <c r="K193" i="2" a="1"/>
  <c r="K193" i="2" s="1"/>
  <c r="F219" i="2" a="1"/>
  <c r="F219" i="2" s="1"/>
  <c r="K219" i="2" a="1"/>
  <c r="K219" i="2" s="1"/>
  <c r="B244" i="2"/>
  <c r="K243" i="2" a="1"/>
  <c r="K243" i="2" s="1"/>
  <c r="E243" i="2" a="1"/>
  <c r="E243" i="2" s="1"/>
  <c r="I194" i="2"/>
  <c r="J194" i="2"/>
  <c r="E194" i="1" a="1"/>
  <c r="E194" i="1" s="1"/>
  <c r="D194" i="1"/>
  <c r="C194" i="1"/>
  <c r="F220" i="1" a="1"/>
  <c r="F220" i="1" s="1"/>
  <c r="I171" i="1"/>
  <c r="E267" i="1" a="1"/>
  <c r="E267" i="1" s="1"/>
  <c r="D267" i="1"/>
  <c r="C267" i="1"/>
  <c r="H220" i="1"/>
  <c r="K219" i="1" a="1"/>
  <c r="K219" i="1" s="1"/>
  <c r="J219" i="1"/>
  <c r="K292" i="1" a="1"/>
  <c r="K292" i="1" s="1"/>
  <c r="E292" i="1" a="1"/>
  <c r="E292" i="1" s="1"/>
  <c r="H171" i="1"/>
  <c r="W66" i="1"/>
  <c r="B244" i="1"/>
  <c r="E244" i="1" s="1" a="1"/>
  <c r="E244" i="1" s="1"/>
  <c r="E243" i="1" a="1"/>
  <c r="E243" i="1" s="1"/>
  <c r="E37" i="10" l="1"/>
  <c r="E146" i="10"/>
  <c r="H146" i="10" s="1"/>
  <c r="E122" i="10"/>
  <c r="C37" i="10"/>
  <c r="C122" i="10"/>
  <c r="H122" i="10" s="1"/>
  <c r="K292" i="3" a="1"/>
  <c r="K292" i="3" s="1"/>
  <c r="E292" i="3" a="1"/>
  <c r="E292" i="3" s="1"/>
  <c r="C194" i="2"/>
  <c r="E194" i="2" a="1"/>
  <c r="E194" i="2" s="1"/>
  <c r="D194" i="2"/>
  <c r="K194" i="2" a="1"/>
  <c r="K194" i="2" s="1"/>
  <c r="F220" i="2" a="1"/>
  <c r="F220" i="2" s="1"/>
  <c r="K220" i="2" a="1"/>
  <c r="K220" i="2" s="1"/>
  <c r="E291" i="2" a="1"/>
  <c r="E291" i="2" s="1"/>
  <c r="K291" i="2" a="1"/>
  <c r="K291" i="2" s="1"/>
  <c r="B292" i="2"/>
  <c r="E244" i="2" a="1"/>
  <c r="E244" i="2" s="1"/>
  <c r="K244" i="2" a="1"/>
  <c r="K244" i="2" s="1"/>
  <c r="J220" i="1"/>
  <c r="K220" i="1" a="1"/>
  <c r="K220" i="1" s="1"/>
  <c r="K292" i="2" l="1" a="1"/>
  <c r="K292" i="2" s="1"/>
  <c r="E292" i="2" a="1"/>
  <c r="E292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<sst xmlns="http://schemas.openxmlformats.org/spreadsheetml/2006/main" count="1149" uniqueCount="189">
  <si>
    <r>
      <t>k</t>
    </r>
    <r>
      <rPr>
        <b/>
        <sz val="8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 xml:space="preserve"> (J/K)</t>
    </r>
  </si>
  <si>
    <t>π</t>
  </si>
  <si>
    <t>h (Js)</t>
  </si>
  <si>
    <t>R (J/K/mol)</t>
  </si>
  <si>
    <t>m (Kg)</t>
  </si>
  <si>
    <r>
      <t>N</t>
    </r>
    <r>
      <rPr>
        <b/>
        <sz val="8"/>
        <color theme="1"/>
        <rFont val="Calibri"/>
        <family val="2"/>
        <scheme val="minor"/>
      </rPr>
      <t>AVO</t>
    </r>
    <r>
      <rPr>
        <b/>
        <sz val="11"/>
        <color theme="1"/>
        <rFont val="Calibri"/>
        <family val="2"/>
        <scheme val="minor"/>
      </rPr>
      <t xml:space="preserve"> (mol-1)</t>
    </r>
  </si>
  <si>
    <t>A</t>
  </si>
  <si>
    <r>
      <t>T</t>
    </r>
    <r>
      <rPr>
        <b/>
        <sz val="8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 xml:space="preserve"> (K)</t>
    </r>
  </si>
  <si>
    <t>c (cm/s)</t>
  </si>
  <si>
    <t>P (Pa)</t>
  </si>
  <si>
    <t>n(mol)</t>
  </si>
  <si>
    <t>N</t>
  </si>
  <si>
    <t>Ix</t>
  </si>
  <si>
    <t>Iy</t>
  </si>
  <si>
    <t>Iz</t>
  </si>
  <si>
    <t>ZPE (Hartree)</t>
  </si>
  <si>
    <t>ZPE (kcal/mol)</t>
  </si>
  <si>
    <t>ZPE (J)</t>
  </si>
  <si>
    <t>ν (Hz)</t>
  </si>
  <si>
    <t>σ</t>
  </si>
  <si>
    <r>
      <t xml:space="preserve"> Moments of inertia (uma</t>
    </r>
    <r>
      <rPr>
        <sz val="11"/>
        <color theme="1"/>
        <rFont val="Aptos Narrow"/>
        <family val="2"/>
      </rPr>
      <t>×</t>
    </r>
    <r>
      <rPr>
        <sz val="11"/>
        <color theme="1"/>
        <rFont val="Calibri"/>
        <family val="2"/>
        <scheme val="minor"/>
      </rPr>
      <t>Å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</si>
  <si>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Rotational symmetry number</t>
  </si>
  <si>
    <r>
      <t xml:space="preserve"> Moments of inertia (kg</t>
    </r>
    <r>
      <rPr>
        <sz val="11"/>
        <color theme="1"/>
        <rFont val="Aptos Narrow"/>
        <family val="2"/>
      </rPr>
      <t>×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</si>
  <si>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 xml:space="preserve">  </t>
  </si>
  <si>
    <t xml:space="preserve">Rotational constants (GHZ)       </t>
  </si>
  <si>
    <t xml:space="preserve"> Rotational temperatures (K)    </t>
  </si>
  <si>
    <r>
      <t xml:space="preserve">Vibrational temperatures  (Kelvin)    </t>
    </r>
    <r>
      <rPr>
        <b/>
        <sz val="11"/>
        <color theme="1"/>
        <rFont val="Aptos Narrow"/>
        <family val="2"/>
      </rPr>
      <t>ϑ</t>
    </r>
    <r>
      <rPr>
        <b/>
        <sz val="8"/>
        <color theme="1"/>
        <rFont val="Aptos Narrow"/>
        <family val="2"/>
      </rPr>
      <t>vib,i</t>
    </r>
  </si>
  <si>
    <t>Gaussian Output:</t>
  </si>
  <si>
    <t>E (Thermal)</t>
  </si>
  <si>
    <r>
      <t>C</t>
    </r>
    <r>
      <rPr>
        <b/>
        <sz val="8"/>
        <color theme="1"/>
        <rFont val="Calibri"/>
        <family val="2"/>
        <scheme val="minor"/>
      </rPr>
      <t>V</t>
    </r>
  </si>
  <si>
    <t>S</t>
  </si>
  <si>
    <t>KCal/Mol</t>
  </si>
  <si>
    <t>Cal/Mol-Kelvin</t>
  </si>
  <si>
    <t>Total</t>
  </si>
  <si>
    <t>Electronic</t>
  </si>
  <si>
    <t>0.000</t>
  </si>
  <si>
    <t>Translational</t>
  </si>
  <si>
    <t>Rotational</t>
  </si>
  <si>
    <t>Vibrational</t>
  </si>
  <si>
    <t>Q</t>
  </si>
  <si>
    <t>Total Bot</t>
  </si>
  <si>
    <t>Total V=0</t>
  </si>
  <si>
    <t>Vib (Bot)</t>
  </si>
  <si>
    <t>Vib (V=0)</t>
  </si>
  <si>
    <t>freq :ν , T = 298,15K</t>
  </si>
  <si>
    <r>
      <t>Frequencies (cm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</si>
  <si>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Frequencies (Hz)</t>
  </si>
  <si>
    <t>T (K)</t>
  </si>
  <si>
    <r>
      <t>V(m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</si>
  <si>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r>
      <t>N</t>
    </r>
    <r>
      <rPr>
        <vertAlign val="subscript"/>
        <sz val="11"/>
        <color theme="1"/>
        <rFont val="Calibri"/>
        <family val="2"/>
        <scheme val="minor"/>
      </rPr>
      <t>i,rif</t>
    </r>
  </si>
  <si>
    <r>
      <t>Q</t>
    </r>
    <r>
      <rPr>
        <b/>
        <vertAlign val="subscript"/>
        <sz val="12"/>
        <color theme="1"/>
        <rFont val="Calibri"/>
        <family val="2"/>
        <scheme val="minor"/>
      </rPr>
      <t xml:space="preserve">vib,i </t>
    </r>
  </si>
  <si>
    <t>Qvib,i (Tamb≈300K)</t>
  </si>
  <si>
    <r>
      <rPr>
        <b/>
        <sz val="11"/>
        <color rgb="FF0070C0"/>
        <rFont val="Calibri"/>
        <family val="2"/>
        <scheme val="minor"/>
      </rPr>
      <t>Frequencies (Hz)</t>
    </r>
    <r>
      <rPr>
        <b/>
        <sz val="11"/>
        <color theme="1"/>
        <rFont val="Calibri"/>
        <family val="2"/>
        <scheme val="minor"/>
      </rPr>
      <t xml:space="preserve"> /</t>
    </r>
    <r>
      <rPr>
        <b/>
        <sz val="11"/>
        <color rgb="FFFF0000"/>
        <rFont val="Calibri"/>
        <family val="2"/>
        <scheme val="minor"/>
      </rPr>
      <t xml:space="preserve"> T (K)</t>
    </r>
  </si>
  <si>
    <t>T(K)</t>
  </si>
  <si>
    <t>Qvib,tot</t>
  </si>
  <si>
    <t>N_vib</t>
  </si>
  <si>
    <r>
      <t>Q</t>
    </r>
    <r>
      <rPr>
        <b/>
        <vertAlign val="subscript"/>
        <sz val="14"/>
        <color theme="1"/>
        <rFont val="Calibri"/>
        <family val="2"/>
        <scheme val="minor"/>
      </rPr>
      <t>vib,tot</t>
    </r>
  </si>
  <si>
    <t>Gaussian:</t>
  </si>
  <si>
    <t>Variazione percentuale</t>
  </si>
  <si>
    <r>
      <t>Q</t>
    </r>
    <r>
      <rPr>
        <b/>
        <vertAlign val="subscript"/>
        <sz val="12"/>
        <color theme="1"/>
        <rFont val="Calibri"/>
        <family val="2"/>
        <scheme val="minor"/>
      </rPr>
      <t>trasl</t>
    </r>
    <r>
      <rPr>
        <b/>
        <sz val="12"/>
        <color theme="1"/>
        <rFont val="Calibri"/>
        <family val="2"/>
        <scheme val="minor"/>
      </rPr>
      <t xml:space="preserve"> </t>
    </r>
  </si>
  <si>
    <t>Confronto:</t>
  </si>
  <si>
    <t>T=298,15K</t>
  </si>
  <si>
    <t>Sperimentale</t>
  </si>
  <si>
    <t>Qtrasl</t>
  </si>
  <si>
    <t>Gaussian</t>
  </si>
  <si>
    <r>
      <t>Q</t>
    </r>
    <r>
      <rPr>
        <b/>
        <vertAlign val="subscript"/>
        <sz val="12"/>
        <color theme="1"/>
        <rFont val="Calibri"/>
        <family val="2"/>
        <scheme val="minor"/>
      </rPr>
      <t>rot</t>
    </r>
  </si>
  <si>
    <t>Qrot</t>
  </si>
  <si>
    <r>
      <t>Q</t>
    </r>
    <r>
      <rPr>
        <vertAlign val="subscript"/>
        <sz val="12"/>
        <color theme="1"/>
        <rFont val="Calibri"/>
        <family val="2"/>
        <scheme val="minor"/>
      </rPr>
      <t>el</t>
    </r>
  </si>
  <si>
    <r>
      <t>Q</t>
    </r>
    <r>
      <rPr>
        <vertAlign val="subscript"/>
        <sz val="12"/>
        <color theme="1"/>
        <rFont val="Calibri"/>
        <family val="2"/>
        <scheme val="minor"/>
      </rPr>
      <t>el</t>
    </r>
    <r>
      <rPr>
        <b/>
        <sz val="11"/>
        <color theme="1"/>
        <rFont val="Calibri"/>
        <family val="2"/>
        <scheme val="minor"/>
      </rPr>
      <t xml:space="preserve"> (Gaussian: g</t>
    </r>
    <r>
      <rPr>
        <b/>
        <vertAlign val="subscript"/>
        <sz val="11"/>
        <color theme="1"/>
        <rFont val="Calibri"/>
        <family val="2"/>
        <scheme val="minor"/>
      </rPr>
      <t>el</t>
    </r>
    <r>
      <rPr>
        <b/>
        <sz val="11"/>
        <color theme="1"/>
        <rFont val="Calibri"/>
        <family val="2"/>
        <scheme val="minor"/>
      </rPr>
      <t>)</t>
    </r>
  </si>
  <si>
    <t>Tamb:</t>
  </si>
  <si>
    <t>E_SCF [Hartree]</t>
  </si>
  <si>
    <t>E_SCF [J]</t>
  </si>
  <si>
    <t>ZPE [J]</t>
  </si>
  <si>
    <r>
      <t>E</t>
    </r>
    <r>
      <rPr>
        <vertAlign val="subscript"/>
        <sz val="12"/>
        <color theme="1"/>
        <rFont val="Calibri"/>
        <family val="2"/>
        <scheme val="minor"/>
      </rPr>
      <t>el</t>
    </r>
    <r>
      <rPr>
        <sz val="12"/>
        <color theme="1"/>
        <rFont val="Calibri"/>
        <family val="2"/>
        <scheme val="minor"/>
      </rPr>
      <t xml:space="preserve"> = E_SCF + ZPE</t>
    </r>
  </si>
  <si>
    <r>
      <t>g</t>
    </r>
    <r>
      <rPr>
        <vertAlign val="subscript"/>
        <sz val="12"/>
        <color theme="1"/>
        <rFont val="Calibri"/>
        <family val="2"/>
        <scheme val="minor"/>
      </rPr>
      <t>el</t>
    </r>
    <r>
      <rPr>
        <sz val="12"/>
        <color theme="1"/>
        <rFont val="Calibri"/>
        <family val="2"/>
        <scheme val="minor"/>
      </rPr>
      <t xml:space="preserve"> (spin multiplicity)</t>
    </r>
  </si>
  <si>
    <r>
      <t>K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*T</t>
    </r>
  </si>
  <si>
    <t>freq:  9,24E12 Hz</t>
  </si>
  <si>
    <r>
      <t>Q</t>
    </r>
    <r>
      <rPr>
        <b/>
        <vertAlign val="subscript"/>
        <sz val="14"/>
        <color theme="1"/>
        <rFont val="Calibri"/>
        <family val="2"/>
        <scheme val="minor"/>
      </rPr>
      <t>rot</t>
    </r>
  </si>
  <si>
    <r>
      <t>Q</t>
    </r>
    <r>
      <rPr>
        <vertAlign val="subscript"/>
        <sz val="14"/>
        <color theme="1"/>
        <rFont val="Calibri"/>
        <family val="2"/>
        <scheme val="minor"/>
      </rPr>
      <t>el</t>
    </r>
  </si>
  <si>
    <r>
      <t>Q</t>
    </r>
    <r>
      <rPr>
        <b/>
        <vertAlign val="subscript"/>
        <sz val="14"/>
        <color theme="1"/>
        <rFont val="Calibri"/>
        <family val="2"/>
        <scheme val="minor"/>
      </rPr>
      <t>trasl</t>
    </r>
    <r>
      <rPr>
        <b/>
        <sz val="14"/>
        <color theme="1"/>
        <rFont val="Calibri"/>
        <family val="2"/>
        <scheme val="minor"/>
      </rPr>
      <t xml:space="preserve"> </t>
    </r>
  </si>
  <si>
    <r>
      <t>Q</t>
    </r>
    <r>
      <rPr>
        <b/>
        <vertAlign val="subscript"/>
        <sz val="14"/>
        <color theme="1"/>
        <rFont val="Calibri"/>
        <family val="2"/>
        <scheme val="minor"/>
      </rPr>
      <t>vib</t>
    </r>
  </si>
  <si>
    <r>
      <t>Q</t>
    </r>
    <r>
      <rPr>
        <b/>
        <vertAlign val="subscript"/>
        <sz val="14"/>
        <color theme="1"/>
        <rFont val="Calibri"/>
        <family val="2"/>
        <scheme val="minor"/>
      </rPr>
      <t>tot</t>
    </r>
  </si>
  <si>
    <t>Confronto con Gaussian:</t>
  </si>
  <si>
    <t>Qtot</t>
  </si>
  <si>
    <t>Fattore che balla:</t>
  </si>
  <si>
    <t>Estimated Internal Energy</t>
  </si>
  <si>
    <t>J/mol</t>
  </si>
  <si>
    <t>Kcal/mol</t>
  </si>
  <si>
    <t>[J/mol]</t>
  </si>
  <si>
    <t>Traslational</t>
  </si>
  <si>
    <t>Electronical</t>
  </si>
  <si>
    <t>Fixed T=300K</t>
  </si>
  <si>
    <t>Confronto con</t>
  </si>
  <si>
    <t>Gaussian Output</t>
  </si>
  <si>
    <t>Total from data</t>
  </si>
  <si>
    <t>ρ_el</t>
  </si>
  <si>
    <r>
      <t>ϑ</t>
    </r>
    <r>
      <rPr>
        <sz val="9.6999999999999993"/>
        <color theme="1"/>
        <rFont val="Aptos Narrow"/>
        <family val="2"/>
      </rPr>
      <t>rot</t>
    </r>
    <r>
      <rPr>
        <sz val="11"/>
        <color theme="1"/>
        <rFont val="Aptos Narrow"/>
        <family val="2"/>
      </rPr>
      <t xml:space="preserve"> [K]</t>
    </r>
  </si>
  <si>
    <r>
      <t>[kg x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</si>
  <si>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Estimated Entropy</t>
  </si>
  <si>
    <t>[J /K ]</t>
  </si>
  <si>
    <t>Cal/K mol</t>
  </si>
  <si>
    <r>
      <t>V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</si>
  <si>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Heat capacity at constant volume</t>
  </si>
  <si>
    <t>[J/K]</t>
  </si>
  <si>
    <t>Cal/mol K]</t>
  </si>
  <si>
    <t>Heltmotz Free Energy estimated</t>
  </si>
  <si>
    <t>Heat capacity at constant pressure</t>
  </si>
  <si>
    <t>/</t>
  </si>
  <si>
    <t>Vibrational 1</t>
  </si>
  <si>
    <t xml:space="preserve"> Total Bot   </t>
  </si>
  <si>
    <t xml:space="preserve"> Total V=0       </t>
  </si>
  <si>
    <t xml:space="preserve"> Vib (Bot)       </t>
  </si>
  <si>
    <t xml:space="preserve"> Vib (Bot)    </t>
  </si>
  <si>
    <t xml:space="preserve"> Vib (V=0)       </t>
  </si>
  <si>
    <t xml:space="preserve"> Vib (V=0)    </t>
  </si>
  <si>
    <t xml:space="preserve"> Electronic      </t>
  </si>
  <si>
    <t xml:space="preserve"> Translational   </t>
  </si>
  <si>
    <t xml:space="preserve"> Rotational  </t>
  </si>
  <si>
    <t>[kg x m2]</t>
  </si>
  <si>
    <t>[kg]</t>
  </si>
  <si>
    <t>[m]</t>
  </si>
  <si>
    <t>HC4</t>
  </si>
  <si>
    <t>E</t>
  </si>
  <si>
    <t>E_rif (rispetto al minimo)</t>
  </si>
  <si>
    <t>E_rif (kcal/mol)</t>
  </si>
  <si>
    <t>Massimo in r=1.95 Å ?</t>
  </si>
  <si>
    <t>Ottimizzazione del TS</t>
  </si>
  <si>
    <t>Hartree</t>
  </si>
  <si>
    <t xml:space="preserve">SCF Done: </t>
  </si>
  <si>
    <t>ZPE</t>
  </si>
  <si>
    <t>SCF Done</t>
  </si>
  <si>
    <t>kcal/mol</t>
  </si>
  <si>
    <t>Total Energy</t>
  </si>
  <si>
    <t>Freq immaginaria</t>
  </si>
  <si>
    <r>
      <t>cm</t>
    </r>
    <r>
      <rPr>
        <vertAlign val="superscript"/>
        <sz val="11"/>
        <color theme="1"/>
        <rFont val="Calibri"/>
        <family val="2"/>
        <scheme val="minor"/>
      </rPr>
      <t>-1</t>
    </r>
  </si>
  <si>
    <t>Vibration 1</t>
  </si>
  <si>
    <t>Vibration 2</t>
  </si>
  <si>
    <t xml:space="preserve">Total Bot     </t>
  </si>
  <si>
    <t xml:space="preserve">Total V=0     </t>
  </si>
  <si>
    <t xml:space="preserve">Vib (Bot)     </t>
  </si>
  <si>
    <t>Vib (Bot)    1</t>
  </si>
  <si>
    <t>Vib (Bot)    2</t>
  </si>
  <si>
    <t xml:space="preserve">Vib (V=0)     </t>
  </si>
  <si>
    <t>Vib (V=0)    1</t>
  </si>
  <si>
    <t>Vib (V=0)    2</t>
  </si>
  <si>
    <t xml:space="preserve">Electronic    </t>
  </si>
  <si>
    <t xml:space="preserve">Translational </t>
  </si>
  <si>
    <t xml:space="preserve">Rotational    </t>
  </si>
  <si>
    <t>Forward direction</t>
  </si>
  <si>
    <t>Velocità di reazione r</t>
  </si>
  <si>
    <t>Energia di attivazione</t>
  </si>
  <si>
    <t xml:space="preserve">dove </t>
  </si>
  <si>
    <t xml:space="preserve">Velocità di reazione </t>
  </si>
  <si>
    <t>(dipendente dalla temperatura)</t>
  </si>
  <si>
    <r>
      <t>Q</t>
    </r>
    <r>
      <rPr>
        <vertAlign val="superscript"/>
        <sz val="11"/>
        <color theme="1"/>
        <rFont val="Calibri"/>
        <family val="2"/>
        <scheme val="minor"/>
      </rPr>
      <t>CH4</t>
    </r>
  </si>
  <si>
    <r>
      <t>Q</t>
    </r>
    <r>
      <rPr>
        <vertAlign val="superscript"/>
        <sz val="11"/>
        <color theme="1"/>
        <rFont val="Calibri"/>
        <family val="2"/>
        <scheme val="minor"/>
      </rPr>
      <t>H</t>
    </r>
  </si>
  <si>
    <r>
      <t>Q</t>
    </r>
    <r>
      <rPr>
        <vertAlign val="superscript"/>
        <sz val="11"/>
        <color theme="1"/>
        <rFont val="Calibri"/>
        <family val="2"/>
        <scheme val="minor"/>
      </rPr>
      <t>TS</t>
    </r>
  </si>
  <si>
    <t>Backward direction</t>
  </si>
  <si>
    <r>
      <t>Q</t>
    </r>
    <r>
      <rPr>
        <vertAlign val="superscript"/>
        <sz val="11"/>
        <color theme="1"/>
        <rFont val="Calibri"/>
        <family val="2"/>
        <scheme val="minor"/>
      </rPr>
      <t>CH3</t>
    </r>
  </si>
  <si>
    <r>
      <t>Q</t>
    </r>
    <r>
      <rPr>
        <vertAlign val="superscript"/>
        <sz val="11"/>
        <color theme="1"/>
        <rFont val="Calibri"/>
        <family val="2"/>
        <scheme val="minor"/>
      </rPr>
      <t>H2</t>
    </r>
  </si>
  <si>
    <t>Question:</t>
  </si>
  <si>
    <t>How can quantum tunnelling contributions be accounted for?</t>
  </si>
  <si>
    <t>Metodo Eckart (prossimo progetto) è un metodo per tenere conto dell'effetto tunneling</t>
  </si>
  <si>
    <t>Metodo di Wigner</t>
  </si>
  <si>
    <t>Fattore correttivo</t>
  </si>
  <si>
    <t>Nuova velocità di reazione</t>
  </si>
  <si>
    <t>Frequenza immaginaria</t>
  </si>
  <si>
    <t>(- omesso)</t>
  </si>
  <si>
    <t>Hz</t>
  </si>
  <si>
    <t xml:space="preserve">κ </t>
  </si>
  <si>
    <r>
      <t>ΔE</t>
    </r>
    <r>
      <rPr>
        <b/>
        <vertAlign val="subscript"/>
        <sz val="12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[kcal/mol]</t>
    </r>
  </si>
  <si>
    <t>Hartree/mol</t>
  </si>
  <si>
    <r>
      <t>E</t>
    </r>
    <r>
      <rPr>
        <vertAlign val="subscript"/>
        <sz val="12"/>
        <color theme="1"/>
        <rFont val="Calibri"/>
        <family val="2"/>
        <scheme val="minor"/>
      </rPr>
      <t>el</t>
    </r>
    <r>
      <rPr>
        <sz val="12"/>
        <color theme="1"/>
        <rFont val="Calibri"/>
        <family val="2"/>
        <scheme val="minor"/>
      </rPr>
      <t xml:space="preserve"> = E_SCF + ZPE </t>
    </r>
  </si>
  <si>
    <r>
      <t>Q</t>
    </r>
    <r>
      <rPr>
        <vertAlign val="superscript"/>
        <sz val="11"/>
        <color theme="1"/>
        <rFont val="Calibri"/>
        <family val="2"/>
        <scheme val="minor"/>
      </rPr>
      <t>≠</t>
    </r>
    <r>
      <rPr>
        <sz val="11"/>
        <color theme="1"/>
        <rFont val="Calibri"/>
        <family val="2"/>
        <scheme val="minor"/>
      </rPr>
      <t>/Q</t>
    </r>
    <r>
      <rPr>
        <vertAlign val="subscript"/>
        <sz val="11"/>
        <color theme="1"/>
        <rFont val="Calibri"/>
        <family val="2"/>
        <scheme val="minor"/>
      </rPr>
      <t>R</t>
    </r>
  </si>
  <si>
    <r>
      <t>N</t>
    </r>
    <r>
      <rPr>
        <vertAlign val="subscript"/>
        <sz val="11"/>
        <color theme="1"/>
        <rFont val="Calibri"/>
        <family val="2"/>
        <scheme val="minor"/>
      </rPr>
      <t>AVO</t>
    </r>
    <r>
      <rPr>
        <sz val="11"/>
        <color theme="1"/>
        <rFont val="Calibri"/>
        <family val="2"/>
        <scheme val="minor"/>
      </rPr>
      <t>*(k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*T)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/(p*h)</t>
    </r>
  </si>
  <si>
    <r>
      <t>E</t>
    </r>
    <r>
      <rPr>
        <b/>
        <vertAlign val="subscript"/>
        <sz val="12"/>
        <color theme="1"/>
        <rFont val="Calibri"/>
        <family val="2"/>
        <scheme val="minor"/>
      </rPr>
      <t>TS</t>
    </r>
    <r>
      <rPr>
        <b/>
        <sz val="12"/>
        <color theme="1"/>
        <rFont val="Calibri"/>
        <family val="2"/>
        <scheme val="minor"/>
      </rPr>
      <t xml:space="preserve"> [J]</t>
    </r>
  </si>
  <si>
    <r>
      <t>E</t>
    </r>
    <r>
      <rPr>
        <b/>
        <vertAlign val="subscript"/>
        <sz val="12"/>
        <color theme="1"/>
        <rFont val="Calibri"/>
        <family val="2"/>
        <scheme val="minor"/>
      </rPr>
      <t>CH4</t>
    </r>
    <r>
      <rPr>
        <b/>
        <sz val="12"/>
        <color theme="1"/>
        <rFont val="Calibri"/>
        <family val="2"/>
        <scheme val="minor"/>
      </rPr>
      <t xml:space="preserve"> [J]</t>
    </r>
  </si>
  <si>
    <r>
      <t>E</t>
    </r>
    <r>
      <rPr>
        <b/>
        <vertAlign val="subscript"/>
        <sz val="12"/>
        <color theme="1"/>
        <rFont val="Calibri"/>
        <family val="2"/>
        <scheme val="minor"/>
      </rPr>
      <t>H</t>
    </r>
    <r>
      <rPr>
        <b/>
        <sz val="12"/>
        <color theme="1"/>
        <rFont val="Calibri"/>
        <family val="2"/>
        <scheme val="minor"/>
      </rPr>
      <t xml:space="preserve"> [J]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</si>
  <si>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E</t>
    </r>
    <r>
      <rPr>
        <b/>
        <vertAlign val="subscript"/>
        <sz val="12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[J]</t>
    </r>
  </si>
  <si>
    <r>
      <t>ΔE</t>
    </r>
    <r>
      <rPr>
        <b/>
        <vertAlign val="subscript"/>
        <sz val="12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[Hartree]</t>
    </r>
  </si>
  <si>
    <r>
      <t>ΔE</t>
    </r>
    <r>
      <rPr>
        <b/>
        <vertAlign val="subscript"/>
        <sz val="12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[kcal]</t>
    </r>
  </si>
  <si>
    <t>exp(-Ea/(KbT))</t>
  </si>
  <si>
    <t>k [m3/ (mol-1s-1)]</t>
  </si>
  <si>
    <r>
      <t>k [cm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 (mol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)]</t>
    </r>
  </si>
  <si>
    <r>
      <t>k [cm3/ (mol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)]</t>
    </r>
  </si>
  <si>
    <r>
      <t>k' [cm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 (mol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)]</t>
    </r>
  </si>
  <si>
    <r>
      <t>E</t>
    </r>
    <r>
      <rPr>
        <b/>
        <vertAlign val="subscript"/>
        <sz val="12"/>
        <color theme="1"/>
        <rFont val="Calibri"/>
        <family val="2"/>
        <scheme val="minor"/>
      </rPr>
      <t>CH3</t>
    </r>
    <r>
      <rPr>
        <b/>
        <sz val="12"/>
        <color theme="1"/>
        <rFont val="Calibri"/>
        <family val="2"/>
        <scheme val="minor"/>
      </rPr>
      <t xml:space="preserve"> [J]</t>
    </r>
  </si>
  <si>
    <r>
      <t>E</t>
    </r>
    <r>
      <rPr>
        <b/>
        <vertAlign val="subscript"/>
        <sz val="12"/>
        <color theme="1"/>
        <rFont val="Calibri"/>
        <family val="2"/>
        <scheme val="minor"/>
      </rPr>
      <t>H2</t>
    </r>
    <r>
      <rPr>
        <b/>
        <sz val="12"/>
        <color theme="1"/>
        <rFont val="Calibri"/>
        <family val="2"/>
        <scheme val="minor"/>
      </rPr>
      <t xml:space="preserve"> [J]</t>
    </r>
  </si>
  <si>
    <r>
      <t>ΔE</t>
    </r>
    <r>
      <rPr>
        <b/>
        <vertAlign val="subscript"/>
        <sz val="12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[J]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</si>
</sst>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0.0000E+00"/>
    <numFmt numFmtId="165" formatCode="0.000E+00"/>
    <numFmt numFmtId="166" formatCode="#,##0.000"/>
    <numFmt numFmtId="167" formatCode="#,##0.000000"/>
    <numFmt numFmtId="168" formatCode="0.00000E+00"/>
    <numFmt numFmtId="169" formatCode="0.0000%"/>
    <numFmt numFmtId="170" formatCode="#,##0.00000"/>
    <numFmt numFmtId="171" formatCode="0.000"/>
    <numFmt numFmtId="172" formatCode="0.00000"/>
    <numFmt numFmtId="173" formatCode="0.0000"/>
    <numFmt numFmtId="174" formatCode="#,##0.0000"/>
    <numFmt numFmtId="175" formatCode="0.000%"/>
    <numFmt numFmtId="176" formatCode="#,##0.0000000"/>
    <numFmt numFmtId="177" formatCode="0.0000000E+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vertAlign val="superscript"/>
      <sz val="11"/>
      <color theme="1"/>
      <name val="Calibri"/>
      <family val="2"/>
      <scheme val="minor"/>
    </font>
    <font>
      <b/>
      <sz val="8"/>
      <color theme="1"/>
      <name val="Aptos Narrow"/>
      <family val="2"/>
    </font>
    <font>
      <b/>
      <sz val="12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4D5156"/>
      <name val="Arial"/>
      <family val="2"/>
    </font>
    <font>
      <vertAlign val="subscript"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9.6999999999999993"/>
      <color theme="1"/>
      <name val="Aptos Narrow"/>
      <family val="2"/>
    </font>
    <font>
      <sz val="11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color rgb="FFECECEC"/>
      <name val="Segoe UI"/>
      <family val="2"/>
    </font>
    <font>
      <sz val="14"/>
      <color rgb="FF000000"/>
      <name val="Times New Roman"/>
      <family val="1"/>
    </font>
    <font>
      <sz val="16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0000"/>
      <name val="Calibri"/>
      <family val="2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1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166" fontId="2" fillId="2" borderId="14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6" fontId="2" fillId="2" borderId="5" xfId="0" applyNumberFormat="1" applyFont="1" applyFill="1" applyBorder="1" applyAlignment="1">
      <alignment horizontal="center" vertical="center"/>
    </xf>
    <xf numFmtId="166" fontId="2" fillId="2" borderId="6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1" fontId="2" fillId="2" borderId="14" xfId="0" applyNumberFormat="1" applyFont="1" applyFill="1" applyBorder="1" applyAlignment="1">
      <alignment horizontal="center" vertical="center"/>
    </xf>
    <xf numFmtId="11" fontId="9" fillId="2" borderId="14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1" fontId="9" fillId="2" borderId="6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168" fontId="0" fillId="0" borderId="15" xfId="0" applyNumberFormat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8" fontId="0" fillId="0" borderId="9" xfId="0" applyNumberForma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1" fontId="0" fillId="0" borderId="14" xfId="0" applyNumberFormat="1" applyBorder="1" applyAlignment="1">
      <alignment horizontal="center" vertical="center"/>
    </xf>
    <xf numFmtId="11" fontId="14" fillId="0" borderId="13" xfId="0" applyNumberFormat="1" applyFon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14" fillId="0" borderId="4" xfId="0" applyNumberFormat="1" applyFont="1" applyBorder="1" applyAlignment="1">
      <alignment horizontal="center" vertical="center"/>
    </xf>
    <xf numFmtId="11" fontId="14" fillId="0" borderId="0" xfId="0" applyNumberFormat="1" applyFont="1" applyAlignment="1">
      <alignment horizontal="center" vertical="center"/>
    </xf>
    <xf numFmtId="11" fontId="14" fillId="0" borderId="1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11" fontId="15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0" fontId="2" fillId="0" borderId="9" xfId="1" applyNumberFormat="1" applyFont="1" applyBorder="1" applyAlignment="1">
      <alignment horizontal="center" vertical="center"/>
    </xf>
    <xf numFmtId="11" fontId="1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1" fontId="9" fillId="0" borderId="3" xfId="0" applyNumberFormat="1" applyFont="1" applyBorder="1" applyAlignment="1">
      <alignment horizontal="center" vertical="center"/>
    </xf>
    <xf numFmtId="11" fontId="15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9" fontId="2" fillId="0" borderId="0" xfId="1" applyNumberFormat="1" applyFont="1" applyAlignment="1">
      <alignment horizontal="center" vertical="center"/>
    </xf>
    <xf numFmtId="11" fontId="15" fillId="0" borderId="0" xfId="0" applyNumberFormat="1" applyFont="1" applyAlignment="1">
      <alignment horizontal="center" vertical="center"/>
    </xf>
    <xf numFmtId="11" fontId="21" fillId="0" borderId="14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2" fillId="0" borderId="0" xfId="0" applyFont="1"/>
    <xf numFmtId="0" fontId="21" fillId="0" borderId="0" xfId="0" applyFont="1" applyAlignment="1">
      <alignment horizontal="center" vertical="center"/>
    </xf>
    <xf numFmtId="170" fontId="21" fillId="0" borderId="0" xfId="0" applyNumberFormat="1" applyFont="1" applyAlignment="1">
      <alignment horizontal="center" vertical="center"/>
    </xf>
    <xf numFmtId="11" fontId="21" fillId="0" borderId="0" xfId="0" applyNumberFormat="1" applyFont="1" applyAlignment="1">
      <alignment horizontal="center" vertical="center"/>
    </xf>
    <xf numFmtId="11" fontId="21" fillId="0" borderId="6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1" fontId="24" fillId="0" borderId="1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21" fillId="0" borderId="5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71" fontId="2" fillId="2" borderId="15" xfId="0" applyNumberFormat="1" applyFont="1" applyFill="1" applyBorder="1" applyAlignment="1">
      <alignment horizontal="center" vertical="center"/>
    </xf>
    <xf numFmtId="171" fontId="24" fillId="2" borderId="9" xfId="0" applyNumberFormat="1" applyFont="1" applyFill="1" applyBorder="1" applyAlignment="1">
      <alignment horizontal="center" vertical="center"/>
    </xf>
    <xf numFmtId="171" fontId="26" fillId="2" borderId="12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11" fontId="28" fillId="0" borderId="15" xfId="0" applyNumberFormat="1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71" fontId="2" fillId="2" borderId="9" xfId="0" applyNumberFormat="1" applyFont="1" applyFill="1" applyBorder="1" applyAlignment="1">
      <alignment horizontal="center" vertical="center"/>
    </xf>
    <xf numFmtId="171" fontId="9" fillId="2" borderId="0" xfId="0" applyNumberFormat="1" applyFont="1" applyFill="1" applyAlignment="1">
      <alignment horizontal="center" vertical="center"/>
    </xf>
    <xf numFmtId="11" fontId="28" fillId="0" borderId="9" xfId="0" applyNumberFormat="1" applyFont="1" applyBorder="1" applyAlignment="1">
      <alignment horizontal="center" vertical="center"/>
    </xf>
    <xf numFmtId="171" fontId="26" fillId="2" borderId="0" xfId="0" applyNumberFormat="1" applyFont="1" applyFill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1" fontId="2" fillId="2" borderId="9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166" fontId="2" fillId="4" borderId="1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6" fontId="2" fillId="4" borderId="5" xfId="0" applyNumberFormat="1" applyFont="1" applyFill="1" applyBorder="1" applyAlignment="1">
      <alignment horizontal="center" vertical="center"/>
    </xf>
    <xf numFmtId="166" fontId="2" fillId="4" borderId="6" xfId="0" applyNumberFormat="1" applyFont="1" applyFill="1" applyBorder="1" applyAlignment="1">
      <alignment horizontal="center" vertical="center"/>
    </xf>
    <xf numFmtId="164" fontId="2" fillId="4" borderId="14" xfId="0" applyNumberFormat="1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11" fontId="30" fillId="0" borderId="0" xfId="0" applyNumberFormat="1" applyFont="1"/>
    <xf numFmtId="0" fontId="0" fillId="5" borderId="1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166" fontId="2" fillId="5" borderId="14" xfId="0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66" fontId="2" fillId="5" borderId="6" xfId="0" applyNumberFormat="1" applyFont="1" applyFill="1" applyBorder="1" applyAlignment="1">
      <alignment horizontal="center" vertical="center"/>
    </xf>
    <xf numFmtId="0" fontId="28" fillId="3" borderId="9" xfId="0" applyFont="1" applyFill="1" applyBorder="1" applyAlignment="1">
      <alignment horizontal="center" vertical="center"/>
    </xf>
    <xf numFmtId="171" fontId="0" fillId="2" borderId="15" xfId="0" applyNumberFormat="1" applyFill="1" applyBorder="1" applyAlignment="1">
      <alignment horizontal="center" vertical="center"/>
    </xf>
    <xf numFmtId="171" fontId="9" fillId="5" borderId="12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171" fontId="26" fillId="5" borderId="12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5" fontId="2" fillId="2" borderId="14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172" fontId="18" fillId="0" borderId="6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center" vertical="center"/>
    </xf>
    <xf numFmtId="165" fontId="15" fillId="0" borderId="6" xfId="0" applyNumberFormat="1" applyFont="1" applyBorder="1" applyAlignment="1">
      <alignment horizontal="center" vertical="center"/>
    </xf>
    <xf numFmtId="173" fontId="0" fillId="0" borderId="15" xfId="0" applyNumberFormat="1" applyBorder="1" applyAlignment="1">
      <alignment horizontal="center" vertical="center"/>
    </xf>
    <xf numFmtId="173" fontId="0" fillId="0" borderId="9" xfId="0" applyNumberFormat="1" applyBorder="1" applyAlignment="1">
      <alignment horizontal="center" vertical="center"/>
    </xf>
    <xf numFmtId="165" fontId="24" fillId="0" borderId="1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74" fontId="0" fillId="0" borderId="4" xfId="0" applyNumberFormat="1" applyBorder="1" applyAlignment="1">
      <alignment horizontal="center" vertical="center"/>
    </xf>
    <xf numFmtId="11" fontId="18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75" fontId="2" fillId="0" borderId="0" xfId="1" applyNumberFormat="1" applyFont="1" applyAlignment="1">
      <alignment horizontal="center" vertical="center"/>
    </xf>
    <xf numFmtId="171" fontId="9" fillId="2" borderId="12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170" fontId="0" fillId="0" borderId="0" xfId="0" applyNumberFormat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172" fontId="0" fillId="0" borderId="2" xfId="0" applyNumberFormat="1" applyBorder="1" applyAlignment="1">
      <alignment horizontal="center" vertical="center"/>
    </xf>
    <xf numFmtId="172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5" fontId="14" fillId="0" borderId="13" xfId="0" applyNumberFormat="1" applyFont="1" applyBorder="1" applyAlignment="1">
      <alignment horizontal="center" vertical="center"/>
    </xf>
    <xf numFmtId="165" fontId="14" fillId="0" borderId="4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0" fontId="31" fillId="0" borderId="0" xfId="0" applyFont="1" applyAlignment="1">
      <alignment vertical="center" wrapText="1"/>
    </xf>
    <xf numFmtId="11" fontId="31" fillId="0" borderId="0" xfId="0" applyNumberFormat="1" applyFont="1" applyAlignment="1">
      <alignment vertical="center" wrapText="1"/>
    </xf>
    <xf numFmtId="0" fontId="16" fillId="5" borderId="0" xfId="0" applyFont="1" applyFill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32" fillId="0" borderId="0" xfId="0" applyFont="1" applyAlignment="1">
      <alignment horizontal="right" vertical="center" wrapText="1"/>
    </xf>
    <xf numFmtId="0" fontId="36" fillId="0" borderId="0" xfId="0" applyFont="1" applyAlignment="1">
      <alignment vertical="center" wrapText="1"/>
    </xf>
    <xf numFmtId="0" fontId="37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 vertical="center"/>
    </xf>
    <xf numFmtId="0" fontId="38" fillId="0" borderId="0" xfId="0" applyFont="1" applyAlignment="1">
      <alignment vertical="center"/>
    </xf>
    <xf numFmtId="0" fontId="21" fillId="0" borderId="4" xfId="0" applyFont="1" applyBorder="1" applyAlignment="1">
      <alignment horizontal="center" vertical="center"/>
    </xf>
    <xf numFmtId="170" fontId="0" fillId="0" borderId="5" xfId="0" applyNumberFormat="1" applyBorder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3" fontId="0" fillId="0" borderId="0" xfId="2" applyNumberFormat="1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4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 vertical="center"/>
    </xf>
    <xf numFmtId="168" fontId="0" fillId="0" borderId="5" xfId="0" applyNumberFormat="1" applyBorder="1" applyAlignment="1">
      <alignment horizontal="center" vertical="center"/>
    </xf>
    <xf numFmtId="173" fontId="0" fillId="0" borderId="5" xfId="0" applyNumberFormat="1" applyBorder="1" applyAlignment="1">
      <alignment horizontal="center" vertical="center"/>
    </xf>
    <xf numFmtId="172" fontId="0" fillId="0" borderId="6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1" fontId="33" fillId="0" borderId="0" xfId="0" applyNumberFormat="1" applyFont="1" applyAlignment="1">
      <alignment horizontal="center" vertical="center" wrapText="1"/>
    </xf>
    <xf numFmtId="0" fontId="34" fillId="0" borderId="0" xfId="0" applyFont="1" applyAlignment="1">
      <alignment horizontal="left" vertical="center" wrapText="1"/>
    </xf>
    <xf numFmtId="0" fontId="35" fillId="5" borderId="0" xfId="0" applyFont="1" applyFill="1" applyAlignment="1">
      <alignment horizontal="center" vertical="center" wrapText="1"/>
    </xf>
  </cellXfs>
  <cellStyles count="3">
    <cellStyle name="Migliaia" xfId="2" builtinId="3"/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FF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gif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gif"/><Relationship Id="rId2" Type="http://schemas.openxmlformats.org/officeDocument/2006/relationships/image" Target="../media/image9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352424</xdr:colOff>
      <xdr:row>84</xdr:row>
      <xdr:rowOff>19049</xdr:rowOff>
    </xdr:from>
    <xdr:ext cx="3379644" cy="688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4591241E-DBAC-4739-8032-EA18CA08F234}"/>
                </a:ext>
              </a:extLst>
            </xdr:cNvPr>
            <xdr:cNvSpPr txBox="1"/>
          </xdr:nvSpPr>
          <xdr:spPr>
            <a:xfrm>
              <a:off x="352424" y="16066769"/>
              <a:ext cx="3379644" cy="688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𝑡𝑟𝑎𝑠𝑙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𝜋</m:t>
                                </m:r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h</m:t>
                                    </m:r>
                                  </m:e>
                                  <m:sup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3/2</m:t>
                        </m:r>
                      </m:sup>
                    </m:sSup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4591241E-DBAC-4739-8032-EA18CA08F234}"/>
                </a:ext>
              </a:extLst>
            </xdr:cNvPr>
            <xdr:cNvSpPr txBox="1"/>
          </xdr:nvSpPr>
          <xdr:spPr>
            <a:xfrm>
              <a:off x="352424" y="16066769"/>
              <a:ext cx="3379644" cy="688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𝑄_𝑡𝑟𝑎𝑠𝑙=((2𝜋𝑚𝑘_𝐵 𝑇)/ℎ^2 )^(3/2)⋅(𝑘_𝐵 𝑇)/𝑃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127289</xdr:colOff>
      <xdr:row>103</xdr:row>
      <xdr:rowOff>157596</xdr:rowOff>
    </xdr:from>
    <xdr:ext cx="4141643" cy="5943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4D35CA7-CA69-4EC3-B0CA-8E9693E358B8}"/>
                </a:ext>
              </a:extLst>
            </xdr:cNvPr>
            <xdr:cNvSpPr txBox="1"/>
          </xdr:nvSpPr>
          <xdr:spPr>
            <a:xfrm>
              <a:off x="127289" y="19702896"/>
              <a:ext cx="4141643" cy="594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𝑟𝑜𝑡</m:t>
                        </m:r>
                      </m:sub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𝐷</m:t>
                        </m:r>
                      </m:sup>
                    </m:sSubSup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8</m:t>
                        </m:r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(2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3/2</m:t>
                            </m:r>
                          </m:sup>
                        </m:sSup>
                        <m:rad>
                          <m:radPr>
                            <m:degHide m:val="on"/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sub>
                            </m:sSub>
                          </m:e>
                        </m:rad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𝜎</m:t>
                        </m:r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4D35CA7-CA69-4EC3-B0CA-8E9693E358B8}"/>
                </a:ext>
              </a:extLst>
            </xdr:cNvPr>
            <xdr:cNvSpPr txBox="1"/>
          </xdr:nvSpPr>
          <xdr:spPr>
            <a:xfrm>
              <a:off x="127289" y="19702896"/>
              <a:ext cx="4141643" cy="594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𝑄_𝑟𝑜𝑡^3𝐷=(8𝜋^2 〖(2𝜋𝑘〗_𝐵 〖𝑇)〗^(3/2) √(𝐼_𝑥 𝐼_𝑦 𝐼_𝑧 ))/(𝜎ℎ^3 )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126</xdr:row>
      <xdr:rowOff>0</xdr:rowOff>
    </xdr:from>
    <xdr:ext cx="4141643" cy="452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9BA979DC-2F5C-4484-8D2D-601069B6A8C9}"/>
                </a:ext>
              </a:extLst>
            </xdr:cNvPr>
            <xdr:cNvSpPr txBox="1"/>
          </xdr:nvSpPr>
          <xdr:spPr>
            <a:xfrm>
              <a:off x="0" y="23888700"/>
              <a:ext cx="414164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𝑒𝑙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sub>
                            </m:s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9BA979DC-2F5C-4484-8D2D-601069B6A8C9}"/>
                </a:ext>
              </a:extLst>
            </xdr:cNvPr>
            <xdr:cNvSpPr txBox="1"/>
          </xdr:nvSpPr>
          <xdr:spPr>
            <a:xfrm>
              <a:off x="0" y="23888700"/>
              <a:ext cx="414164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Q_el=𝑔_𝑒𝑙⋅𝑒^(−𝐸_𝑒𝑙/(𝑘_𝐵 𝑇))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216478</xdr:colOff>
      <xdr:row>153</xdr:row>
      <xdr:rowOff>114298</xdr:rowOff>
    </xdr:from>
    <xdr:ext cx="3717348" cy="575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867B4E72-5987-43BF-B1F9-0F18D6C0A439}"/>
                </a:ext>
              </a:extLst>
            </xdr:cNvPr>
            <xdr:cNvSpPr txBox="1"/>
          </xdr:nvSpPr>
          <xdr:spPr>
            <a:xfrm>
              <a:off x="216478" y="29443678"/>
              <a:ext cx="3717348" cy="575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8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𝑡𝑟𝑎𝑠𝑙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Sup>
                      <m:sSub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𝑟𝑜𝑡</m:t>
                        </m:r>
                      </m:sub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𝐷</m:t>
                        </m:r>
                      </m:sup>
                    </m:sSubSup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𝑣𝑖𝑏</m:t>
                        </m:r>
                      </m:sub>
                    </m:sSub>
                  </m:oMath>
                </m:oMathPara>
              </a14:m>
              <a:endParaRPr lang="it-IT" sz="1800" b="0"/>
            </a:p>
            <a:p>
              <a:endParaRPr lang="it-IT" sz="18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867B4E72-5987-43BF-B1F9-0F18D6C0A439}"/>
                </a:ext>
              </a:extLst>
            </xdr:cNvPr>
            <xdr:cNvSpPr txBox="1"/>
          </xdr:nvSpPr>
          <xdr:spPr>
            <a:xfrm>
              <a:off x="216478" y="29443678"/>
              <a:ext cx="3717348" cy="575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𝑄=𝑄_𝑡𝑟𝑎𝑠𝑙×𝑄_𝑒𝑙×𝑄_𝑟𝑜𝑡^3𝐷×𝑄_𝑣𝑖𝑏</a:t>
              </a:r>
              <a:endParaRPr lang="it-IT" sz="1800" b="0"/>
            </a:p>
            <a:p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0</xdr:colOff>
      <xdr:row>140</xdr:row>
      <xdr:rowOff>0</xdr:rowOff>
    </xdr:from>
    <xdr:ext cx="4141643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08546DCC-AF5F-4ACA-BCA9-F1B5C07F0A21}"/>
                </a:ext>
              </a:extLst>
            </xdr:cNvPr>
            <xdr:cNvSpPr txBox="1"/>
          </xdr:nvSpPr>
          <xdr:spPr>
            <a:xfrm>
              <a:off x="0" y="26753820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08546DCC-AF5F-4ACA-BCA9-F1B5C07F0A21}"/>
                </a:ext>
              </a:extLst>
            </xdr:cNvPr>
            <xdr:cNvSpPr txBox="1"/>
          </xdr:nvSpPr>
          <xdr:spPr>
            <a:xfrm>
              <a:off x="0" y="26753820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Q_el=𝑔_𝑒𝑙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141</xdr:row>
      <xdr:rowOff>138545</xdr:rowOff>
    </xdr:from>
    <xdr:ext cx="4141643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A898BE84-C12B-49E4-B109-449E9091ECC0}"/>
                </a:ext>
              </a:extLst>
            </xdr:cNvPr>
            <xdr:cNvSpPr txBox="1"/>
          </xdr:nvSpPr>
          <xdr:spPr>
            <a:xfrm>
              <a:off x="0" y="27090485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A898BE84-C12B-49E4-B109-449E9091ECC0}"/>
                </a:ext>
              </a:extLst>
            </xdr:cNvPr>
            <xdr:cNvSpPr txBox="1"/>
          </xdr:nvSpPr>
          <xdr:spPr>
            <a:xfrm>
              <a:off x="0" y="27090485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Q_el=1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993198</xdr:colOff>
      <xdr:row>175</xdr:row>
      <xdr:rowOff>140278</xdr:rowOff>
    </xdr:from>
    <xdr:ext cx="1448666" cy="297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93F3D380-381C-431F-9B96-B4318E66D997}"/>
                </a:ext>
              </a:extLst>
            </xdr:cNvPr>
            <xdr:cNvSpPr txBox="1"/>
          </xdr:nvSpPr>
          <xdr:spPr>
            <a:xfrm>
              <a:off x="993198" y="33851158"/>
              <a:ext cx="1448666" cy="297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93F3D380-381C-431F-9B96-B4318E66D997}"/>
                </a:ext>
              </a:extLst>
            </xdr:cNvPr>
            <xdr:cNvSpPr txBox="1"/>
          </xdr:nvSpPr>
          <xdr:spPr>
            <a:xfrm>
              <a:off x="993198" y="33851158"/>
              <a:ext cx="1448666" cy="297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𝑈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857250</xdr:colOff>
      <xdr:row>201</xdr:row>
      <xdr:rowOff>173182</xdr:rowOff>
    </xdr:from>
    <xdr:ext cx="1448666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96C037C4-7C86-4EFD-AE82-EA21217DFED3}"/>
                </a:ext>
              </a:extLst>
            </xdr:cNvPr>
            <xdr:cNvSpPr txBox="1"/>
          </xdr:nvSpPr>
          <xdr:spPr>
            <a:xfrm>
              <a:off x="857250" y="38837062"/>
              <a:ext cx="1448666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96C037C4-7C86-4EFD-AE82-EA21217DFED3}"/>
                </a:ext>
              </a:extLst>
            </xdr:cNvPr>
            <xdr:cNvSpPr txBox="1"/>
          </xdr:nvSpPr>
          <xdr:spPr>
            <a:xfrm>
              <a:off x="857250" y="38837062"/>
              <a:ext cx="1448666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𝑆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4</xdr:col>
      <xdr:colOff>92652</xdr:colOff>
      <xdr:row>218</xdr:row>
      <xdr:rowOff>114300</xdr:rowOff>
    </xdr:from>
    <xdr:ext cx="65" cy="172227"/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DDF0D025-39F9-46EF-B938-5C153E592CBC}"/>
            </a:ext>
          </a:extLst>
        </xdr:cNvPr>
        <xdr:cNvSpPr txBox="1"/>
      </xdr:nvSpPr>
      <xdr:spPr>
        <a:xfrm>
          <a:off x="6333432" y="42001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1047750</xdr:colOff>
      <xdr:row>225</xdr:row>
      <xdr:rowOff>147205</xdr:rowOff>
    </xdr:from>
    <xdr:ext cx="1448666" cy="578172"/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5EE40D22-E744-4F5B-A4FC-0E7CBCE90777}"/>
            </a:ext>
          </a:extLst>
        </xdr:cNvPr>
        <xdr:cNvSpPr txBox="1"/>
      </xdr:nvSpPr>
      <xdr:spPr>
        <a:xfrm>
          <a:off x="1047750" y="4337546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0</xdr:col>
      <xdr:colOff>839932</xdr:colOff>
      <xdr:row>226</xdr:row>
      <xdr:rowOff>25977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93724F9B-DB96-47D8-8224-37DEF2B7A38A}"/>
                </a:ext>
              </a:extLst>
            </xdr:cNvPr>
            <xdr:cNvSpPr txBox="1"/>
          </xdr:nvSpPr>
          <xdr:spPr>
            <a:xfrm>
              <a:off x="839932" y="4344473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93724F9B-DB96-47D8-8224-37DEF2B7A38A}"/>
                </a:ext>
              </a:extLst>
            </xdr:cNvPr>
            <xdr:cNvSpPr txBox="1"/>
          </xdr:nvSpPr>
          <xdr:spPr>
            <a:xfrm>
              <a:off x="839932" y="4344473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𝐶_𝑉 )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3</xdr:col>
      <xdr:colOff>92652</xdr:colOff>
      <xdr:row>242</xdr:row>
      <xdr:rowOff>114300</xdr:rowOff>
    </xdr:from>
    <xdr:ext cx="65" cy="172227"/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C1FE0C84-A73E-4788-998A-67FD82D38D1B}"/>
            </a:ext>
          </a:extLst>
        </xdr:cNvPr>
        <xdr:cNvSpPr txBox="1"/>
      </xdr:nvSpPr>
      <xdr:spPr>
        <a:xfrm>
          <a:off x="4283652" y="4652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5</xdr:col>
      <xdr:colOff>1235651</xdr:colOff>
      <xdr:row>196</xdr:row>
      <xdr:rowOff>71005</xdr:rowOff>
    </xdr:from>
    <xdr:ext cx="2184689" cy="4383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379571DE-B2A8-4314-9CBD-5B83F0F49F1F}"/>
                </a:ext>
              </a:extLst>
            </xdr:cNvPr>
            <xdr:cNvSpPr txBox="1"/>
          </xdr:nvSpPr>
          <xdr:spPr>
            <a:xfrm>
              <a:off x="8482271" y="37721425"/>
              <a:ext cx="2184689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it-IT" sz="1400" b="0" i="1">
                      <a:latin typeface="Cambria Math" panose="02040503050406030204" pitchFamily="18" charset="0"/>
                    </a:rPr>
                    <m:t>𝐼</m:t>
                  </m:r>
                  <m:r>
                    <a:rPr lang="it-IT" sz="14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it-IT" sz="14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r>
                        <a:rPr lang="it-IT" sz="14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r>
                        <a:rPr lang="it-IT" sz="14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𝑧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</m:e>
                  </m:rad>
                </m:oMath>
              </a14:m>
              <a:r>
                <a:rPr lang="it-IT" sz="1400"/>
                <a:t> =</a:t>
              </a:r>
            </a:p>
          </xdr:txBody>
        </xdr:sp>
      </mc:Choice>
      <mc:Fallback xmlns="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379571DE-B2A8-4314-9CBD-5B83F0F49F1F}"/>
                </a:ext>
              </a:extLst>
            </xdr:cNvPr>
            <xdr:cNvSpPr txBox="1"/>
          </xdr:nvSpPr>
          <xdr:spPr>
            <a:xfrm>
              <a:off x="8482271" y="37721425"/>
              <a:ext cx="2184689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0" i="0">
                  <a:latin typeface="Cambria Math" panose="02040503050406030204" pitchFamily="18" charset="0"/>
                </a:rPr>
                <a:t>𝐼=√(𝐼_𝑥^2+𝐼_𝑦^2+𝐼_𝑧^2 )</a:t>
              </a:r>
              <a:r>
                <a:rPr lang="it-IT" sz="14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1079788</xdr:colOff>
      <xdr:row>248</xdr:row>
      <xdr:rowOff>62346</xdr:rowOff>
    </xdr:from>
    <xdr:ext cx="660689" cy="2956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F71B74A6-8841-4A2D-8DFB-6F3873B1453F}"/>
                </a:ext>
              </a:extLst>
            </xdr:cNvPr>
            <xdr:cNvSpPr txBox="1"/>
          </xdr:nvSpPr>
          <xdr:spPr>
            <a:xfrm>
              <a:off x="1079788" y="47626386"/>
              <a:ext cx="660689" cy="295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F71B74A6-8841-4A2D-8DFB-6F3873B1453F}"/>
                </a:ext>
              </a:extLst>
            </xdr:cNvPr>
            <xdr:cNvSpPr txBox="1"/>
          </xdr:nvSpPr>
          <xdr:spPr>
            <a:xfrm>
              <a:off x="1079788" y="47626386"/>
              <a:ext cx="660689" cy="295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𝐹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1047750</xdr:colOff>
      <xdr:row>248</xdr:row>
      <xdr:rowOff>147205</xdr:rowOff>
    </xdr:from>
    <xdr:ext cx="1448666" cy="578172"/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E871ED53-3891-4CE7-AC69-A03FB0A1CB03}"/>
            </a:ext>
          </a:extLst>
        </xdr:cNvPr>
        <xdr:cNvSpPr txBox="1"/>
      </xdr:nvSpPr>
      <xdr:spPr>
        <a:xfrm>
          <a:off x="1047750" y="4771124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3</xdr:col>
      <xdr:colOff>92652</xdr:colOff>
      <xdr:row>265</xdr:row>
      <xdr:rowOff>114300</xdr:rowOff>
    </xdr:from>
    <xdr:ext cx="65" cy="172227"/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5F33ECE4-2A38-4EBC-9172-F0986BE5A207}"/>
            </a:ext>
          </a:extLst>
        </xdr:cNvPr>
        <xdr:cNvSpPr txBox="1"/>
      </xdr:nvSpPr>
      <xdr:spPr>
        <a:xfrm>
          <a:off x="4283652" y="50794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9</xdr:col>
      <xdr:colOff>92652</xdr:colOff>
      <xdr:row>218</xdr:row>
      <xdr:rowOff>114300</xdr:rowOff>
    </xdr:from>
    <xdr:ext cx="65" cy="172227"/>
    <xdr:sp macro="" textlink="">
      <xdr:nvSpPr>
        <xdr:cNvPr id="18" name="CasellaDiTesto 17">
          <a:extLst>
            <a:ext uri="{FF2B5EF4-FFF2-40B4-BE49-F238E27FC236}">
              <a16:creationId xmlns:a16="http://schemas.microsoft.com/office/drawing/2014/main" id="{76535145-E6B0-44E5-8505-1CE12EB7612A}"/>
            </a:ext>
          </a:extLst>
        </xdr:cNvPr>
        <xdr:cNvSpPr txBox="1"/>
      </xdr:nvSpPr>
      <xdr:spPr>
        <a:xfrm>
          <a:off x="12398952" y="42001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144605</xdr:colOff>
      <xdr:row>138</xdr:row>
      <xdr:rowOff>140276</xdr:rowOff>
    </xdr:from>
    <xdr:ext cx="1791131" cy="252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sellaDiTesto 18">
              <a:extLst>
                <a:ext uri="{FF2B5EF4-FFF2-40B4-BE49-F238E27FC236}">
                  <a16:creationId xmlns:a16="http://schemas.microsoft.com/office/drawing/2014/main" id="{45EC051C-0C62-43BC-9DC9-255DF98EAC54}"/>
                </a:ext>
              </a:extLst>
            </xdr:cNvPr>
            <xdr:cNvSpPr txBox="1"/>
          </xdr:nvSpPr>
          <xdr:spPr>
            <a:xfrm>
              <a:off x="144605" y="26497856"/>
              <a:ext cx="179113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600" b="0" i="1">
                        <a:latin typeface="Cambria Math" panose="02040503050406030204" pitchFamily="18" charset="0"/>
                      </a:rPr>
                      <m:t>𝑠𝑖𝑐𝑐𝑜𝑚𝑒</m:t>
                    </m:r>
                    <m:r>
                      <a:rPr lang="it-IT" sz="16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≫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it-IT" sz="16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9" name="CasellaDiTesto 18">
              <a:extLst>
                <a:ext uri="{FF2B5EF4-FFF2-40B4-BE49-F238E27FC236}">
                  <a16:creationId xmlns:a16="http://schemas.microsoft.com/office/drawing/2014/main" id="{45EC051C-0C62-43BC-9DC9-255DF98EAC54}"/>
                </a:ext>
              </a:extLst>
            </xdr:cNvPr>
            <xdr:cNvSpPr txBox="1"/>
          </xdr:nvSpPr>
          <xdr:spPr>
            <a:xfrm>
              <a:off x="144605" y="26497856"/>
              <a:ext cx="179113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600" b="0" i="0">
                  <a:latin typeface="Cambria Math" panose="02040503050406030204" pitchFamily="18" charset="0"/>
                </a:rPr>
                <a:t>𝑠𝑖𝑐𝑐𝑜𝑚𝑒 𝐸_𝑒𝑙≫𝐾_𝑏 𝑇: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5</xdr:col>
      <xdr:colOff>251112</xdr:colOff>
      <xdr:row>178</xdr:row>
      <xdr:rowOff>60614</xdr:rowOff>
    </xdr:from>
    <xdr:to>
      <xdr:col>6</xdr:col>
      <xdr:colOff>588817</xdr:colOff>
      <xdr:row>188</xdr:row>
      <xdr:rowOff>8659</xdr:rowOff>
    </xdr:to>
    <xdr:sp macro="" textlink="">
      <xdr:nvSpPr>
        <xdr:cNvPr id="20" name="CasellaDiTesto 19">
          <a:extLst>
            <a:ext uri="{FF2B5EF4-FFF2-40B4-BE49-F238E27FC236}">
              <a16:creationId xmlns:a16="http://schemas.microsoft.com/office/drawing/2014/main" id="{A6A6F2E9-DCD2-4085-9284-774FFFBDC63A}"/>
            </a:ext>
          </a:extLst>
        </xdr:cNvPr>
        <xdr:cNvSpPr txBox="1"/>
      </xdr:nvSpPr>
      <xdr:spPr>
        <a:xfrm>
          <a:off x="7497732" y="34381094"/>
          <a:ext cx="1671205" cy="17920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112569</xdr:colOff>
      <xdr:row>230</xdr:row>
      <xdr:rowOff>77931</xdr:rowOff>
    </xdr:from>
    <xdr:to>
      <xdr:col>6</xdr:col>
      <xdr:colOff>207819</xdr:colOff>
      <xdr:row>242</xdr:row>
      <xdr:rowOff>0</xdr:rowOff>
    </xdr:to>
    <xdr:sp macro="" textlink="">
      <xdr:nvSpPr>
        <xdr:cNvPr id="21" name="CasellaDiTesto 20">
          <a:extLst>
            <a:ext uri="{FF2B5EF4-FFF2-40B4-BE49-F238E27FC236}">
              <a16:creationId xmlns:a16="http://schemas.microsoft.com/office/drawing/2014/main" id="{7F091FAB-7A8D-4FEC-8B63-7744F03869F0}"/>
            </a:ext>
          </a:extLst>
        </xdr:cNvPr>
        <xdr:cNvSpPr txBox="1"/>
      </xdr:nvSpPr>
      <xdr:spPr>
        <a:xfrm>
          <a:off x="7359189" y="44281551"/>
          <a:ext cx="1428750" cy="212424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710046</xdr:colOff>
      <xdr:row>226</xdr:row>
      <xdr:rowOff>69272</xdr:rowOff>
    </xdr:from>
    <xdr:to>
      <xdr:col>5</xdr:col>
      <xdr:colOff>762000</xdr:colOff>
      <xdr:row>230</xdr:row>
      <xdr:rowOff>25976</xdr:rowOff>
    </xdr:to>
    <xdr:cxnSp macro="">
      <xdr:nvCxnSpPr>
        <xdr:cNvPr id="22" name="Connettore 2 21">
          <a:extLst>
            <a:ext uri="{FF2B5EF4-FFF2-40B4-BE49-F238E27FC236}">
              <a16:creationId xmlns:a16="http://schemas.microsoft.com/office/drawing/2014/main" id="{935A406A-0DEA-482E-9B3F-02911AE286A2}"/>
            </a:ext>
          </a:extLst>
        </xdr:cNvPr>
        <xdr:cNvCxnSpPr/>
      </xdr:nvCxnSpPr>
      <xdr:spPr>
        <a:xfrm>
          <a:off x="7956666" y="43488032"/>
          <a:ext cx="51954" cy="74156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787977</xdr:colOff>
      <xdr:row>176</xdr:row>
      <xdr:rowOff>95250</xdr:rowOff>
    </xdr:from>
    <xdr:to>
      <xdr:col>5</xdr:col>
      <xdr:colOff>796636</xdr:colOff>
      <xdr:row>177</xdr:row>
      <xdr:rowOff>216477</xdr:rowOff>
    </xdr:to>
    <xdr:cxnSp macro="">
      <xdr:nvCxnSpPr>
        <xdr:cNvPr id="23" name="Connettore 2 22">
          <a:extLst>
            <a:ext uri="{FF2B5EF4-FFF2-40B4-BE49-F238E27FC236}">
              <a16:creationId xmlns:a16="http://schemas.microsoft.com/office/drawing/2014/main" id="{045D30AF-B6EF-4968-AAE5-28520D4D66FE}"/>
            </a:ext>
          </a:extLst>
        </xdr:cNvPr>
        <xdr:cNvCxnSpPr/>
      </xdr:nvCxnSpPr>
      <xdr:spPr>
        <a:xfrm>
          <a:off x="8034597" y="33996630"/>
          <a:ext cx="8659" cy="3041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943840</xdr:colOff>
      <xdr:row>198</xdr:row>
      <xdr:rowOff>34636</xdr:rowOff>
    </xdr:from>
    <xdr:ext cx="1220932" cy="3057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54DAECA2-8206-453C-A71D-BA8D00E03EBE}"/>
                </a:ext>
              </a:extLst>
            </xdr:cNvPr>
            <xdr:cNvSpPr txBox="1"/>
          </xdr:nvSpPr>
          <xdr:spPr>
            <a:xfrm>
              <a:off x="2993620" y="38088916"/>
              <a:ext cx="1220932" cy="305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05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acc>
                    <m:r>
                      <a:rPr lang="it-IT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05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05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05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it-IT" sz="1050"/>
            </a:p>
          </xdr:txBody>
        </xdr:sp>
      </mc:Choice>
      <mc:Fallback xmlns=""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54DAECA2-8206-453C-A71D-BA8D00E03EBE}"/>
                </a:ext>
              </a:extLst>
            </xdr:cNvPr>
            <xdr:cNvSpPr txBox="1"/>
          </xdr:nvSpPr>
          <xdr:spPr>
            <a:xfrm>
              <a:off x="2993620" y="38088916"/>
              <a:ext cx="1220932" cy="305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050" b="0" i="0">
                  <a:latin typeface="Cambria Math" panose="02040503050406030204" pitchFamily="18" charset="0"/>
                </a:rPr>
                <a:t>𝑉 ̃=(𝑘_𝐵 𝑇)/𝑃</a:t>
              </a:r>
              <a:endParaRPr lang="it-IT" sz="1050"/>
            </a:p>
          </xdr:txBody>
        </xdr:sp>
      </mc:Fallback>
    </mc:AlternateContent>
    <xdr:clientData/>
  </xdr:oneCellAnchor>
  <xdr:oneCellAnchor>
    <xdr:from>
      <xdr:col>9</xdr:col>
      <xdr:colOff>92652</xdr:colOff>
      <xdr:row>242</xdr:row>
      <xdr:rowOff>114300</xdr:rowOff>
    </xdr:from>
    <xdr:ext cx="65" cy="172227"/>
    <xdr:sp macro="" textlink="">
      <xdr:nvSpPr>
        <xdr:cNvPr id="25" name="CasellaDiTesto 24">
          <a:extLst>
            <a:ext uri="{FF2B5EF4-FFF2-40B4-BE49-F238E27FC236}">
              <a16:creationId xmlns:a16="http://schemas.microsoft.com/office/drawing/2014/main" id="{9E15DB4D-64DA-488D-A588-A7A4C45C19A6}"/>
            </a:ext>
          </a:extLst>
        </xdr:cNvPr>
        <xdr:cNvSpPr txBox="1"/>
      </xdr:nvSpPr>
      <xdr:spPr>
        <a:xfrm>
          <a:off x="12398952" y="4652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1047750</xdr:colOff>
      <xdr:row>273</xdr:row>
      <xdr:rowOff>147205</xdr:rowOff>
    </xdr:from>
    <xdr:ext cx="1448666" cy="578172"/>
    <xdr:sp macro="" textlink="">
      <xdr:nvSpPr>
        <xdr:cNvPr id="26" name="CasellaDiTesto 25">
          <a:extLst>
            <a:ext uri="{FF2B5EF4-FFF2-40B4-BE49-F238E27FC236}">
              <a16:creationId xmlns:a16="http://schemas.microsoft.com/office/drawing/2014/main" id="{9741F4D9-B5F5-400E-BFC7-4E434B15BBA4}"/>
            </a:ext>
          </a:extLst>
        </xdr:cNvPr>
        <xdr:cNvSpPr txBox="1"/>
      </xdr:nvSpPr>
      <xdr:spPr>
        <a:xfrm>
          <a:off x="1047750" y="5235182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0</xdr:col>
      <xdr:colOff>839932</xdr:colOff>
      <xdr:row>274</xdr:row>
      <xdr:rowOff>25977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asellaDiTesto 26">
              <a:extLst>
                <a:ext uri="{FF2B5EF4-FFF2-40B4-BE49-F238E27FC236}">
                  <a16:creationId xmlns:a16="http://schemas.microsoft.com/office/drawing/2014/main" id="{7D9A31BD-5870-43A8-BA9A-67D738F60149}"/>
                </a:ext>
              </a:extLst>
            </xdr:cNvPr>
            <xdr:cNvSpPr txBox="1"/>
          </xdr:nvSpPr>
          <xdr:spPr>
            <a:xfrm>
              <a:off x="839932" y="5242109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7" name="CasellaDiTesto 26">
              <a:extLst>
                <a:ext uri="{FF2B5EF4-FFF2-40B4-BE49-F238E27FC236}">
                  <a16:creationId xmlns:a16="http://schemas.microsoft.com/office/drawing/2014/main" id="{7D9A31BD-5870-43A8-BA9A-67D738F60149}"/>
                </a:ext>
              </a:extLst>
            </xdr:cNvPr>
            <xdr:cNvSpPr txBox="1"/>
          </xdr:nvSpPr>
          <xdr:spPr>
            <a:xfrm>
              <a:off x="839932" y="5242109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𝐶_𝑃 )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3</xdr:col>
      <xdr:colOff>92652</xdr:colOff>
      <xdr:row>290</xdr:row>
      <xdr:rowOff>114300</xdr:rowOff>
    </xdr:from>
    <xdr:ext cx="65" cy="172227"/>
    <xdr:sp macro="" textlink="">
      <xdr:nvSpPr>
        <xdr:cNvPr id="28" name="CasellaDiTesto 27">
          <a:extLst>
            <a:ext uri="{FF2B5EF4-FFF2-40B4-BE49-F238E27FC236}">
              <a16:creationId xmlns:a16="http://schemas.microsoft.com/office/drawing/2014/main" id="{7487930E-A029-4BD2-A396-61874863E5EA}"/>
            </a:ext>
          </a:extLst>
        </xdr:cNvPr>
        <xdr:cNvSpPr txBox="1"/>
      </xdr:nvSpPr>
      <xdr:spPr>
        <a:xfrm>
          <a:off x="4283652" y="5543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5</xdr:col>
      <xdr:colOff>112569</xdr:colOff>
      <xdr:row>278</xdr:row>
      <xdr:rowOff>77931</xdr:rowOff>
    </xdr:from>
    <xdr:to>
      <xdr:col>6</xdr:col>
      <xdr:colOff>207819</xdr:colOff>
      <xdr:row>290</xdr:row>
      <xdr:rowOff>0</xdr:rowOff>
    </xdr:to>
    <xdr:sp macro="" textlink="">
      <xdr:nvSpPr>
        <xdr:cNvPr id="29" name="CasellaDiTesto 28">
          <a:extLst>
            <a:ext uri="{FF2B5EF4-FFF2-40B4-BE49-F238E27FC236}">
              <a16:creationId xmlns:a16="http://schemas.microsoft.com/office/drawing/2014/main" id="{78A7FB31-342D-420C-B5C2-C65147C8E2EC}"/>
            </a:ext>
          </a:extLst>
        </xdr:cNvPr>
        <xdr:cNvSpPr txBox="1"/>
      </xdr:nvSpPr>
      <xdr:spPr>
        <a:xfrm>
          <a:off x="7359189" y="53204571"/>
          <a:ext cx="1428750" cy="211662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710046</xdr:colOff>
      <xdr:row>274</xdr:row>
      <xdr:rowOff>69272</xdr:rowOff>
    </xdr:from>
    <xdr:to>
      <xdr:col>5</xdr:col>
      <xdr:colOff>762000</xdr:colOff>
      <xdr:row>278</xdr:row>
      <xdr:rowOff>25976</xdr:rowOff>
    </xdr:to>
    <xdr:cxnSp macro="">
      <xdr:nvCxnSpPr>
        <xdr:cNvPr id="30" name="Connettore 2 29">
          <a:extLst>
            <a:ext uri="{FF2B5EF4-FFF2-40B4-BE49-F238E27FC236}">
              <a16:creationId xmlns:a16="http://schemas.microsoft.com/office/drawing/2014/main" id="{87E3D5AB-7174-4C30-99BA-3781C09C5C0C}"/>
            </a:ext>
          </a:extLst>
        </xdr:cNvPr>
        <xdr:cNvCxnSpPr/>
      </xdr:nvCxnSpPr>
      <xdr:spPr>
        <a:xfrm>
          <a:off x="7956666" y="52464392"/>
          <a:ext cx="51954" cy="6882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92652</xdr:colOff>
      <xdr:row>290</xdr:row>
      <xdr:rowOff>114300</xdr:rowOff>
    </xdr:from>
    <xdr:ext cx="65" cy="172227"/>
    <xdr:sp macro="" textlink="">
      <xdr:nvSpPr>
        <xdr:cNvPr id="31" name="CasellaDiTesto 30">
          <a:extLst>
            <a:ext uri="{FF2B5EF4-FFF2-40B4-BE49-F238E27FC236}">
              <a16:creationId xmlns:a16="http://schemas.microsoft.com/office/drawing/2014/main" id="{EE644C80-E869-4DA6-A540-365F2390494F}"/>
            </a:ext>
          </a:extLst>
        </xdr:cNvPr>
        <xdr:cNvSpPr txBox="1"/>
      </xdr:nvSpPr>
      <xdr:spPr>
        <a:xfrm>
          <a:off x="12398952" y="5543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242455</xdr:colOff>
      <xdr:row>280</xdr:row>
      <xdr:rowOff>0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asellaDiTesto 31">
              <a:extLst>
                <a:ext uri="{FF2B5EF4-FFF2-40B4-BE49-F238E27FC236}">
                  <a16:creationId xmlns:a16="http://schemas.microsoft.com/office/drawing/2014/main" id="{65A6D9BE-515C-4A57-AB8E-9E79F2F70F1C}"/>
                </a:ext>
              </a:extLst>
            </xdr:cNvPr>
            <xdr:cNvSpPr txBox="1"/>
          </xdr:nvSpPr>
          <xdr:spPr>
            <a:xfrm>
              <a:off x="242455" y="53492400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acc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+</m:t>
                    </m:r>
                    <m:acc>
                      <m:accPr>
                        <m:chr m:val="̃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sub>
                        </m:sSub>
                      </m:e>
                    </m:acc>
                    <m:r>
                      <a:rPr lang="it-IT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32" name="CasellaDiTesto 31">
              <a:extLst>
                <a:ext uri="{FF2B5EF4-FFF2-40B4-BE49-F238E27FC236}">
                  <a16:creationId xmlns:a16="http://schemas.microsoft.com/office/drawing/2014/main" id="{65A6D9BE-515C-4A57-AB8E-9E79F2F70F1C}"/>
                </a:ext>
              </a:extLst>
            </xdr:cNvPr>
            <xdr:cNvSpPr txBox="1"/>
          </xdr:nvSpPr>
          <xdr:spPr>
            <a:xfrm>
              <a:off x="242455" y="53492400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𝐶_𝑃 ) ̃=𝑅+(𝐶_𝑉 ) ̃  </a:t>
              </a:r>
              <a:endParaRPr lang="it-IT" sz="1800"/>
            </a:p>
          </xdr:txBody>
        </xdr:sp>
      </mc:Fallback>
    </mc:AlternateContent>
    <xdr:clientData/>
  </xdr:oneCellAnchor>
  <xdr:twoCellAnchor>
    <xdr:from>
      <xdr:col>0</xdr:col>
      <xdr:colOff>0</xdr:colOff>
      <xdr:row>277</xdr:row>
      <xdr:rowOff>173182</xdr:rowOff>
    </xdr:from>
    <xdr:to>
      <xdr:col>0</xdr:col>
      <xdr:colOff>1982932</xdr:colOff>
      <xdr:row>279</xdr:row>
      <xdr:rowOff>147204</xdr:rowOff>
    </xdr:to>
    <xdr:sp macro="" textlink="">
      <xdr:nvSpPr>
        <xdr:cNvPr id="33" name="CasellaDiTesto 32">
          <a:extLst>
            <a:ext uri="{FF2B5EF4-FFF2-40B4-BE49-F238E27FC236}">
              <a16:creationId xmlns:a16="http://schemas.microsoft.com/office/drawing/2014/main" id="{3F6D9310-2B29-4CBB-9E09-7B1952318D59}"/>
            </a:ext>
          </a:extLst>
        </xdr:cNvPr>
        <xdr:cNvSpPr txBox="1"/>
      </xdr:nvSpPr>
      <xdr:spPr>
        <a:xfrm>
          <a:off x="0" y="53116942"/>
          <a:ext cx="1982932" cy="339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from Mayer's</a:t>
          </a:r>
          <a:r>
            <a:rPr lang="it-IT" sz="1400" baseline="0"/>
            <a:t> relation:</a:t>
          </a:r>
          <a:endParaRPr lang="it-IT" sz="1400"/>
        </a:p>
      </xdr:txBody>
    </xdr:sp>
    <xdr:clientData/>
  </xdr:twoCellAnchor>
  <xdr:twoCellAnchor>
    <xdr:from>
      <xdr:col>0</xdr:col>
      <xdr:colOff>710046</xdr:colOff>
      <xdr:row>108</xdr:row>
      <xdr:rowOff>147204</xdr:rowOff>
    </xdr:from>
    <xdr:to>
      <xdr:col>2</xdr:col>
      <xdr:colOff>207819</xdr:colOff>
      <xdr:row>110</xdr:row>
      <xdr:rowOff>129886</xdr:rowOff>
    </xdr:to>
    <xdr:sp macro="" textlink="">
      <xdr:nvSpPr>
        <xdr:cNvPr id="34" name="CasellaDiTesto 33">
          <a:extLst>
            <a:ext uri="{FF2B5EF4-FFF2-40B4-BE49-F238E27FC236}">
              <a16:creationId xmlns:a16="http://schemas.microsoft.com/office/drawing/2014/main" id="{2B7A7F4C-A6AB-41DB-BE1E-41F68F067CAB}"/>
            </a:ext>
          </a:extLst>
        </xdr:cNvPr>
        <xdr:cNvSpPr txBox="1"/>
      </xdr:nvSpPr>
      <xdr:spPr>
        <a:xfrm>
          <a:off x="710046" y="20660244"/>
          <a:ext cx="2682933" cy="409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ho utilizzato però questa</a:t>
          </a:r>
          <a:r>
            <a:rPr lang="it-IT" sz="1100" baseline="0"/>
            <a:t> riscrittura:</a:t>
          </a:r>
          <a:endParaRPr lang="it-IT" sz="1100"/>
        </a:p>
      </xdr:txBody>
    </xdr:sp>
    <xdr:clientData/>
  </xdr:twoCellAnchor>
  <xdr:oneCellAnchor>
    <xdr:from>
      <xdr:col>0</xdr:col>
      <xdr:colOff>733423</xdr:colOff>
      <xdr:row>110</xdr:row>
      <xdr:rowOff>79664</xdr:rowOff>
    </xdr:from>
    <xdr:ext cx="2816804" cy="626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asellaDiTesto 34">
              <a:extLst>
                <a:ext uri="{FF2B5EF4-FFF2-40B4-BE49-F238E27FC236}">
                  <a16:creationId xmlns:a16="http://schemas.microsoft.com/office/drawing/2014/main" id="{F9711EE8-717A-4ECE-9DB0-CF0C98B92A75}"/>
                </a:ext>
              </a:extLst>
            </xdr:cNvPr>
            <xdr:cNvSpPr txBox="1"/>
          </xdr:nvSpPr>
          <xdr:spPr>
            <a:xfrm>
              <a:off x="733423" y="21019424"/>
              <a:ext cx="2816804" cy="626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Q</m:t>
                      </m:r>
                    </m:e>
                    <m:sub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rot</m:t>
                      </m:r>
                    </m:sub>
                    <m:sup>
                      <m: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3</m:t>
                      </m:r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D</m:t>
                      </m:r>
                    </m:sup>
                  </m:sSubSup>
                  <m:r>
                    <a:rPr lang="it-IT" sz="20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 </m:t>
                  </m:r>
                  <m:f>
                    <m:fPr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it-IT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sty m:val="p"/>
                            </m:rP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π</m:t>
                          </m:r>
                        </m:e>
                      </m:rad>
                    </m:num>
                    <m:den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σ</m:t>
                      </m:r>
                    </m:den>
                  </m:f>
                  <m:r>
                    <a:rPr lang="it-IT" sz="20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⋅</m:t>
                  </m:r>
                  <m:rad>
                    <m:radPr>
                      <m:degHide m:val="on"/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it-IT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T</m:t>
                              </m:r>
                            </m:e>
                            <m:sup>
                              <m: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3</m:t>
                              </m:r>
                            </m:sup>
                          </m:sSup>
                        </m:num>
                        <m:den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x</m:t>
                              </m:r>
                            </m:sub>
                          </m:sSub>
                          <m: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⋅</m:t>
                          </m:r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y</m:t>
                              </m:r>
                            </m:sub>
                          </m:sSub>
                          <m: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⋅</m:t>
                          </m:r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z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r>
                <a:rPr lang="it-IT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35" name="CasellaDiTesto 34">
              <a:extLst>
                <a:ext uri="{FF2B5EF4-FFF2-40B4-BE49-F238E27FC236}">
                  <a16:creationId xmlns:a16="http://schemas.microsoft.com/office/drawing/2014/main" id="{F9711EE8-717A-4ECE-9DB0-CF0C98B92A75}"/>
                </a:ext>
              </a:extLst>
            </xdr:cNvPr>
            <xdr:cNvSpPr txBox="1"/>
          </xdr:nvSpPr>
          <xdr:spPr>
            <a:xfrm>
              <a:off x="733423" y="21019424"/>
              <a:ext cx="2816804" cy="626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Q_rot^3D=  √π/σ⋅√(T^3/(θ_x⋅θ_y⋅θ_z ))</a:t>
              </a:r>
              <a:r>
                <a:rPr lang="it-IT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</a:p>
          </xdr:txBody>
        </xdr:sp>
      </mc:Fallback>
    </mc:AlternateContent>
    <xdr:clientData/>
  </xdr:oneCellAnchor>
  <xdr:twoCellAnchor>
    <xdr:from>
      <xdr:col>0</xdr:col>
      <xdr:colOff>666750</xdr:colOff>
      <xdr:row>115</xdr:row>
      <xdr:rowOff>34636</xdr:rowOff>
    </xdr:from>
    <xdr:to>
      <xdr:col>2</xdr:col>
      <xdr:colOff>112569</xdr:colOff>
      <xdr:row>119</xdr:row>
      <xdr:rowOff>95249</xdr:rowOff>
    </xdr:to>
    <xdr:sp macro="" textlink="">
      <xdr:nvSpPr>
        <xdr:cNvPr id="36" name="CasellaDiTesto 35">
          <a:extLst>
            <a:ext uri="{FF2B5EF4-FFF2-40B4-BE49-F238E27FC236}">
              <a16:creationId xmlns:a16="http://schemas.microsoft.com/office/drawing/2014/main" id="{85129B55-1E02-42A3-AA8B-96925EF09643}"/>
            </a:ext>
          </a:extLst>
        </xdr:cNvPr>
        <xdr:cNvSpPr txBox="1"/>
      </xdr:nvSpPr>
      <xdr:spPr>
        <a:xfrm>
          <a:off x="666750" y="21896416"/>
          <a:ext cx="2630979" cy="792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dove le </a:t>
          </a:r>
          <a:r>
            <a:rPr lang="el-GR" sz="1100"/>
            <a:t>ϑ</a:t>
          </a:r>
          <a:r>
            <a:rPr lang="it-IT" sz="1100"/>
            <a:t> rappresentano le temperature rotazionali rispetto agli assi x, y e z</a:t>
          </a:r>
        </a:p>
      </xdr:txBody>
    </xdr:sp>
    <xdr:clientData/>
  </xdr:twoCellAnchor>
  <xdr:twoCellAnchor editAs="oneCell">
    <xdr:from>
      <xdr:col>8</xdr:col>
      <xdr:colOff>406980</xdr:colOff>
      <xdr:row>10</xdr:row>
      <xdr:rowOff>112568</xdr:rowOff>
    </xdr:from>
    <xdr:to>
      <xdr:col>10</xdr:col>
      <xdr:colOff>1264227</xdr:colOff>
      <xdr:row>27</xdr:row>
      <xdr:rowOff>14285</xdr:rowOff>
    </xdr:to>
    <xdr:pic>
      <xdr:nvPicPr>
        <xdr:cNvPr id="37" name="Immagine 36">
          <a:extLst>
            <a:ext uri="{FF2B5EF4-FFF2-40B4-BE49-F238E27FC236}">
              <a16:creationId xmlns:a16="http://schemas.microsoft.com/office/drawing/2014/main" id="{157C95AF-A7A7-4CDB-9A41-E7FF97230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62660" y="2055668"/>
          <a:ext cx="3402327" cy="3010677"/>
        </a:xfrm>
        <a:prstGeom prst="rect">
          <a:avLst/>
        </a:prstGeom>
      </xdr:spPr>
    </xdr:pic>
    <xdr:clientData/>
  </xdr:twoCellAnchor>
  <xdr:twoCellAnchor>
    <xdr:from>
      <xdr:col>2</xdr:col>
      <xdr:colOff>207818</xdr:colOff>
      <xdr:row>220</xdr:row>
      <xdr:rowOff>147205</xdr:rowOff>
    </xdr:from>
    <xdr:to>
      <xdr:col>3</xdr:col>
      <xdr:colOff>493568</xdr:colOff>
      <xdr:row>222</xdr:row>
      <xdr:rowOff>60614</xdr:rowOff>
    </xdr:to>
    <xdr:sp macro="" textlink="">
      <xdr:nvSpPr>
        <xdr:cNvPr id="38" name="CasellaDiTesto 37">
          <a:extLst>
            <a:ext uri="{FF2B5EF4-FFF2-40B4-BE49-F238E27FC236}">
              <a16:creationId xmlns:a16="http://schemas.microsoft.com/office/drawing/2014/main" id="{9715FD9B-F267-457E-9C31-3E3559C6BA50}"/>
            </a:ext>
          </a:extLst>
        </xdr:cNvPr>
        <xdr:cNvSpPr txBox="1"/>
      </xdr:nvSpPr>
      <xdr:spPr>
        <a:xfrm>
          <a:off x="3392978" y="42407725"/>
          <a:ext cx="1291590" cy="2791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for S_trasl</a:t>
          </a:r>
          <a:r>
            <a:rPr lang="it-IT" sz="1100" baseline="0"/>
            <a:t> : </a:t>
          </a:r>
          <a:endParaRPr lang="it-IT" sz="1100"/>
        </a:p>
      </xdr:txBody>
    </xdr:sp>
    <xdr:clientData/>
  </xdr:twoCellAnchor>
  <xdr:twoCellAnchor editAs="oneCell">
    <xdr:from>
      <xdr:col>3</xdr:col>
      <xdr:colOff>43297</xdr:colOff>
      <xdr:row>220</xdr:row>
      <xdr:rowOff>17320</xdr:rowOff>
    </xdr:from>
    <xdr:to>
      <xdr:col>3</xdr:col>
      <xdr:colOff>1853047</xdr:colOff>
      <xdr:row>222</xdr:row>
      <xdr:rowOff>83556</xdr:rowOff>
    </xdr:to>
    <xdr:pic>
      <xdr:nvPicPr>
        <xdr:cNvPr id="39" name="Immagine 38">
          <a:extLst>
            <a:ext uri="{FF2B5EF4-FFF2-40B4-BE49-F238E27FC236}">
              <a16:creationId xmlns:a16="http://schemas.microsoft.com/office/drawing/2014/main" id="{D4ACC3F7-FC97-4875-96C0-EA93E2397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4297" y="42277840"/>
          <a:ext cx="1809750" cy="431996"/>
        </a:xfrm>
        <a:prstGeom prst="rect">
          <a:avLst/>
        </a:prstGeom>
      </xdr:spPr>
    </xdr:pic>
    <xdr:clientData/>
  </xdr:twoCellAnchor>
  <xdr:oneCellAnchor>
    <xdr:from>
      <xdr:col>0</xdr:col>
      <xdr:colOff>450271</xdr:colOff>
      <xdr:row>63</xdr:row>
      <xdr:rowOff>17317</xdr:rowOff>
    </xdr:from>
    <xdr:ext cx="2764849" cy="9172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asellaDiTesto 39">
              <a:extLst>
                <a:ext uri="{FF2B5EF4-FFF2-40B4-BE49-F238E27FC236}">
                  <a16:creationId xmlns:a16="http://schemas.microsoft.com/office/drawing/2014/main" id="{F66BB760-11FF-4F89-92E1-9714C03DC05E}"/>
                </a:ext>
              </a:extLst>
            </xdr:cNvPr>
            <xdr:cNvSpPr txBox="1"/>
          </xdr:nvSpPr>
          <xdr:spPr>
            <a:xfrm>
              <a:off x="450271" y="11988337"/>
              <a:ext cx="2764849" cy="917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vib</m:t>
                        </m:r>
                      </m:sub>
                    </m:sSub>
                    <m:r>
                      <a:rPr lang="it-IT" sz="1800" b="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∏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𝑣𝑖𝑏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800" b="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it-IT" sz="1800" b="0" i="0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m:rPr>
                                <m:sty m:val="p"/>
                              </m:rPr>
                              <a:rPr lang="it-IT" sz="1800" b="0" i="0">
                                <a:latin typeface="Cambria Math" panose="02040503050406030204" pitchFamily="18" charset="0"/>
                              </a:rPr>
                              <m:t>exp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⁡(−</m:t>
                            </m:r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den>
                            </m:f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40" name="CasellaDiTesto 39">
              <a:extLst>
                <a:ext uri="{FF2B5EF4-FFF2-40B4-BE49-F238E27FC236}">
                  <a16:creationId xmlns:a16="http://schemas.microsoft.com/office/drawing/2014/main" id="{F66BB760-11FF-4F89-92E1-9714C03DC05E}"/>
                </a:ext>
              </a:extLst>
            </xdr:cNvPr>
            <xdr:cNvSpPr txBox="1"/>
          </xdr:nvSpPr>
          <xdr:spPr>
            <a:xfrm>
              <a:off x="450271" y="11988337"/>
              <a:ext cx="2764849" cy="917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Q_vib=∏_(𝑖=1)^(𝑁_𝑣𝑖𝑏)▒1/(1−exp⁡(−(ℎ𝜈_𝑖)/(𝑘_𝐵 𝑇)))</a:t>
              </a:r>
              <a:endParaRPr lang="it-IT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352424</xdr:colOff>
      <xdr:row>84</xdr:row>
      <xdr:rowOff>19049</xdr:rowOff>
    </xdr:from>
    <xdr:ext cx="3379644" cy="688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E788E54-C47C-4165-B217-72C59B66540C}"/>
                </a:ext>
              </a:extLst>
            </xdr:cNvPr>
            <xdr:cNvSpPr txBox="1"/>
          </xdr:nvSpPr>
          <xdr:spPr>
            <a:xfrm>
              <a:off x="352424" y="16082009"/>
              <a:ext cx="3379644" cy="688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𝑡𝑟𝑎𝑠𝑙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𝜋</m:t>
                                </m:r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h</m:t>
                                    </m:r>
                                  </m:e>
                                  <m:sup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3/2</m:t>
                        </m:r>
                      </m:sup>
                    </m:sSup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E788E54-C47C-4165-B217-72C59B66540C}"/>
                </a:ext>
              </a:extLst>
            </xdr:cNvPr>
            <xdr:cNvSpPr txBox="1"/>
          </xdr:nvSpPr>
          <xdr:spPr>
            <a:xfrm>
              <a:off x="352424" y="16082009"/>
              <a:ext cx="3379644" cy="688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𝑄_𝑡𝑟𝑎𝑠𝑙=((2𝜋𝑚𝑘_𝐵 𝑇)/ℎ^2 )^(3/2)⋅(𝑘_𝐵 𝑇)/𝑃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127289</xdr:colOff>
      <xdr:row>103</xdr:row>
      <xdr:rowOff>157596</xdr:rowOff>
    </xdr:from>
    <xdr:ext cx="4141643" cy="5943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75BE3AC-E904-4DE5-A303-2B2B51FA43F9}"/>
                </a:ext>
              </a:extLst>
            </xdr:cNvPr>
            <xdr:cNvSpPr txBox="1"/>
          </xdr:nvSpPr>
          <xdr:spPr>
            <a:xfrm>
              <a:off x="127289" y="19718136"/>
              <a:ext cx="4141643" cy="594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𝑟𝑜𝑡</m:t>
                        </m:r>
                      </m:sub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𝐷</m:t>
                        </m:r>
                      </m:sup>
                    </m:sSubSup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8</m:t>
                        </m:r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(2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3/2</m:t>
                            </m:r>
                          </m:sup>
                        </m:sSup>
                        <m:rad>
                          <m:radPr>
                            <m:degHide m:val="on"/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sub>
                            </m:sSub>
                          </m:e>
                        </m:rad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𝜎</m:t>
                        </m:r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75BE3AC-E904-4DE5-A303-2B2B51FA43F9}"/>
                </a:ext>
              </a:extLst>
            </xdr:cNvPr>
            <xdr:cNvSpPr txBox="1"/>
          </xdr:nvSpPr>
          <xdr:spPr>
            <a:xfrm>
              <a:off x="127289" y="19718136"/>
              <a:ext cx="4141643" cy="594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𝑄_𝑟𝑜𝑡^3𝐷=(8𝜋^2 〖(2𝜋𝑘〗_𝐵 〖𝑇)〗^(3/2) √(𝐼_𝑥 𝐼_𝑦 𝐼_𝑧 ))/(𝜎ℎ^3 )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126</xdr:row>
      <xdr:rowOff>0</xdr:rowOff>
    </xdr:from>
    <xdr:ext cx="4141643" cy="452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18954EC7-FC90-4EC4-86C2-4E216FC4E2E2}"/>
                </a:ext>
              </a:extLst>
            </xdr:cNvPr>
            <xdr:cNvSpPr txBox="1"/>
          </xdr:nvSpPr>
          <xdr:spPr>
            <a:xfrm>
              <a:off x="0" y="23903940"/>
              <a:ext cx="414164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𝑒𝑙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sub>
                            </m:s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18954EC7-FC90-4EC4-86C2-4E216FC4E2E2}"/>
                </a:ext>
              </a:extLst>
            </xdr:cNvPr>
            <xdr:cNvSpPr txBox="1"/>
          </xdr:nvSpPr>
          <xdr:spPr>
            <a:xfrm>
              <a:off x="0" y="23903940"/>
              <a:ext cx="414164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Q_el=𝑔_𝑒𝑙⋅𝑒^(−𝐸_𝑒𝑙/(𝑘_𝐵 𝑇))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216478</xdr:colOff>
      <xdr:row>153</xdr:row>
      <xdr:rowOff>114298</xdr:rowOff>
    </xdr:from>
    <xdr:ext cx="3717348" cy="575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47B7D8E1-943A-43FD-934E-D64832A78275}"/>
                </a:ext>
              </a:extLst>
            </xdr:cNvPr>
            <xdr:cNvSpPr txBox="1"/>
          </xdr:nvSpPr>
          <xdr:spPr>
            <a:xfrm>
              <a:off x="216478" y="29458918"/>
              <a:ext cx="3717348" cy="575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8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𝑡𝑟𝑎𝑠𝑙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Sup>
                      <m:sSub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𝑟𝑜𝑡</m:t>
                        </m:r>
                      </m:sub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𝐷</m:t>
                        </m:r>
                      </m:sup>
                    </m:sSubSup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𝑣𝑖𝑏</m:t>
                        </m:r>
                      </m:sub>
                    </m:sSub>
                  </m:oMath>
                </m:oMathPara>
              </a14:m>
              <a:endParaRPr lang="it-IT" sz="1800" b="0"/>
            </a:p>
            <a:p>
              <a:endParaRPr lang="it-IT" sz="18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47B7D8E1-943A-43FD-934E-D64832A78275}"/>
                </a:ext>
              </a:extLst>
            </xdr:cNvPr>
            <xdr:cNvSpPr txBox="1"/>
          </xdr:nvSpPr>
          <xdr:spPr>
            <a:xfrm>
              <a:off x="216478" y="29458918"/>
              <a:ext cx="3717348" cy="575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𝑄=𝑄_𝑡𝑟𝑎𝑠𝑙×𝑄_𝑒𝑙×𝑄_𝑟𝑜𝑡^3𝐷×𝑄_𝑣𝑖𝑏</a:t>
              </a:r>
              <a:endParaRPr lang="it-IT" sz="1800" b="0"/>
            </a:p>
            <a:p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0</xdr:colOff>
      <xdr:row>140</xdr:row>
      <xdr:rowOff>0</xdr:rowOff>
    </xdr:from>
    <xdr:ext cx="4141643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789C75B1-078B-4DDA-8C68-613795732A97}"/>
                </a:ext>
              </a:extLst>
            </xdr:cNvPr>
            <xdr:cNvSpPr txBox="1"/>
          </xdr:nvSpPr>
          <xdr:spPr>
            <a:xfrm>
              <a:off x="0" y="26769060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789C75B1-078B-4DDA-8C68-613795732A97}"/>
                </a:ext>
              </a:extLst>
            </xdr:cNvPr>
            <xdr:cNvSpPr txBox="1"/>
          </xdr:nvSpPr>
          <xdr:spPr>
            <a:xfrm>
              <a:off x="0" y="26769060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Q_el=𝑔_𝑒𝑙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141</xdr:row>
      <xdr:rowOff>138545</xdr:rowOff>
    </xdr:from>
    <xdr:ext cx="4141643" cy="4540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5142B7B3-3A58-45AD-8E63-EEF662AB57A5}"/>
                </a:ext>
              </a:extLst>
            </xdr:cNvPr>
            <xdr:cNvSpPr txBox="1"/>
          </xdr:nvSpPr>
          <xdr:spPr>
            <a:xfrm>
              <a:off x="0" y="27105725"/>
              <a:ext cx="4141643" cy="454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it-IT" sz="18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5142B7B3-3A58-45AD-8E63-EEF662AB57A5}"/>
                </a:ext>
              </a:extLst>
            </xdr:cNvPr>
            <xdr:cNvSpPr txBox="1"/>
          </xdr:nvSpPr>
          <xdr:spPr>
            <a:xfrm>
              <a:off x="0" y="27105725"/>
              <a:ext cx="4141643" cy="454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Q_el=2</a:t>
              </a:r>
              <a:endParaRPr lang="it-IT" sz="1800" b="0"/>
            </a:p>
            <a:p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993198</xdr:colOff>
      <xdr:row>175</xdr:row>
      <xdr:rowOff>140278</xdr:rowOff>
    </xdr:from>
    <xdr:ext cx="1448666" cy="297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CEB0E84F-620B-436E-BF2F-F27F1AC10C65}"/>
                </a:ext>
              </a:extLst>
            </xdr:cNvPr>
            <xdr:cNvSpPr txBox="1"/>
          </xdr:nvSpPr>
          <xdr:spPr>
            <a:xfrm>
              <a:off x="993198" y="33866398"/>
              <a:ext cx="1448666" cy="297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CEB0E84F-620B-436E-BF2F-F27F1AC10C65}"/>
                </a:ext>
              </a:extLst>
            </xdr:cNvPr>
            <xdr:cNvSpPr txBox="1"/>
          </xdr:nvSpPr>
          <xdr:spPr>
            <a:xfrm>
              <a:off x="993198" y="33866398"/>
              <a:ext cx="1448666" cy="297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𝑈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857250</xdr:colOff>
      <xdr:row>201</xdr:row>
      <xdr:rowOff>173182</xdr:rowOff>
    </xdr:from>
    <xdr:ext cx="1448666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8410C9FD-FE85-445B-840D-2933AA276810}"/>
                </a:ext>
              </a:extLst>
            </xdr:cNvPr>
            <xdr:cNvSpPr txBox="1"/>
          </xdr:nvSpPr>
          <xdr:spPr>
            <a:xfrm>
              <a:off x="857250" y="38852302"/>
              <a:ext cx="1448666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8410C9FD-FE85-445B-840D-2933AA276810}"/>
                </a:ext>
              </a:extLst>
            </xdr:cNvPr>
            <xdr:cNvSpPr txBox="1"/>
          </xdr:nvSpPr>
          <xdr:spPr>
            <a:xfrm>
              <a:off x="857250" y="38852302"/>
              <a:ext cx="1448666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𝑆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4</xdr:col>
      <xdr:colOff>92652</xdr:colOff>
      <xdr:row>218</xdr:row>
      <xdr:rowOff>114300</xdr:rowOff>
    </xdr:from>
    <xdr:ext cx="65" cy="172227"/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C2B9FFD5-E101-44A7-AD14-A2AB518AAEE1}"/>
            </a:ext>
          </a:extLst>
        </xdr:cNvPr>
        <xdr:cNvSpPr txBox="1"/>
      </xdr:nvSpPr>
      <xdr:spPr>
        <a:xfrm>
          <a:off x="6333432" y="42031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1047750</xdr:colOff>
      <xdr:row>225</xdr:row>
      <xdr:rowOff>147205</xdr:rowOff>
    </xdr:from>
    <xdr:ext cx="1448666" cy="578172"/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7AB0ECBD-E1D8-4A72-A704-BA2D54AECA64}"/>
            </a:ext>
          </a:extLst>
        </xdr:cNvPr>
        <xdr:cNvSpPr txBox="1"/>
      </xdr:nvSpPr>
      <xdr:spPr>
        <a:xfrm>
          <a:off x="1047750" y="4340594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0</xdr:col>
      <xdr:colOff>839932</xdr:colOff>
      <xdr:row>226</xdr:row>
      <xdr:rowOff>25977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86ECADC0-2D23-4757-B724-F6DD957F113A}"/>
                </a:ext>
              </a:extLst>
            </xdr:cNvPr>
            <xdr:cNvSpPr txBox="1"/>
          </xdr:nvSpPr>
          <xdr:spPr>
            <a:xfrm>
              <a:off x="839932" y="4347521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86ECADC0-2D23-4757-B724-F6DD957F113A}"/>
                </a:ext>
              </a:extLst>
            </xdr:cNvPr>
            <xdr:cNvSpPr txBox="1"/>
          </xdr:nvSpPr>
          <xdr:spPr>
            <a:xfrm>
              <a:off x="839932" y="4347521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𝐶_𝑉 )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3</xdr:col>
      <xdr:colOff>92652</xdr:colOff>
      <xdr:row>242</xdr:row>
      <xdr:rowOff>114300</xdr:rowOff>
    </xdr:from>
    <xdr:ext cx="65" cy="172227"/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0F6EBEBA-D9E5-49A0-9CA5-F93D20609589}"/>
            </a:ext>
          </a:extLst>
        </xdr:cNvPr>
        <xdr:cNvSpPr txBox="1"/>
      </xdr:nvSpPr>
      <xdr:spPr>
        <a:xfrm>
          <a:off x="4283652" y="465658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5</xdr:col>
      <xdr:colOff>1235651</xdr:colOff>
      <xdr:row>196</xdr:row>
      <xdr:rowOff>71005</xdr:rowOff>
    </xdr:from>
    <xdr:ext cx="2184689" cy="4383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2E4036DD-2637-432F-BB17-6659E404396A}"/>
                </a:ext>
              </a:extLst>
            </xdr:cNvPr>
            <xdr:cNvSpPr txBox="1"/>
          </xdr:nvSpPr>
          <xdr:spPr>
            <a:xfrm>
              <a:off x="8482271" y="37736665"/>
              <a:ext cx="2184689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it-IT" sz="1400" b="0" i="1">
                      <a:latin typeface="Cambria Math" panose="02040503050406030204" pitchFamily="18" charset="0"/>
                    </a:rPr>
                    <m:t>𝐼</m:t>
                  </m:r>
                  <m:r>
                    <a:rPr lang="it-IT" sz="14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it-IT" sz="14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r>
                        <a:rPr lang="it-IT" sz="14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r>
                        <a:rPr lang="it-IT" sz="14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𝑧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</m:e>
                  </m:rad>
                </m:oMath>
              </a14:m>
              <a:r>
                <a:rPr lang="it-IT" sz="1400"/>
                <a:t> =</a:t>
              </a:r>
            </a:p>
          </xdr:txBody>
        </xdr:sp>
      </mc:Choice>
      <mc:Fallback xmlns="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2E4036DD-2637-432F-BB17-6659E404396A}"/>
                </a:ext>
              </a:extLst>
            </xdr:cNvPr>
            <xdr:cNvSpPr txBox="1"/>
          </xdr:nvSpPr>
          <xdr:spPr>
            <a:xfrm>
              <a:off x="8482271" y="37736665"/>
              <a:ext cx="2184689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0" i="0">
                  <a:latin typeface="Cambria Math" panose="02040503050406030204" pitchFamily="18" charset="0"/>
                </a:rPr>
                <a:t>𝐼=√(𝐼_𝑥^2+𝐼_𝑦^2+𝐼_𝑧^2 )</a:t>
              </a:r>
              <a:r>
                <a:rPr lang="it-IT" sz="14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1079788</xdr:colOff>
      <xdr:row>248</xdr:row>
      <xdr:rowOff>62346</xdr:rowOff>
    </xdr:from>
    <xdr:ext cx="660689" cy="2956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6552523F-493B-48C1-805B-36A5D2DE5103}"/>
                </a:ext>
              </a:extLst>
            </xdr:cNvPr>
            <xdr:cNvSpPr txBox="1"/>
          </xdr:nvSpPr>
          <xdr:spPr>
            <a:xfrm>
              <a:off x="1079788" y="47672106"/>
              <a:ext cx="660689" cy="295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6552523F-493B-48C1-805B-36A5D2DE5103}"/>
                </a:ext>
              </a:extLst>
            </xdr:cNvPr>
            <xdr:cNvSpPr txBox="1"/>
          </xdr:nvSpPr>
          <xdr:spPr>
            <a:xfrm>
              <a:off x="1079788" y="47672106"/>
              <a:ext cx="660689" cy="295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𝐹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1047750</xdr:colOff>
      <xdr:row>248</xdr:row>
      <xdr:rowOff>147205</xdr:rowOff>
    </xdr:from>
    <xdr:ext cx="1448666" cy="578172"/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AC113EEA-0132-47A4-B12D-8EA9C88BDD21}"/>
            </a:ext>
          </a:extLst>
        </xdr:cNvPr>
        <xdr:cNvSpPr txBox="1"/>
      </xdr:nvSpPr>
      <xdr:spPr>
        <a:xfrm>
          <a:off x="1047750" y="4775696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3</xdr:col>
      <xdr:colOff>92652</xdr:colOff>
      <xdr:row>265</xdr:row>
      <xdr:rowOff>114300</xdr:rowOff>
    </xdr:from>
    <xdr:ext cx="65" cy="172227"/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62E1560B-1A7C-4E0C-80C9-BE79B6E11303}"/>
            </a:ext>
          </a:extLst>
        </xdr:cNvPr>
        <xdr:cNvSpPr txBox="1"/>
      </xdr:nvSpPr>
      <xdr:spPr>
        <a:xfrm>
          <a:off x="4283652" y="50840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9</xdr:col>
      <xdr:colOff>92652</xdr:colOff>
      <xdr:row>218</xdr:row>
      <xdr:rowOff>114300</xdr:rowOff>
    </xdr:from>
    <xdr:ext cx="65" cy="172227"/>
    <xdr:sp macro="" textlink="">
      <xdr:nvSpPr>
        <xdr:cNvPr id="18" name="CasellaDiTesto 17">
          <a:extLst>
            <a:ext uri="{FF2B5EF4-FFF2-40B4-BE49-F238E27FC236}">
              <a16:creationId xmlns:a16="http://schemas.microsoft.com/office/drawing/2014/main" id="{F3356FB8-9CED-46CE-91E4-8667039DBC2E}"/>
            </a:ext>
          </a:extLst>
        </xdr:cNvPr>
        <xdr:cNvSpPr txBox="1"/>
      </xdr:nvSpPr>
      <xdr:spPr>
        <a:xfrm>
          <a:off x="12238932" y="42031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144605</xdr:colOff>
      <xdr:row>138</xdr:row>
      <xdr:rowOff>140276</xdr:rowOff>
    </xdr:from>
    <xdr:ext cx="1791131" cy="252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sellaDiTesto 18">
              <a:extLst>
                <a:ext uri="{FF2B5EF4-FFF2-40B4-BE49-F238E27FC236}">
                  <a16:creationId xmlns:a16="http://schemas.microsoft.com/office/drawing/2014/main" id="{1E0BA31C-46BF-4639-BA9E-00A714D2DE67}"/>
                </a:ext>
              </a:extLst>
            </xdr:cNvPr>
            <xdr:cNvSpPr txBox="1"/>
          </xdr:nvSpPr>
          <xdr:spPr>
            <a:xfrm>
              <a:off x="144605" y="26513096"/>
              <a:ext cx="179113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600" b="0" i="1">
                        <a:latin typeface="Cambria Math" panose="02040503050406030204" pitchFamily="18" charset="0"/>
                      </a:rPr>
                      <m:t>𝑠𝑖𝑐𝑐𝑜𝑚𝑒</m:t>
                    </m:r>
                    <m:r>
                      <a:rPr lang="it-IT" sz="16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≫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it-IT" sz="16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9" name="CasellaDiTesto 18">
              <a:extLst>
                <a:ext uri="{FF2B5EF4-FFF2-40B4-BE49-F238E27FC236}">
                  <a16:creationId xmlns:a16="http://schemas.microsoft.com/office/drawing/2014/main" id="{1E0BA31C-46BF-4639-BA9E-00A714D2DE67}"/>
                </a:ext>
              </a:extLst>
            </xdr:cNvPr>
            <xdr:cNvSpPr txBox="1"/>
          </xdr:nvSpPr>
          <xdr:spPr>
            <a:xfrm>
              <a:off x="144605" y="26513096"/>
              <a:ext cx="179113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600" b="0" i="0">
                  <a:latin typeface="Cambria Math" panose="02040503050406030204" pitchFamily="18" charset="0"/>
                </a:rPr>
                <a:t>𝑠𝑖𝑐𝑐𝑜𝑚𝑒 𝐸_𝑒𝑙≫𝐾_𝑏 𝑇: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5</xdr:col>
      <xdr:colOff>251112</xdr:colOff>
      <xdr:row>178</xdr:row>
      <xdr:rowOff>60614</xdr:rowOff>
    </xdr:from>
    <xdr:to>
      <xdr:col>6</xdr:col>
      <xdr:colOff>588817</xdr:colOff>
      <xdr:row>188</xdr:row>
      <xdr:rowOff>8659</xdr:rowOff>
    </xdr:to>
    <xdr:sp macro="" textlink="">
      <xdr:nvSpPr>
        <xdr:cNvPr id="20" name="CasellaDiTesto 19">
          <a:extLst>
            <a:ext uri="{FF2B5EF4-FFF2-40B4-BE49-F238E27FC236}">
              <a16:creationId xmlns:a16="http://schemas.microsoft.com/office/drawing/2014/main" id="{F998E8A7-FD77-463A-8D63-68A28AC2D71D}"/>
            </a:ext>
          </a:extLst>
        </xdr:cNvPr>
        <xdr:cNvSpPr txBox="1"/>
      </xdr:nvSpPr>
      <xdr:spPr>
        <a:xfrm>
          <a:off x="7497732" y="34396334"/>
          <a:ext cx="1671205" cy="17920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112569</xdr:colOff>
      <xdr:row>230</xdr:row>
      <xdr:rowOff>77931</xdr:rowOff>
    </xdr:from>
    <xdr:to>
      <xdr:col>6</xdr:col>
      <xdr:colOff>207819</xdr:colOff>
      <xdr:row>242</xdr:row>
      <xdr:rowOff>0</xdr:rowOff>
    </xdr:to>
    <xdr:sp macro="" textlink="">
      <xdr:nvSpPr>
        <xdr:cNvPr id="21" name="CasellaDiTesto 20">
          <a:extLst>
            <a:ext uri="{FF2B5EF4-FFF2-40B4-BE49-F238E27FC236}">
              <a16:creationId xmlns:a16="http://schemas.microsoft.com/office/drawing/2014/main" id="{8484C295-D435-4E73-8552-6DE24BD21BF8}"/>
            </a:ext>
          </a:extLst>
        </xdr:cNvPr>
        <xdr:cNvSpPr txBox="1"/>
      </xdr:nvSpPr>
      <xdr:spPr>
        <a:xfrm>
          <a:off x="7359189" y="44312031"/>
          <a:ext cx="1428750" cy="213948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710046</xdr:colOff>
      <xdr:row>226</xdr:row>
      <xdr:rowOff>69272</xdr:rowOff>
    </xdr:from>
    <xdr:to>
      <xdr:col>5</xdr:col>
      <xdr:colOff>762000</xdr:colOff>
      <xdr:row>230</xdr:row>
      <xdr:rowOff>25976</xdr:rowOff>
    </xdr:to>
    <xdr:cxnSp macro="">
      <xdr:nvCxnSpPr>
        <xdr:cNvPr id="22" name="Connettore 2 21">
          <a:extLst>
            <a:ext uri="{FF2B5EF4-FFF2-40B4-BE49-F238E27FC236}">
              <a16:creationId xmlns:a16="http://schemas.microsoft.com/office/drawing/2014/main" id="{D2D34250-74C8-4898-A5B1-5BA83C1A79F5}"/>
            </a:ext>
          </a:extLst>
        </xdr:cNvPr>
        <xdr:cNvCxnSpPr/>
      </xdr:nvCxnSpPr>
      <xdr:spPr>
        <a:xfrm>
          <a:off x="7956666" y="43518512"/>
          <a:ext cx="51954" cy="74156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787977</xdr:colOff>
      <xdr:row>176</xdr:row>
      <xdr:rowOff>95250</xdr:rowOff>
    </xdr:from>
    <xdr:to>
      <xdr:col>5</xdr:col>
      <xdr:colOff>796636</xdr:colOff>
      <xdr:row>177</xdr:row>
      <xdr:rowOff>216477</xdr:rowOff>
    </xdr:to>
    <xdr:cxnSp macro="">
      <xdr:nvCxnSpPr>
        <xdr:cNvPr id="23" name="Connettore 2 22">
          <a:extLst>
            <a:ext uri="{FF2B5EF4-FFF2-40B4-BE49-F238E27FC236}">
              <a16:creationId xmlns:a16="http://schemas.microsoft.com/office/drawing/2014/main" id="{E8C10F6B-9F0F-4E1C-B044-5CEFABF0D019}"/>
            </a:ext>
          </a:extLst>
        </xdr:cNvPr>
        <xdr:cNvCxnSpPr/>
      </xdr:nvCxnSpPr>
      <xdr:spPr>
        <a:xfrm>
          <a:off x="8034597" y="34011870"/>
          <a:ext cx="8659" cy="3041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943840</xdr:colOff>
      <xdr:row>198</xdr:row>
      <xdr:rowOff>34636</xdr:rowOff>
    </xdr:from>
    <xdr:ext cx="1220932" cy="3057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DBFDA536-7F8C-4FBF-B9C5-659AB750326C}"/>
                </a:ext>
              </a:extLst>
            </xdr:cNvPr>
            <xdr:cNvSpPr txBox="1"/>
          </xdr:nvSpPr>
          <xdr:spPr>
            <a:xfrm>
              <a:off x="2993620" y="38104156"/>
              <a:ext cx="1220932" cy="305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05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acc>
                    <m:r>
                      <a:rPr lang="it-IT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05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05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05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it-IT" sz="1050"/>
            </a:p>
          </xdr:txBody>
        </xdr:sp>
      </mc:Choice>
      <mc:Fallback xmlns=""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DBFDA536-7F8C-4FBF-B9C5-659AB750326C}"/>
                </a:ext>
              </a:extLst>
            </xdr:cNvPr>
            <xdr:cNvSpPr txBox="1"/>
          </xdr:nvSpPr>
          <xdr:spPr>
            <a:xfrm>
              <a:off x="2993620" y="38104156"/>
              <a:ext cx="1220932" cy="305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050" b="0" i="0">
                  <a:latin typeface="Cambria Math" panose="02040503050406030204" pitchFamily="18" charset="0"/>
                </a:rPr>
                <a:t>𝑉 ̃=(𝑘_𝐵 𝑇)/𝑃</a:t>
              </a:r>
              <a:endParaRPr lang="it-IT" sz="1050"/>
            </a:p>
          </xdr:txBody>
        </xdr:sp>
      </mc:Fallback>
    </mc:AlternateContent>
    <xdr:clientData/>
  </xdr:oneCellAnchor>
  <xdr:oneCellAnchor>
    <xdr:from>
      <xdr:col>9</xdr:col>
      <xdr:colOff>92652</xdr:colOff>
      <xdr:row>242</xdr:row>
      <xdr:rowOff>114300</xdr:rowOff>
    </xdr:from>
    <xdr:ext cx="65" cy="172227"/>
    <xdr:sp macro="" textlink="">
      <xdr:nvSpPr>
        <xdr:cNvPr id="25" name="CasellaDiTesto 24">
          <a:extLst>
            <a:ext uri="{FF2B5EF4-FFF2-40B4-BE49-F238E27FC236}">
              <a16:creationId xmlns:a16="http://schemas.microsoft.com/office/drawing/2014/main" id="{BAD2C2F5-CB13-4D4E-ADD6-52F2B426371A}"/>
            </a:ext>
          </a:extLst>
        </xdr:cNvPr>
        <xdr:cNvSpPr txBox="1"/>
      </xdr:nvSpPr>
      <xdr:spPr>
        <a:xfrm>
          <a:off x="12238932" y="465658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1047750</xdr:colOff>
      <xdr:row>273</xdr:row>
      <xdr:rowOff>147205</xdr:rowOff>
    </xdr:from>
    <xdr:ext cx="1448666" cy="578172"/>
    <xdr:sp macro="" textlink="">
      <xdr:nvSpPr>
        <xdr:cNvPr id="26" name="CasellaDiTesto 25">
          <a:extLst>
            <a:ext uri="{FF2B5EF4-FFF2-40B4-BE49-F238E27FC236}">
              <a16:creationId xmlns:a16="http://schemas.microsoft.com/office/drawing/2014/main" id="{B3DE3B4C-316E-485D-9FBD-5C41BD41941E}"/>
            </a:ext>
          </a:extLst>
        </xdr:cNvPr>
        <xdr:cNvSpPr txBox="1"/>
      </xdr:nvSpPr>
      <xdr:spPr>
        <a:xfrm>
          <a:off x="1047750" y="5240516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0</xdr:col>
      <xdr:colOff>839932</xdr:colOff>
      <xdr:row>274</xdr:row>
      <xdr:rowOff>25977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asellaDiTesto 26">
              <a:extLst>
                <a:ext uri="{FF2B5EF4-FFF2-40B4-BE49-F238E27FC236}">
                  <a16:creationId xmlns:a16="http://schemas.microsoft.com/office/drawing/2014/main" id="{80D5904E-9EC2-42B2-9A1F-BDDBB170F8C0}"/>
                </a:ext>
              </a:extLst>
            </xdr:cNvPr>
            <xdr:cNvSpPr txBox="1"/>
          </xdr:nvSpPr>
          <xdr:spPr>
            <a:xfrm>
              <a:off x="839932" y="5247443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7" name="CasellaDiTesto 26">
              <a:extLst>
                <a:ext uri="{FF2B5EF4-FFF2-40B4-BE49-F238E27FC236}">
                  <a16:creationId xmlns:a16="http://schemas.microsoft.com/office/drawing/2014/main" id="{80D5904E-9EC2-42B2-9A1F-BDDBB170F8C0}"/>
                </a:ext>
              </a:extLst>
            </xdr:cNvPr>
            <xdr:cNvSpPr txBox="1"/>
          </xdr:nvSpPr>
          <xdr:spPr>
            <a:xfrm>
              <a:off x="839932" y="5247443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𝐶_𝑃 )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3</xdr:col>
      <xdr:colOff>92652</xdr:colOff>
      <xdr:row>290</xdr:row>
      <xdr:rowOff>114300</xdr:rowOff>
    </xdr:from>
    <xdr:ext cx="65" cy="172227"/>
    <xdr:sp macro="" textlink="">
      <xdr:nvSpPr>
        <xdr:cNvPr id="28" name="CasellaDiTesto 27">
          <a:extLst>
            <a:ext uri="{FF2B5EF4-FFF2-40B4-BE49-F238E27FC236}">
              <a16:creationId xmlns:a16="http://schemas.microsoft.com/office/drawing/2014/main" id="{9A0F9E38-03ED-4EE6-A94C-76ED9AED5E78}"/>
            </a:ext>
          </a:extLst>
        </xdr:cNvPr>
        <xdr:cNvSpPr txBox="1"/>
      </xdr:nvSpPr>
      <xdr:spPr>
        <a:xfrm>
          <a:off x="4283652" y="5548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5</xdr:col>
      <xdr:colOff>112569</xdr:colOff>
      <xdr:row>278</xdr:row>
      <xdr:rowOff>77931</xdr:rowOff>
    </xdr:from>
    <xdr:to>
      <xdr:col>6</xdr:col>
      <xdr:colOff>207819</xdr:colOff>
      <xdr:row>290</xdr:row>
      <xdr:rowOff>0</xdr:rowOff>
    </xdr:to>
    <xdr:sp macro="" textlink="">
      <xdr:nvSpPr>
        <xdr:cNvPr id="29" name="CasellaDiTesto 28">
          <a:extLst>
            <a:ext uri="{FF2B5EF4-FFF2-40B4-BE49-F238E27FC236}">
              <a16:creationId xmlns:a16="http://schemas.microsoft.com/office/drawing/2014/main" id="{22647178-7AE0-44E4-8FF7-F0506F780C42}"/>
            </a:ext>
          </a:extLst>
        </xdr:cNvPr>
        <xdr:cNvSpPr txBox="1"/>
      </xdr:nvSpPr>
      <xdr:spPr>
        <a:xfrm>
          <a:off x="7359189" y="53257911"/>
          <a:ext cx="1428750" cy="211662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710046</xdr:colOff>
      <xdr:row>274</xdr:row>
      <xdr:rowOff>69272</xdr:rowOff>
    </xdr:from>
    <xdr:to>
      <xdr:col>5</xdr:col>
      <xdr:colOff>762000</xdr:colOff>
      <xdr:row>278</xdr:row>
      <xdr:rowOff>25976</xdr:rowOff>
    </xdr:to>
    <xdr:cxnSp macro="">
      <xdr:nvCxnSpPr>
        <xdr:cNvPr id="30" name="Connettore 2 29">
          <a:extLst>
            <a:ext uri="{FF2B5EF4-FFF2-40B4-BE49-F238E27FC236}">
              <a16:creationId xmlns:a16="http://schemas.microsoft.com/office/drawing/2014/main" id="{4AAA6226-EB4B-4C1E-ADA3-BAFB84110F12}"/>
            </a:ext>
          </a:extLst>
        </xdr:cNvPr>
        <xdr:cNvCxnSpPr/>
      </xdr:nvCxnSpPr>
      <xdr:spPr>
        <a:xfrm>
          <a:off x="7956666" y="52517732"/>
          <a:ext cx="51954" cy="6882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92652</xdr:colOff>
      <xdr:row>290</xdr:row>
      <xdr:rowOff>114300</xdr:rowOff>
    </xdr:from>
    <xdr:ext cx="65" cy="172227"/>
    <xdr:sp macro="" textlink="">
      <xdr:nvSpPr>
        <xdr:cNvPr id="31" name="CasellaDiTesto 30">
          <a:extLst>
            <a:ext uri="{FF2B5EF4-FFF2-40B4-BE49-F238E27FC236}">
              <a16:creationId xmlns:a16="http://schemas.microsoft.com/office/drawing/2014/main" id="{33689943-D494-462E-9493-2F47079876C4}"/>
            </a:ext>
          </a:extLst>
        </xdr:cNvPr>
        <xdr:cNvSpPr txBox="1"/>
      </xdr:nvSpPr>
      <xdr:spPr>
        <a:xfrm>
          <a:off x="12238932" y="5548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242455</xdr:colOff>
      <xdr:row>280</xdr:row>
      <xdr:rowOff>0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asellaDiTesto 31">
              <a:extLst>
                <a:ext uri="{FF2B5EF4-FFF2-40B4-BE49-F238E27FC236}">
                  <a16:creationId xmlns:a16="http://schemas.microsoft.com/office/drawing/2014/main" id="{B346CAFB-3B9F-4E31-9026-C8AE71C8BCA7}"/>
                </a:ext>
              </a:extLst>
            </xdr:cNvPr>
            <xdr:cNvSpPr txBox="1"/>
          </xdr:nvSpPr>
          <xdr:spPr>
            <a:xfrm>
              <a:off x="242455" y="53545740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acc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+</m:t>
                    </m:r>
                    <m:acc>
                      <m:accPr>
                        <m:chr m:val="̃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sub>
                        </m:sSub>
                      </m:e>
                    </m:acc>
                    <m:r>
                      <a:rPr lang="it-IT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32" name="CasellaDiTesto 31">
              <a:extLst>
                <a:ext uri="{FF2B5EF4-FFF2-40B4-BE49-F238E27FC236}">
                  <a16:creationId xmlns:a16="http://schemas.microsoft.com/office/drawing/2014/main" id="{B346CAFB-3B9F-4E31-9026-C8AE71C8BCA7}"/>
                </a:ext>
              </a:extLst>
            </xdr:cNvPr>
            <xdr:cNvSpPr txBox="1"/>
          </xdr:nvSpPr>
          <xdr:spPr>
            <a:xfrm>
              <a:off x="242455" y="53545740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𝐶_𝑃 ) ̃=𝑅+(𝐶_𝑉 ) ̃  </a:t>
              </a:r>
              <a:endParaRPr lang="it-IT" sz="1800"/>
            </a:p>
          </xdr:txBody>
        </xdr:sp>
      </mc:Fallback>
    </mc:AlternateContent>
    <xdr:clientData/>
  </xdr:oneCellAnchor>
  <xdr:twoCellAnchor>
    <xdr:from>
      <xdr:col>0</xdr:col>
      <xdr:colOff>0</xdr:colOff>
      <xdr:row>277</xdr:row>
      <xdr:rowOff>173182</xdr:rowOff>
    </xdr:from>
    <xdr:to>
      <xdr:col>0</xdr:col>
      <xdr:colOff>1982932</xdr:colOff>
      <xdr:row>279</xdr:row>
      <xdr:rowOff>147204</xdr:rowOff>
    </xdr:to>
    <xdr:sp macro="" textlink="">
      <xdr:nvSpPr>
        <xdr:cNvPr id="33" name="CasellaDiTesto 32">
          <a:extLst>
            <a:ext uri="{FF2B5EF4-FFF2-40B4-BE49-F238E27FC236}">
              <a16:creationId xmlns:a16="http://schemas.microsoft.com/office/drawing/2014/main" id="{039AC8F0-6A75-4CE2-9E65-25DB77B74B7D}"/>
            </a:ext>
          </a:extLst>
        </xdr:cNvPr>
        <xdr:cNvSpPr txBox="1"/>
      </xdr:nvSpPr>
      <xdr:spPr>
        <a:xfrm>
          <a:off x="0" y="53170282"/>
          <a:ext cx="1982932" cy="339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from Mayer's</a:t>
          </a:r>
          <a:r>
            <a:rPr lang="it-IT" sz="1400" baseline="0"/>
            <a:t> relation:</a:t>
          </a:r>
          <a:endParaRPr lang="it-IT" sz="1400"/>
        </a:p>
      </xdr:txBody>
    </xdr:sp>
    <xdr:clientData/>
  </xdr:twoCellAnchor>
  <xdr:twoCellAnchor>
    <xdr:from>
      <xdr:col>0</xdr:col>
      <xdr:colOff>710046</xdr:colOff>
      <xdr:row>108</xdr:row>
      <xdr:rowOff>147204</xdr:rowOff>
    </xdr:from>
    <xdr:to>
      <xdr:col>2</xdr:col>
      <xdr:colOff>207819</xdr:colOff>
      <xdr:row>110</xdr:row>
      <xdr:rowOff>129886</xdr:rowOff>
    </xdr:to>
    <xdr:sp macro="" textlink="">
      <xdr:nvSpPr>
        <xdr:cNvPr id="34" name="CasellaDiTesto 33">
          <a:extLst>
            <a:ext uri="{FF2B5EF4-FFF2-40B4-BE49-F238E27FC236}">
              <a16:creationId xmlns:a16="http://schemas.microsoft.com/office/drawing/2014/main" id="{BE8DF1C6-A152-4BA5-BE19-49D1A7A7906F}"/>
            </a:ext>
          </a:extLst>
        </xdr:cNvPr>
        <xdr:cNvSpPr txBox="1"/>
      </xdr:nvSpPr>
      <xdr:spPr>
        <a:xfrm>
          <a:off x="710046" y="20675484"/>
          <a:ext cx="2682933" cy="409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ho utilizzato però questa</a:t>
          </a:r>
          <a:r>
            <a:rPr lang="it-IT" sz="1100" baseline="0"/>
            <a:t> riscrittura:</a:t>
          </a:r>
          <a:endParaRPr lang="it-IT" sz="1100"/>
        </a:p>
      </xdr:txBody>
    </xdr:sp>
    <xdr:clientData/>
  </xdr:twoCellAnchor>
  <xdr:oneCellAnchor>
    <xdr:from>
      <xdr:col>0</xdr:col>
      <xdr:colOff>733423</xdr:colOff>
      <xdr:row>110</xdr:row>
      <xdr:rowOff>79664</xdr:rowOff>
    </xdr:from>
    <xdr:ext cx="2816804" cy="626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asellaDiTesto 34">
              <a:extLst>
                <a:ext uri="{FF2B5EF4-FFF2-40B4-BE49-F238E27FC236}">
                  <a16:creationId xmlns:a16="http://schemas.microsoft.com/office/drawing/2014/main" id="{FA708EF8-1428-4EEA-8374-B9D52A0F4E4D}"/>
                </a:ext>
              </a:extLst>
            </xdr:cNvPr>
            <xdr:cNvSpPr txBox="1"/>
          </xdr:nvSpPr>
          <xdr:spPr>
            <a:xfrm>
              <a:off x="733423" y="21034664"/>
              <a:ext cx="2816804" cy="626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Q</m:t>
                      </m:r>
                    </m:e>
                    <m:sub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rot</m:t>
                      </m:r>
                    </m:sub>
                    <m:sup>
                      <m: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3</m:t>
                      </m:r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D</m:t>
                      </m:r>
                    </m:sup>
                  </m:sSubSup>
                  <m:r>
                    <a:rPr lang="it-IT" sz="20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 </m:t>
                  </m:r>
                  <m:f>
                    <m:fPr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it-IT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sty m:val="p"/>
                            </m:rP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π</m:t>
                          </m:r>
                        </m:e>
                      </m:rad>
                    </m:num>
                    <m:den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σ</m:t>
                      </m:r>
                    </m:den>
                  </m:f>
                  <m:r>
                    <a:rPr lang="it-IT" sz="20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⋅</m:t>
                  </m:r>
                  <m:rad>
                    <m:radPr>
                      <m:degHide m:val="on"/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it-IT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T</m:t>
                              </m:r>
                            </m:e>
                            <m:sup>
                              <m: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3</m:t>
                              </m:r>
                            </m:sup>
                          </m:sSup>
                        </m:num>
                        <m:den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x</m:t>
                              </m:r>
                            </m:sub>
                          </m:sSub>
                          <m: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⋅</m:t>
                          </m:r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y</m:t>
                              </m:r>
                            </m:sub>
                          </m:sSub>
                          <m: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⋅</m:t>
                          </m:r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z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r>
                <a:rPr lang="it-IT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35" name="CasellaDiTesto 34">
              <a:extLst>
                <a:ext uri="{FF2B5EF4-FFF2-40B4-BE49-F238E27FC236}">
                  <a16:creationId xmlns:a16="http://schemas.microsoft.com/office/drawing/2014/main" id="{FA708EF8-1428-4EEA-8374-B9D52A0F4E4D}"/>
                </a:ext>
              </a:extLst>
            </xdr:cNvPr>
            <xdr:cNvSpPr txBox="1"/>
          </xdr:nvSpPr>
          <xdr:spPr>
            <a:xfrm>
              <a:off x="733423" y="21034664"/>
              <a:ext cx="2816804" cy="626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Q_rot^3D=  √π/σ⋅√(T^3/(θ_x⋅θ_y⋅θ_z ))</a:t>
              </a:r>
              <a:r>
                <a:rPr lang="it-IT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</a:p>
          </xdr:txBody>
        </xdr:sp>
      </mc:Fallback>
    </mc:AlternateContent>
    <xdr:clientData/>
  </xdr:oneCellAnchor>
  <xdr:twoCellAnchor>
    <xdr:from>
      <xdr:col>0</xdr:col>
      <xdr:colOff>666750</xdr:colOff>
      <xdr:row>115</xdr:row>
      <xdr:rowOff>34636</xdr:rowOff>
    </xdr:from>
    <xdr:to>
      <xdr:col>2</xdr:col>
      <xdr:colOff>112569</xdr:colOff>
      <xdr:row>119</xdr:row>
      <xdr:rowOff>95249</xdr:rowOff>
    </xdr:to>
    <xdr:sp macro="" textlink="">
      <xdr:nvSpPr>
        <xdr:cNvPr id="36" name="CasellaDiTesto 35">
          <a:extLst>
            <a:ext uri="{FF2B5EF4-FFF2-40B4-BE49-F238E27FC236}">
              <a16:creationId xmlns:a16="http://schemas.microsoft.com/office/drawing/2014/main" id="{78C966A4-C573-432F-92AE-4A971D89EE92}"/>
            </a:ext>
          </a:extLst>
        </xdr:cNvPr>
        <xdr:cNvSpPr txBox="1"/>
      </xdr:nvSpPr>
      <xdr:spPr>
        <a:xfrm>
          <a:off x="666750" y="21911656"/>
          <a:ext cx="2630979" cy="792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dove le </a:t>
          </a:r>
          <a:r>
            <a:rPr lang="el-GR" sz="1100"/>
            <a:t>ϑ</a:t>
          </a:r>
          <a:r>
            <a:rPr lang="it-IT" sz="1100"/>
            <a:t> rappresentano le temperature rotazionali rispetto agli assi x, y e z</a:t>
          </a:r>
        </a:p>
      </xdr:txBody>
    </xdr:sp>
    <xdr:clientData/>
  </xdr:twoCellAnchor>
  <xdr:twoCellAnchor>
    <xdr:from>
      <xdr:col>2</xdr:col>
      <xdr:colOff>207818</xdr:colOff>
      <xdr:row>220</xdr:row>
      <xdr:rowOff>147205</xdr:rowOff>
    </xdr:from>
    <xdr:to>
      <xdr:col>3</xdr:col>
      <xdr:colOff>493568</xdr:colOff>
      <xdr:row>222</xdr:row>
      <xdr:rowOff>60614</xdr:rowOff>
    </xdr:to>
    <xdr:sp macro="" textlink="">
      <xdr:nvSpPr>
        <xdr:cNvPr id="37" name="CasellaDiTesto 36">
          <a:extLst>
            <a:ext uri="{FF2B5EF4-FFF2-40B4-BE49-F238E27FC236}">
              <a16:creationId xmlns:a16="http://schemas.microsoft.com/office/drawing/2014/main" id="{34A00B6D-BC5F-4E69-B619-37ED8FE3324F}"/>
            </a:ext>
          </a:extLst>
        </xdr:cNvPr>
        <xdr:cNvSpPr txBox="1"/>
      </xdr:nvSpPr>
      <xdr:spPr>
        <a:xfrm>
          <a:off x="3392978" y="42438205"/>
          <a:ext cx="1291590" cy="2791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for S_trasl</a:t>
          </a:r>
          <a:r>
            <a:rPr lang="it-IT" sz="1100" baseline="0"/>
            <a:t> : </a:t>
          </a:r>
          <a:endParaRPr lang="it-IT" sz="1100"/>
        </a:p>
      </xdr:txBody>
    </xdr:sp>
    <xdr:clientData/>
  </xdr:twoCellAnchor>
  <xdr:twoCellAnchor editAs="oneCell">
    <xdr:from>
      <xdr:col>3</xdr:col>
      <xdr:colOff>43297</xdr:colOff>
      <xdr:row>220</xdr:row>
      <xdr:rowOff>17320</xdr:rowOff>
    </xdr:from>
    <xdr:to>
      <xdr:col>3</xdr:col>
      <xdr:colOff>1853047</xdr:colOff>
      <xdr:row>222</xdr:row>
      <xdr:rowOff>83556</xdr:rowOff>
    </xdr:to>
    <xdr:pic>
      <xdr:nvPicPr>
        <xdr:cNvPr id="38" name="Immagine 37">
          <a:extLst>
            <a:ext uri="{FF2B5EF4-FFF2-40B4-BE49-F238E27FC236}">
              <a16:creationId xmlns:a16="http://schemas.microsoft.com/office/drawing/2014/main" id="{EBC9549B-03F1-423C-819B-67E588971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4297" y="42308320"/>
          <a:ext cx="1809750" cy="431996"/>
        </a:xfrm>
        <a:prstGeom prst="rect">
          <a:avLst/>
        </a:prstGeom>
      </xdr:spPr>
    </xdr:pic>
    <xdr:clientData/>
  </xdr:twoCellAnchor>
  <xdr:twoCellAnchor editAs="oneCell">
    <xdr:from>
      <xdr:col>8</xdr:col>
      <xdr:colOff>229704</xdr:colOff>
      <xdr:row>7</xdr:row>
      <xdr:rowOff>83820</xdr:rowOff>
    </xdr:from>
    <xdr:to>
      <xdr:col>10</xdr:col>
      <xdr:colOff>967740</xdr:colOff>
      <xdr:row>20</xdr:row>
      <xdr:rowOff>90959</xdr:rowOff>
    </xdr:to>
    <xdr:pic>
      <xdr:nvPicPr>
        <xdr:cNvPr id="40" name="Immagine 39">
          <a:extLst>
            <a:ext uri="{FF2B5EF4-FFF2-40B4-BE49-F238E27FC236}">
              <a16:creationId xmlns:a16="http://schemas.microsoft.com/office/drawing/2014/main" id="{4B076C3D-7E00-47A1-8690-9CE68D75D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25364" y="1455420"/>
          <a:ext cx="3283116" cy="2384579"/>
        </a:xfrm>
        <a:prstGeom prst="rect">
          <a:avLst/>
        </a:prstGeom>
      </xdr:spPr>
    </xdr:pic>
    <xdr:clientData/>
  </xdr:twoCellAnchor>
  <xdr:oneCellAnchor>
    <xdr:from>
      <xdr:col>0</xdr:col>
      <xdr:colOff>365760</xdr:colOff>
      <xdr:row>60</xdr:row>
      <xdr:rowOff>15240</xdr:rowOff>
    </xdr:from>
    <xdr:ext cx="2764849" cy="9172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asellaDiTesto 40">
              <a:extLst>
                <a:ext uri="{FF2B5EF4-FFF2-40B4-BE49-F238E27FC236}">
                  <a16:creationId xmlns:a16="http://schemas.microsoft.com/office/drawing/2014/main" id="{2646F0AA-9221-4803-BB95-A1D0B6B64BB6}"/>
                </a:ext>
              </a:extLst>
            </xdr:cNvPr>
            <xdr:cNvSpPr txBox="1"/>
          </xdr:nvSpPr>
          <xdr:spPr>
            <a:xfrm>
              <a:off x="365760" y="11452860"/>
              <a:ext cx="2764849" cy="917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vib</m:t>
                        </m:r>
                      </m:sub>
                    </m:sSub>
                    <m:r>
                      <a:rPr lang="it-IT" sz="1800" b="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∏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𝑣𝑖𝑏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800" b="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it-IT" sz="1800" b="0" i="0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m:rPr>
                                <m:sty m:val="p"/>
                              </m:rPr>
                              <a:rPr lang="it-IT" sz="1800" b="0" i="0">
                                <a:latin typeface="Cambria Math" panose="02040503050406030204" pitchFamily="18" charset="0"/>
                              </a:rPr>
                              <m:t>exp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⁡(−</m:t>
                            </m:r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den>
                            </m:f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41" name="CasellaDiTesto 40">
              <a:extLst>
                <a:ext uri="{FF2B5EF4-FFF2-40B4-BE49-F238E27FC236}">
                  <a16:creationId xmlns:a16="http://schemas.microsoft.com/office/drawing/2014/main" id="{2646F0AA-9221-4803-BB95-A1D0B6B64BB6}"/>
                </a:ext>
              </a:extLst>
            </xdr:cNvPr>
            <xdr:cNvSpPr txBox="1"/>
          </xdr:nvSpPr>
          <xdr:spPr>
            <a:xfrm>
              <a:off x="365760" y="11452860"/>
              <a:ext cx="2764849" cy="917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Q_vib=∏_(𝑖=1)^(𝑁_𝑣𝑖𝑏)▒1/(1−exp⁡(−(ℎ𝜈_𝑖)/(𝑘_𝐵 𝑇)))</a:t>
              </a:r>
              <a:endParaRPr lang="it-IT" sz="18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352424</xdr:colOff>
      <xdr:row>84</xdr:row>
      <xdr:rowOff>19049</xdr:rowOff>
    </xdr:from>
    <xdr:ext cx="3379644" cy="688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9D71CF4-AACB-4CD4-B961-C6BE13BC8C19}"/>
                </a:ext>
              </a:extLst>
            </xdr:cNvPr>
            <xdr:cNvSpPr txBox="1"/>
          </xdr:nvSpPr>
          <xdr:spPr>
            <a:xfrm>
              <a:off x="352424" y="16066769"/>
              <a:ext cx="3379644" cy="688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𝑡𝑟𝑎𝑠𝑙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𝜋</m:t>
                                </m:r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h</m:t>
                                    </m:r>
                                  </m:e>
                                  <m:sup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3/2</m:t>
                        </m:r>
                      </m:sup>
                    </m:sSup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9D71CF4-AACB-4CD4-B961-C6BE13BC8C19}"/>
                </a:ext>
              </a:extLst>
            </xdr:cNvPr>
            <xdr:cNvSpPr txBox="1"/>
          </xdr:nvSpPr>
          <xdr:spPr>
            <a:xfrm>
              <a:off x="352424" y="16066769"/>
              <a:ext cx="3379644" cy="688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𝑄_𝑡𝑟𝑎𝑠𝑙=((2𝜋𝑚𝑘_𝐵 𝑇)/ℎ^2 )^(3/2)⋅(𝑘_𝐵 𝑇)/𝑃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127289</xdr:colOff>
      <xdr:row>103</xdr:row>
      <xdr:rowOff>157596</xdr:rowOff>
    </xdr:from>
    <xdr:ext cx="4141643" cy="5943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632AC069-5034-457F-A484-4409C9803F39}"/>
                </a:ext>
              </a:extLst>
            </xdr:cNvPr>
            <xdr:cNvSpPr txBox="1"/>
          </xdr:nvSpPr>
          <xdr:spPr>
            <a:xfrm>
              <a:off x="127289" y="19702896"/>
              <a:ext cx="4141643" cy="594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𝑟𝑜𝑡</m:t>
                        </m:r>
                      </m:sub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𝐷</m:t>
                        </m:r>
                      </m:sup>
                    </m:sSubSup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8</m:t>
                        </m:r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(2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3/2</m:t>
                            </m:r>
                          </m:sup>
                        </m:sSup>
                        <m:rad>
                          <m:radPr>
                            <m:degHide m:val="on"/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sub>
                            </m:sSub>
                          </m:e>
                        </m:rad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𝜎</m:t>
                        </m:r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632AC069-5034-457F-A484-4409C9803F39}"/>
                </a:ext>
              </a:extLst>
            </xdr:cNvPr>
            <xdr:cNvSpPr txBox="1"/>
          </xdr:nvSpPr>
          <xdr:spPr>
            <a:xfrm>
              <a:off x="127289" y="19702896"/>
              <a:ext cx="4141643" cy="594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𝑄_𝑟𝑜𝑡^3𝐷=(8𝜋^2 〖(2𝜋𝑘〗_𝐵 〖𝑇)〗^(3/2) √(𝐼_𝑥 𝐼_𝑦 𝐼_𝑧 ))/(𝜎ℎ^3 )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126</xdr:row>
      <xdr:rowOff>0</xdr:rowOff>
    </xdr:from>
    <xdr:ext cx="4141643" cy="452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C0AED176-1F65-47CB-85D4-64BC1DA864C2}"/>
                </a:ext>
              </a:extLst>
            </xdr:cNvPr>
            <xdr:cNvSpPr txBox="1"/>
          </xdr:nvSpPr>
          <xdr:spPr>
            <a:xfrm>
              <a:off x="0" y="23888700"/>
              <a:ext cx="414164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𝑒𝑙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sub>
                            </m:s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C0AED176-1F65-47CB-85D4-64BC1DA864C2}"/>
                </a:ext>
              </a:extLst>
            </xdr:cNvPr>
            <xdr:cNvSpPr txBox="1"/>
          </xdr:nvSpPr>
          <xdr:spPr>
            <a:xfrm>
              <a:off x="0" y="23888700"/>
              <a:ext cx="414164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Q_el=𝑔_𝑒𝑙⋅𝑒^(−𝐸_𝑒𝑙/(𝑘_𝐵 𝑇))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216478</xdr:colOff>
      <xdr:row>153</xdr:row>
      <xdr:rowOff>114298</xdr:rowOff>
    </xdr:from>
    <xdr:ext cx="3717348" cy="575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AB4642-EA02-46C8-83DC-0009F717D495}"/>
                </a:ext>
              </a:extLst>
            </xdr:cNvPr>
            <xdr:cNvSpPr txBox="1"/>
          </xdr:nvSpPr>
          <xdr:spPr>
            <a:xfrm>
              <a:off x="216478" y="29443678"/>
              <a:ext cx="3717348" cy="575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8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𝑡𝑟𝑎𝑠𝑙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Sup>
                      <m:sSub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𝑟𝑜𝑡</m:t>
                        </m:r>
                      </m:sub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𝐷</m:t>
                        </m:r>
                      </m:sup>
                    </m:sSubSup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𝑣𝑖𝑏</m:t>
                        </m:r>
                      </m:sub>
                    </m:sSub>
                  </m:oMath>
                </m:oMathPara>
              </a14:m>
              <a:endParaRPr lang="it-IT" sz="1800" b="0"/>
            </a:p>
            <a:p>
              <a:endParaRPr lang="it-IT" sz="18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AB4642-EA02-46C8-83DC-0009F717D495}"/>
                </a:ext>
              </a:extLst>
            </xdr:cNvPr>
            <xdr:cNvSpPr txBox="1"/>
          </xdr:nvSpPr>
          <xdr:spPr>
            <a:xfrm>
              <a:off x="216478" y="29443678"/>
              <a:ext cx="3717348" cy="575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𝑄=𝑄_𝑡𝑟𝑎𝑠𝑙×𝑄_𝑒𝑙×𝑄_𝑟𝑜𝑡^3𝐷×𝑄_𝑣𝑖𝑏</a:t>
              </a:r>
              <a:endParaRPr lang="it-IT" sz="1800" b="0"/>
            </a:p>
            <a:p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0</xdr:colOff>
      <xdr:row>140</xdr:row>
      <xdr:rowOff>0</xdr:rowOff>
    </xdr:from>
    <xdr:ext cx="4141643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F9E7B49A-F669-4A65-A73B-2D70A2B0563D}"/>
                </a:ext>
              </a:extLst>
            </xdr:cNvPr>
            <xdr:cNvSpPr txBox="1"/>
          </xdr:nvSpPr>
          <xdr:spPr>
            <a:xfrm>
              <a:off x="0" y="26753820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F9E7B49A-F669-4A65-A73B-2D70A2B0563D}"/>
                </a:ext>
              </a:extLst>
            </xdr:cNvPr>
            <xdr:cNvSpPr txBox="1"/>
          </xdr:nvSpPr>
          <xdr:spPr>
            <a:xfrm>
              <a:off x="0" y="26753820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Q_el=𝑔_𝑒𝑙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141</xdr:row>
      <xdr:rowOff>138545</xdr:rowOff>
    </xdr:from>
    <xdr:ext cx="4141643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4D7D5086-2CCD-4EBB-AAF2-5BE83F092ED7}"/>
                </a:ext>
              </a:extLst>
            </xdr:cNvPr>
            <xdr:cNvSpPr txBox="1"/>
          </xdr:nvSpPr>
          <xdr:spPr>
            <a:xfrm>
              <a:off x="0" y="27090485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4D7D5086-2CCD-4EBB-AAF2-5BE83F092ED7}"/>
                </a:ext>
              </a:extLst>
            </xdr:cNvPr>
            <xdr:cNvSpPr txBox="1"/>
          </xdr:nvSpPr>
          <xdr:spPr>
            <a:xfrm>
              <a:off x="0" y="27090485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Q_el=2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993198</xdr:colOff>
      <xdr:row>175</xdr:row>
      <xdr:rowOff>140278</xdr:rowOff>
    </xdr:from>
    <xdr:ext cx="1448666" cy="297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82775D18-BC31-4712-927E-CA0A955F4343}"/>
                </a:ext>
              </a:extLst>
            </xdr:cNvPr>
            <xdr:cNvSpPr txBox="1"/>
          </xdr:nvSpPr>
          <xdr:spPr>
            <a:xfrm>
              <a:off x="993198" y="33851158"/>
              <a:ext cx="1448666" cy="297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82775D18-BC31-4712-927E-CA0A955F4343}"/>
                </a:ext>
              </a:extLst>
            </xdr:cNvPr>
            <xdr:cNvSpPr txBox="1"/>
          </xdr:nvSpPr>
          <xdr:spPr>
            <a:xfrm>
              <a:off x="993198" y="33851158"/>
              <a:ext cx="1448666" cy="297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𝑈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857250</xdr:colOff>
      <xdr:row>201</xdr:row>
      <xdr:rowOff>173182</xdr:rowOff>
    </xdr:from>
    <xdr:ext cx="1448666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1F9A2CA4-50EA-4F65-A85F-5A2A9024A7DD}"/>
                </a:ext>
              </a:extLst>
            </xdr:cNvPr>
            <xdr:cNvSpPr txBox="1"/>
          </xdr:nvSpPr>
          <xdr:spPr>
            <a:xfrm>
              <a:off x="857250" y="38837062"/>
              <a:ext cx="1448666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1F9A2CA4-50EA-4F65-A85F-5A2A9024A7DD}"/>
                </a:ext>
              </a:extLst>
            </xdr:cNvPr>
            <xdr:cNvSpPr txBox="1"/>
          </xdr:nvSpPr>
          <xdr:spPr>
            <a:xfrm>
              <a:off x="857250" y="38837062"/>
              <a:ext cx="1448666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𝑆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4</xdr:col>
      <xdr:colOff>92652</xdr:colOff>
      <xdr:row>218</xdr:row>
      <xdr:rowOff>114300</xdr:rowOff>
    </xdr:from>
    <xdr:ext cx="65" cy="172227"/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93BDF773-BA54-46C6-9417-6F99F9DE1A72}"/>
            </a:ext>
          </a:extLst>
        </xdr:cNvPr>
        <xdr:cNvSpPr txBox="1"/>
      </xdr:nvSpPr>
      <xdr:spPr>
        <a:xfrm>
          <a:off x="6333432" y="42001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1047750</xdr:colOff>
      <xdr:row>225</xdr:row>
      <xdr:rowOff>147205</xdr:rowOff>
    </xdr:from>
    <xdr:ext cx="1448666" cy="578172"/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99D2E090-670A-4BD3-A707-F34CA982491C}"/>
            </a:ext>
          </a:extLst>
        </xdr:cNvPr>
        <xdr:cNvSpPr txBox="1"/>
      </xdr:nvSpPr>
      <xdr:spPr>
        <a:xfrm>
          <a:off x="1047750" y="4337546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0</xdr:col>
      <xdr:colOff>839932</xdr:colOff>
      <xdr:row>226</xdr:row>
      <xdr:rowOff>25977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F8B520C5-31E0-4B3B-B7E2-40223EAFE7E3}"/>
                </a:ext>
              </a:extLst>
            </xdr:cNvPr>
            <xdr:cNvSpPr txBox="1"/>
          </xdr:nvSpPr>
          <xdr:spPr>
            <a:xfrm>
              <a:off x="839932" y="4344473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F8B520C5-31E0-4B3B-B7E2-40223EAFE7E3}"/>
                </a:ext>
              </a:extLst>
            </xdr:cNvPr>
            <xdr:cNvSpPr txBox="1"/>
          </xdr:nvSpPr>
          <xdr:spPr>
            <a:xfrm>
              <a:off x="839932" y="4344473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𝐶_𝑉 )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3</xdr:col>
      <xdr:colOff>92652</xdr:colOff>
      <xdr:row>242</xdr:row>
      <xdr:rowOff>114300</xdr:rowOff>
    </xdr:from>
    <xdr:ext cx="65" cy="172227"/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F8A89F5E-5FAA-4481-8C87-44507D1B214C}"/>
            </a:ext>
          </a:extLst>
        </xdr:cNvPr>
        <xdr:cNvSpPr txBox="1"/>
      </xdr:nvSpPr>
      <xdr:spPr>
        <a:xfrm>
          <a:off x="4283652" y="4652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5</xdr:col>
      <xdr:colOff>1235651</xdr:colOff>
      <xdr:row>196</xdr:row>
      <xdr:rowOff>71005</xdr:rowOff>
    </xdr:from>
    <xdr:ext cx="2184689" cy="4383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151E42BF-5C64-42A1-B4CA-52D1CE93F2ED}"/>
                </a:ext>
              </a:extLst>
            </xdr:cNvPr>
            <xdr:cNvSpPr txBox="1"/>
          </xdr:nvSpPr>
          <xdr:spPr>
            <a:xfrm>
              <a:off x="8482271" y="37721425"/>
              <a:ext cx="2184689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it-IT" sz="1400" b="0" i="1">
                      <a:latin typeface="Cambria Math" panose="02040503050406030204" pitchFamily="18" charset="0"/>
                    </a:rPr>
                    <m:t>𝐼</m:t>
                  </m:r>
                  <m:r>
                    <a:rPr lang="it-IT" sz="14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it-IT" sz="14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r>
                        <a:rPr lang="it-IT" sz="14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r>
                        <a:rPr lang="it-IT" sz="14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𝑧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</m:e>
                  </m:rad>
                </m:oMath>
              </a14:m>
              <a:r>
                <a:rPr lang="it-IT" sz="1400"/>
                <a:t> =</a:t>
              </a:r>
            </a:p>
          </xdr:txBody>
        </xdr:sp>
      </mc:Choice>
      <mc:Fallback xmlns="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151E42BF-5C64-42A1-B4CA-52D1CE93F2ED}"/>
                </a:ext>
              </a:extLst>
            </xdr:cNvPr>
            <xdr:cNvSpPr txBox="1"/>
          </xdr:nvSpPr>
          <xdr:spPr>
            <a:xfrm>
              <a:off x="8482271" y="37721425"/>
              <a:ext cx="2184689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0" i="0">
                  <a:latin typeface="Cambria Math" panose="02040503050406030204" pitchFamily="18" charset="0"/>
                </a:rPr>
                <a:t>𝐼=√(𝐼_𝑥^2+𝐼_𝑦^2+𝐼_𝑧^2 )</a:t>
              </a:r>
              <a:r>
                <a:rPr lang="it-IT" sz="1400"/>
                <a:t> =</a:t>
              </a:r>
            </a:p>
          </xdr:txBody>
        </xdr:sp>
      </mc:Fallback>
    </mc:AlternateContent>
    <xdr:clientData/>
  </xdr:oneCellAnchor>
  <xdr:oneCellAnchor>
    <xdr:from>
      <xdr:col>3</xdr:col>
      <xdr:colOff>92652</xdr:colOff>
      <xdr:row>265</xdr:row>
      <xdr:rowOff>114300</xdr:rowOff>
    </xdr:from>
    <xdr:ext cx="65" cy="172227"/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7057AB3A-8B99-41BD-9950-0B2D9C6D4FED}"/>
            </a:ext>
          </a:extLst>
        </xdr:cNvPr>
        <xdr:cNvSpPr txBox="1"/>
      </xdr:nvSpPr>
      <xdr:spPr>
        <a:xfrm>
          <a:off x="4283652" y="507796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9</xdr:col>
      <xdr:colOff>92652</xdr:colOff>
      <xdr:row>218</xdr:row>
      <xdr:rowOff>114300</xdr:rowOff>
    </xdr:from>
    <xdr:ext cx="65" cy="172227"/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85E9FF38-A5C8-4438-BFA8-F972ECE7AB00}"/>
            </a:ext>
          </a:extLst>
        </xdr:cNvPr>
        <xdr:cNvSpPr txBox="1"/>
      </xdr:nvSpPr>
      <xdr:spPr>
        <a:xfrm>
          <a:off x="12238932" y="42001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144605</xdr:colOff>
      <xdr:row>138</xdr:row>
      <xdr:rowOff>140276</xdr:rowOff>
    </xdr:from>
    <xdr:ext cx="1791131" cy="252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sellaDiTesto 16">
              <a:extLst>
                <a:ext uri="{FF2B5EF4-FFF2-40B4-BE49-F238E27FC236}">
                  <a16:creationId xmlns:a16="http://schemas.microsoft.com/office/drawing/2014/main" id="{C82854D2-E103-4FBE-A23C-53CBDFE95898}"/>
                </a:ext>
              </a:extLst>
            </xdr:cNvPr>
            <xdr:cNvSpPr txBox="1"/>
          </xdr:nvSpPr>
          <xdr:spPr>
            <a:xfrm>
              <a:off x="144605" y="26497856"/>
              <a:ext cx="179113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600" b="0" i="1">
                        <a:latin typeface="Cambria Math" panose="02040503050406030204" pitchFamily="18" charset="0"/>
                      </a:rPr>
                      <m:t>𝑠𝑖𝑐𝑐𝑜𝑚𝑒</m:t>
                    </m:r>
                    <m:r>
                      <a:rPr lang="it-IT" sz="16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≫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it-IT" sz="16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7" name="CasellaDiTesto 16">
              <a:extLst>
                <a:ext uri="{FF2B5EF4-FFF2-40B4-BE49-F238E27FC236}">
                  <a16:creationId xmlns:a16="http://schemas.microsoft.com/office/drawing/2014/main" id="{C82854D2-E103-4FBE-A23C-53CBDFE95898}"/>
                </a:ext>
              </a:extLst>
            </xdr:cNvPr>
            <xdr:cNvSpPr txBox="1"/>
          </xdr:nvSpPr>
          <xdr:spPr>
            <a:xfrm>
              <a:off x="144605" y="26497856"/>
              <a:ext cx="179113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600" b="0" i="0">
                  <a:latin typeface="Cambria Math" panose="02040503050406030204" pitchFamily="18" charset="0"/>
                </a:rPr>
                <a:t>𝑠𝑖𝑐𝑐𝑜𝑚𝑒 𝐸_𝑒𝑙≫𝐾_𝑏 𝑇: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5</xdr:col>
      <xdr:colOff>251112</xdr:colOff>
      <xdr:row>178</xdr:row>
      <xdr:rowOff>60614</xdr:rowOff>
    </xdr:from>
    <xdr:to>
      <xdr:col>6</xdr:col>
      <xdr:colOff>588817</xdr:colOff>
      <xdr:row>188</xdr:row>
      <xdr:rowOff>8659</xdr:rowOff>
    </xdr:to>
    <xdr:sp macro="" textlink="">
      <xdr:nvSpPr>
        <xdr:cNvPr id="18" name="CasellaDiTesto 17">
          <a:extLst>
            <a:ext uri="{FF2B5EF4-FFF2-40B4-BE49-F238E27FC236}">
              <a16:creationId xmlns:a16="http://schemas.microsoft.com/office/drawing/2014/main" id="{E0E6239C-C32F-4D5D-99B9-B10B2DFD543E}"/>
            </a:ext>
          </a:extLst>
        </xdr:cNvPr>
        <xdr:cNvSpPr txBox="1"/>
      </xdr:nvSpPr>
      <xdr:spPr>
        <a:xfrm>
          <a:off x="7497732" y="34381094"/>
          <a:ext cx="1671205" cy="17920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112569</xdr:colOff>
      <xdr:row>230</xdr:row>
      <xdr:rowOff>77931</xdr:rowOff>
    </xdr:from>
    <xdr:to>
      <xdr:col>6</xdr:col>
      <xdr:colOff>207819</xdr:colOff>
      <xdr:row>242</xdr:row>
      <xdr:rowOff>0</xdr:rowOff>
    </xdr:to>
    <xdr:sp macro="" textlink="">
      <xdr:nvSpPr>
        <xdr:cNvPr id="19" name="CasellaDiTesto 18">
          <a:extLst>
            <a:ext uri="{FF2B5EF4-FFF2-40B4-BE49-F238E27FC236}">
              <a16:creationId xmlns:a16="http://schemas.microsoft.com/office/drawing/2014/main" id="{6A03BD63-24AF-4797-80DE-0E25A671A541}"/>
            </a:ext>
          </a:extLst>
        </xdr:cNvPr>
        <xdr:cNvSpPr txBox="1"/>
      </xdr:nvSpPr>
      <xdr:spPr>
        <a:xfrm>
          <a:off x="7359189" y="44281551"/>
          <a:ext cx="1428750" cy="212424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710046</xdr:colOff>
      <xdr:row>226</xdr:row>
      <xdr:rowOff>69272</xdr:rowOff>
    </xdr:from>
    <xdr:to>
      <xdr:col>5</xdr:col>
      <xdr:colOff>762000</xdr:colOff>
      <xdr:row>230</xdr:row>
      <xdr:rowOff>25976</xdr:rowOff>
    </xdr:to>
    <xdr:cxnSp macro="">
      <xdr:nvCxnSpPr>
        <xdr:cNvPr id="20" name="Connettore 2 19">
          <a:extLst>
            <a:ext uri="{FF2B5EF4-FFF2-40B4-BE49-F238E27FC236}">
              <a16:creationId xmlns:a16="http://schemas.microsoft.com/office/drawing/2014/main" id="{DC6F0992-9B64-4E09-8AC8-8DB321C5C27B}"/>
            </a:ext>
          </a:extLst>
        </xdr:cNvPr>
        <xdr:cNvCxnSpPr/>
      </xdr:nvCxnSpPr>
      <xdr:spPr>
        <a:xfrm>
          <a:off x="7956666" y="43488032"/>
          <a:ext cx="51954" cy="74156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787977</xdr:colOff>
      <xdr:row>176</xdr:row>
      <xdr:rowOff>95250</xdr:rowOff>
    </xdr:from>
    <xdr:to>
      <xdr:col>5</xdr:col>
      <xdr:colOff>796636</xdr:colOff>
      <xdr:row>177</xdr:row>
      <xdr:rowOff>216477</xdr:rowOff>
    </xdr:to>
    <xdr:cxnSp macro="">
      <xdr:nvCxnSpPr>
        <xdr:cNvPr id="21" name="Connettore 2 20">
          <a:extLst>
            <a:ext uri="{FF2B5EF4-FFF2-40B4-BE49-F238E27FC236}">
              <a16:creationId xmlns:a16="http://schemas.microsoft.com/office/drawing/2014/main" id="{F478B971-86B6-4AB7-8B41-8A8669111D1D}"/>
            </a:ext>
          </a:extLst>
        </xdr:cNvPr>
        <xdr:cNvCxnSpPr/>
      </xdr:nvCxnSpPr>
      <xdr:spPr>
        <a:xfrm>
          <a:off x="8034597" y="33996630"/>
          <a:ext cx="8659" cy="3041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943840</xdr:colOff>
      <xdr:row>198</xdr:row>
      <xdr:rowOff>34636</xdr:rowOff>
    </xdr:from>
    <xdr:ext cx="1220932" cy="3057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asellaDiTesto 21">
              <a:extLst>
                <a:ext uri="{FF2B5EF4-FFF2-40B4-BE49-F238E27FC236}">
                  <a16:creationId xmlns:a16="http://schemas.microsoft.com/office/drawing/2014/main" id="{FFE11897-D1F8-4075-A7B0-85CAD9A48A2F}"/>
                </a:ext>
              </a:extLst>
            </xdr:cNvPr>
            <xdr:cNvSpPr txBox="1"/>
          </xdr:nvSpPr>
          <xdr:spPr>
            <a:xfrm>
              <a:off x="2993620" y="38088916"/>
              <a:ext cx="1220932" cy="305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05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acc>
                    <m:r>
                      <a:rPr lang="it-IT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05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05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05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it-IT" sz="1050"/>
            </a:p>
          </xdr:txBody>
        </xdr:sp>
      </mc:Choice>
      <mc:Fallback xmlns="">
        <xdr:sp macro="" textlink="">
          <xdr:nvSpPr>
            <xdr:cNvPr id="22" name="CasellaDiTesto 21">
              <a:extLst>
                <a:ext uri="{FF2B5EF4-FFF2-40B4-BE49-F238E27FC236}">
                  <a16:creationId xmlns:a16="http://schemas.microsoft.com/office/drawing/2014/main" id="{FFE11897-D1F8-4075-A7B0-85CAD9A48A2F}"/>
                </a:ext>
              </a:extLst>
            </xdr:cNvPr>
            <xdr:cNvSpPr txBox="1"/>
          </xdr:nvSpPr>
          <xdr:spPr>
            <a:xfrm>
              <a:off x="2993620" y="38088916"/>
              <a:ext cx="1220932" cy="305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050" b="0" i="0">
                  <a:latin typeface="Cambria Math" panose="02040503050406030204" pitchFamily="18" charset="0"/>
                </a:rPr>
                <a:t>𝑉 ̃=(𝑘_𝐵 𝑇)/𝑃</a:t>
              </a:r>
              <a:endParaRPr lang="it-IT" sz="1050"/>
            </a:p>
          </xdr:txBody>
        </xdr:sp>
      </mc:Fallback>
    </mc:AlternateContent>
    <xdr:clientData/>
  </xdr:oneCellAnchor>
  <xdr:oneCellAnchor>
    <xdr:from>
      <xdr:col>9</xdr:col>
      <xdr:colOff>92652</xdr:colOff>
      <xdr:row>242</xdr:row>
      <xdr:rowOff>114300</xdr:rowOff>
    </xdr:from>
    <xdr:ext cx="65" cy="172227"/>
    <xdr:sp macro="" textlink="">
      <xdr:nvSpPr>
        <xdr:cNvPr id="23" name="CasellaDiTesto 22">
          <a:extLst>
            <a:ext uri="{FF2B5EF4-FFF2-40B4-BE49-F238E27FC236}">
              <a16:creationId xmlns:a16="http://schemas.microsoft.com/office/drawing/2014/main" id="{BC625490-4416-46DD-A26B-7CF981F66E98}"/>
            </a:ext>
          </a:extLst>
        </xdr:cNvPr>
        <xdr:cNvSpPr txBox="1"/>
      </xdr:nvSpPr>
      <xdr:spPr>
        <a:xfrm>
          <a:off x="12238932" y="4652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1047750</xdr:colOff>
      <xdr:row>273</xdr:row>
      <xdr:rowOff>147205</xdr:rowOff>
    </xdr:from>
    <xdr:ext cx="1448666" cy="578172"/>
    <xdr:sp macro="" textlink="">
      <xdr:nvSpPr>
        <xdr:cNvPr id="24" name="CasellaDiTesto 23">
          <a:extLst>
            <a:ext uri="{FF2B5EF4-FFF2-40B4-BE49-F238E27FC236}">
              <a16:creationId xmlns:a16="http://schemas.microsoft.com/office/drawing/2014/main" id="{660CDE29-6897-42E3-BD5C-A80C43C21237}"/>
            </a:ext>
          </a:extLst>
        </xdr:cNvPr>
        <xdr:cNvSpPr txBox="1"/>
      </xdr:nvSpPr>
      <xdr:spPr>
        <a:xfrm>
          <a:off x="1047750" y="5232896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0</xdr:col>
      <xdr:colOff>839932</xdr:colOff>
      <xdr:row>274</xdr:row>
      <xdr:rowOff>25977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asellaDiTesto 24">
              <a:extLst>
                <a:ext uri="{FF2B5EF4-FFF2-40B4-BE49-F238E27FC236}">
                  <a16:creationId xmlns:a16="http://schemas.microsoft.com/office/drawing/2014/main" id="{1000FF1C-B379-4F39-B878-A95BA1BC30FB}"/>
                </a:ext>
              </a:extLst>
            </xdr:cNvPr>
            <xdr:cNvSpPr txBox="1"/>
          </xdr:nvSpPr>
          <xdr:spPr>
            <a:xfrm>
              <a:off x="839932" y="5239823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5" name="CasellaDiTesto 24">
              <a:extLst>
                <a:ext uri="{FF2B5EF4-FFF2-40B4-BE49-F238E27FC236}">
                  <a16:creationId xmlns:a16="http://schemas.microsoft.com/office/drawing/2014/main" id="{1000FF1C-B379-4F39-B878-A95BA1BC30FB}"/>
                </a:ext>
              </a:extLst>
            </xdr:cNvPr>
            <xdr:cNvSpPr txBox="1"/>
          </xdr:nvSpPr>
          <xdr:spPr>
            <a:xfrm>
              <a:off x="839932" y="5239823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𝐶_𝑃 )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3</xdr:col>
      <xdr:colOff>92652</xdr:colOff>
      <xdr:row>290</xdr:row>
      <xdr:rowOff>114300</xdr:rowOff>
    </xdr:from>
    <xdr:ext cx="65" cy="172227"/>
    <xdr:sp macro="" textlink="">
      <xdr:nvSpPr>
        <xdr:cNvPr id="26" name="CasellaDiTesto 25">
          <a:extLst>
            <a:ext uri="{FF2B5EF4-FFF2-40B4-BE49-F238E27FC236}">
              <a16:creationId xmlns:a16="http://schemas.microsoft.com/office/drawing/2014/main" id="{53E2BFA3-28EF-44EC-93E2-FEE1461B5E35}"/>
            </a:ext>
          </a:extLst>
        </xdr:cNvPr>
        <xdr:cNvSpPr txBox="1"/>
      </xdr:nvSpPr>
      <xdr:spPr>
        <a:xfrm>
          <a:off x="4283652" y="55412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5</xdr:col>
      <xdr:colOff>112569</xdr:colOff>
      <xdr:row>278</xdr:row>
      <xdr:rowOff>77931</xdr:rowOff>
    </xdr:from>
    <xdr:to>
      <xdr:col>6</xdr:col>
      <xdr:colOff>207819</xdr:colOff>
      <xdr:row>290</xdr:row>
      <xdr:rowOff>0</xdr:rowOff>
    </xdr:to>
    <xdr:sp macro="" textlink="">
      <xdr:nvSpPr>
        <xdr:cNvPr id="27" name="CasellaDiTesto 26">
          <a:extLst>
            <a:ext uri="{FF2B5EF4-FFF2-40B4-BE49-F238E27FC236}">
              <a16:creationId xmlns:a16="http://schemas.microsoft.com/office/drawing/2014/main" id="{56DC98C1-3A06-4CDC-A598-150DEDBC742C}"/>
            </a:ext>
          </a:extLst>
        </xdr:cNvPr>
        <xdr:cNvSpPr txBox="1"/>
      </xdr:nvSpPr>
      <xdr:spPr>
        <a:xfrm>
          <a:off x="7359189" y="53181711"/>
          <a:ext cx="1428750" cy="211662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710046</xdr:colOff>
      <xdr:row>274</xdr:row>
      <xdr:rowOff>69272</xdr:rowOff>
    </xdr:from>
    <xdr:to>
      <xdr:col>5</xdr:col>
      <xdr:colOff>762000</xdr:colOff>
      <xdr:row>278</xdr:row>
      <xdr:rowOff>25976</xdr:rowOff>
    </xdr:to>
    <xdr:cxnSp macro="">
      <xdr:nvCxnSpPr>
        <xdr:cNvPr id="28" name="Connettore 2 27">
          <a:extLst>
            <a:ext uri="{FF2B5EF4-FFF2-40B4-BE49-F238E27FC236}">
              <a16:creationId xmlns:a16="http://schemas.microsoft.com/office/drawing/2014/main" id="{5CA536D9-7C4C-488C-ADBA-DD15E39EC8F8}"/>
            </a:ext>
          </a:extLst>
        </xdr:cNvPr>
        <xdr:cNvCxnSpPr/>
      </xdr:nvCxnSpPr>
      <xdr:spPr>
        <a:xfrm>
          <a:off x="7956666" y="52441532"/>
          <a:ext cx="51954" cy="6882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92652</xdr:colOff>
      <xdr:row>290</xdr:row>
      <xdr:rowOff>114300</xdr:rowOff>
    </xdr:from>
    <xdr:ext cx="65" cy="172227"/>
    <xdr:sp macro="" textlink="">
      <xdr:nvSpPr>
        <xdr:cNvPr id="29" name="CasellaDiTesto 28">
          <a:extLst>
            <a:ext uri="{FF2B5EF4-FFF2-40B4-BE49-F238E27FC236}">
              <a16:creationId xmlns:a16="http://schemas.microsoft.com/office/drawing/2014/main" id="{45B133CC-C60A-4FD1-B34D-DBDAD141912D}"/>
            </a:ext>
          </a:extLst>
        </xdr:cNvPr>
        <xdr:cNvSpPr txBox="1"/>
      </xdr:nvSpPr>
      <xdr:spPr>
        <a:xfrm>
          <a:off x="12238932" y="55412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242455</xdr:colOff>
      <xdr:row>280</xdr:row>
      <xdr:rowOff>0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asellaDiTesto 29">
              <a:extLst>
                <a:ext uri="{FF2B5EF4-FFF2-40B4-BE49-F238E27FC236}">
                  <a16:creationId xmlns:a16="http://schemas.microsoft.com/office/drawing/2014/main" id="{D98044A5-91D0-4105-9903-F0E666D6ED44}"/>
                </a:ext>
              </a:extLst>
            </xdr:cNvPr>
            <xdr:cNvSpPr txBox="1"/>
          </xdr:nvSpPr>
          <xdr:spPr>
            <a:xfrm>
              <a:off x="242455" y="53469540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acc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+</m:t>
                    </m:r>
                    <m:acc>
                      <m:accPr>
                        <m:chr m:val="̃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sub>
                        </m:sSub>
                      </m:e>
                    </m:acc>
                    <m:r>
                      <a:rPr lang="it-IT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30" name="CasellaDiTesto 29">
              <a:extLst>
                <a:ext uri="{FF2B5EF4-FFF2-40B4-BE49-F238E27FC236}">
                  <a16:creationId xmlns:a16="http://schemas.microsoft.com/office/drawing/2014/main" id="{D98044A5-91D0-4105-9903-F0E666D6ED44}"/>
                </a:ext>
              </a:extLst>
            </xdr:cNvPr>
            <xdr:cNvSpPr txBox="1"/>
          </xdr:nvSpPr>
          <xdr:spPr>
            <a:xfrm>
              <a:off x="242455" y="53469540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𝐶_𝑃 ) ̃=𝑅+(𝐶_𝑉 ) ̃  </a:t>
              </a:r>
              <a:endParaRPr lang="it-IT" sz="1800"/>
            </a:p>
          </xdr:txBody>
        </xdr:sp>
      </mc:Fallback>
    </mc:AlternateContent>
    <xdr:clientData/>
  </xdr:oneCellAnchor>
  <xdr:twoCellAnchor>
    <xdr:from>
      <xdr:col>0</xdr:col>
      <xdr:colOff>0</xdr:colOff>
      <xdr:row>277</xdr:row>
      <xdr:rowOff>173182</xdr:rowOff>
    </xdr:from>
    <xdr:to>
      <xdr:col>0</xdr:col>
      <xdr:colOff>1982932</xdr:colOff>
      <xdr:row>279</xdr:row>
      <xdr:rowOff>147204</xdr:rowOff>
    </xdr:to>
    <xdr:sp macro="" textlink="">
      <xdr:nvSpPr>
        <xdr:cNvPr id="31" name="CasellaDiTesto 30">
          <a:extLst>
            <a:ext uri="{FF2B5EF4-FFF2-40B4-BE49-F238E27FC236}">
              <a16:creationId xmlns:a16="http://schemas.microsoft.com/office/drawing/2014/main" id="{FE9070C3-433E-4E24-AFCC-79A2DCAC5CFE}"/>
            </a:ext>
          </a:extLst>
        </xdr:cNvPr>
        <xdr:cNvSpPr txBox="1"/>
      </xdr:nvSpPr>
      <xdr:spPr>
        <a:xfrm>
          <a:off x="0" y="53094082"/>
          <a:ext cx="1982932" cy="339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from Mayer's</a:t>
          </a:r>
          <a:r>
            <a:rPr lang="it-IT" sz="1400" baseline="0"/>
            <a:t> relation:</a:t>
          </a:r>
          <a:endParaRPr lang="it-IT" sz="1400"/>
        </a:p>
      </xdr:txBody>
    </xdr:sp>
    <xdr:clientData/>
  </xdr:twoCellAnchor>
  <xdr:twoCellAnchor>
    <xdr:from>
      <xdr:col>0</xdr:col>
      <xdr:colOff>710046</xdr:colOff>
      <xdr:row>108</xdr:row>
      <xdr:rowOff>147204</xdr:rowOff>
    </xdr:from>
    <xdr:to>
      <xdr:col>2</xdr:col>
      <xdr:colOff>207819</xdr:colOff>
      <xdr:row>110</xdr:row>
      <xdr:rowOff>129886</xdr:rowOff>
    </xdr:to>
    <xdr:sp macro="" textlink="">
      <xdr:nvSpPr>
        <xdr:cNvPr id="32" name="CasellaDiTesto 31">
          <a:extLst>
            <a:ext uri="{FF2B5EF4-FFF2-40B4-BE49-F238E27FC236}">
              <a16:creationId xmlns:a16="http://schemas.microsoft.com/office/drawing/2014/main" id="{D86C0746-FAAD-4FE7-9E43-51E7AC2DBA04}"/>
            </a:ext>
          </a:extLst>
        </xdr:cNvPr>
        <xdr:cNvSpPr txBox="1"/>
      </xdr:nvSpPr>
      <xdr:spPr>
        <a:xfrm>
          <a:off x="710046" y="20660244"/>
          <a:ext cx="2682933" cy="409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ho utilizzato però questa</a:t>
          </a:r>
          <a:r>
            <a:rPr lang="it-IT" sz="1100" baseline="0"/>
            <a:t> riscrittura:</a:t>
          </a:r>
          <a:endParaRPr lang="it-IT" sz="1100"/>
        </a:p>
      </xdr:txBody>
    </xdr:sp>
    <xdr:clientData/>
  </xdr:twoCellAnchor>
  <xdr:oneCellAnchor>
    <xdr:from>
      <xdr:col>0</xdr:col>
      <xdr:colOff>733423</xdr:colOff>
      <xdr:row>110</xdr:row>
      <xdr:rowOff>79664</xdr:rowOff>
    </xdr:from>
    <xdr:ext cx="2816804" cy="626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asellaDiTesto 32">
              <a:extLst>
                <a:ext uri="{FF2B5EF4-FFF2-40B4-BE49-F238E27FC236}">
                  <a16:creationId xmlns:a16="http://schemas.microsoft.com/office/drawing/2014/main" id="{181F39EF-CB63-402B-8D43-4598FCB998F4}"/>
                </a:ext>
              </a:extLst>
            </xdr:cNvPr>
            <xdr:cNvSpPr txBox="1"/>
          </xdr:nvSpPr>
          <xdr:spPr>
            <a:xfrm>
              <a:off x="733423" y="21019424"/>
              <a:ext cx="2816804" cy="626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Q</m:t>
                      </m:r>
                    </m:e>
                    <m:sub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rot</m:t>
                      </m:r>
                    </m:sub>
                    <m:sup>
                      <m: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3</m:t>
                      </m:r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D</m:t>
                      </m:r>
                    </m:sup>
                  </m:sSubSup>
                  <m:r>
                    <a:rPr lang="it-IT" sz="20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 </m:t>
                  </m:r>
                  <m:f>
                    <m:fPr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it-IT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sty m:val="p"/>
                            </m:rP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π</m:t>
                          </m:r>
                        </m:e>
                      </m:rad>
                    </m:num>
                    <m:den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σ</m:t>
                      </m:r>
                    </m:den>
                  </m:f>
                  <m:r>
                    <a:rPr lang="it-IT" sz="20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⋅</m:t>
                  </m:r>
                  <m:rad>
                    <m:radPr>
                      <m:degHide m:val="on"/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it-IT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T</m:t>
                              </m:r>
                            </m:e>
                            <m:sup>
                              <m: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3</m:t>
                              </m:r>
                            </m:sup>
                          </m:sSup>
                        </m:num>
                        <m:den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x</m:t>
                              </m:r>
                            </m:sub>
                          </m:sSub>
                          <m: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⋅</m:t>
                          </m:r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y</m:t>
                              </m:r>
                            </m:sub>
                          </m:sSub>
                          <m: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⋅</m:t>
                          </m:r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z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r>
                <a:rPr lang="it-IT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33" name="CasellaDiTesto 32">
              <a:extLst>
                <a:ext uri="{FF2B5EF4-FFF2-40B4-BE49-F238E27FC236}">
                  <a16:creationId xmlns:a16="http://schemas.microsoft.com/office/drawing/2014/main" id="{181F39EF-CB63-402B-8D43-4598FCB998F4}"/>
                </a:ext>
              </a:extLst>
            </xdr:cNvPr>
            <xdr:cNvSpPr txBox="1"/>
          </xdr:nvSpPr>
          <xdr:spPr>
            <a:xfrm>
              <a:off x="733423" y="21019424"/>
              <a:ext cx="2816804" cy="626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Q_rot^3D=  √π/σ⋅√(T^3/(θ_x⋅θ_y⋅θ_z ))</a:t>
              </a:r>
              <a:r>
                <a:rPr lang="it-IT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</a:p>
          </xdr:txBody>
        </xdr:sp>
      </mc:Fallback>
    </mc:AlternateContent>
    <xdr:clientData/>
  </xdr:oneCellAnchor>
  <xdr:twoCellAnchor>
    <xdr:from>
      <xdr:col>0</xdr:col>
      <xdr:colOff>666750</xdr:colOff>
      <xdr:row>115</xdr:row>
      <xdr:rowOff>34636</xdr:rowOff>
    </xdr:from>
    <xdr:to>
      <xdr:col>2</xdr:col>
      <xdr:colOff>112569</xdr:colOff>
      <xdr:row>119</xdr:row>
      <xdr:rowOff>95249</xdr:rowOff>
    </xdr:to>
    <xdr:sp macro="" textlink="">
      <xdr:nvSpPr>
        <xdr:cNvPr id="34" name="CasellaDiTesto 33">
          <a:extLst>
            <a:ext uri="{FF2B5EF4-FFF2-40B4-BE49-F238E27FC236}">
              <a16:creationId xmlns:a16="http://schemas.microsoft.com/office/drawing/2014/main" id="{0474E5BD-64DD-4F37-AA97-AC98C08D9773}"/>
            </a:ext>
          </a:extLst>
        </xdr:cNvPr>
        <xdr:cNvSpPr txBox="1"/>
      </xdr:nvSpPr>
      <xdr:spPr>
        <a:xfrm>
          <a:off x="666750" y="21896416"/>
          <a:ext cx="2630979" cy="792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dove le </a:t>
          </a:r>
          <a:r>
            <a:rPr lang="el-GR" sz="1100"/>
            <a:t>ϑ</a:t>
          </a:r>
          <a:r>
            <a:rPr lang="it-IT" sz="1100"/>
            <a:t> rappresentano le temperature rotazionali rispetto agli assi x, y e z</a:t>
          </a:r>
        </a:p>
      </xdr:txBody>
    </xdr:sp>
    <xdr:clientData/>
  </xdr:twoCellAnchor>
  <xdr:twoCellAnchor>
    <xdr:from>
      <xdr:col>2</xdr:col>
      <xdr:colOff>207818</xdr:colOff>
      <xdr:row>220</xdr:row>
      <xdr:rowOff>147205</xdr:rowOff>
    </xdr:from>
    <xdr:to>
      <xdr:col>3</xdr:col>
      <xdr:colOff>493568</xdr:colOff>
      <xdr:row>222</xdr:row>
      <xdr:rowOff>60614</xdr:rowOff>
    </xdr:to>
    <xdr:sp macro="" textlink="">
      <xdr:nvSpPr>
        <xdr:cNvPr id="35" name="CasellaDiTesto 34">
          <a:extLst>
            <a:ext uri="{FF2B5EF4-FFF2-40B4-BE49-F238E27FC236}">
              <a16:creationId xmlns:a16="http://schemas.microsoft.com/office/drawing/2014/main" id="{D3A206FE-BF47-4D24-A972-4374E7900406}"/>
            </a:ext>
          </a:extLst>
        </xdr:cNvPr>
        <xdr:cNvSpPr txBox="1"/>
      </xdr:nvSpPr>
      <xdr:spPr>
        <a:xfrm>
          <a:off x="3392978" y="42407725"/>
          <a:ext cx="1291590" cy="2791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for S_trasl</a:t>
          </a:r>
          <a:r>
            <a:rPr lang="it-IT" sz="1100" baseline="0"/>
            <a:t> : </a:t>
          </a:r>
          <a:endParaRPr lang="it-IT" sz="1100"/>
        </a:p>
      </xdr:txBody>
    </xdr:sp>
    <xdr:clientData/>
  </xdr:twoCellAnchor>
  <xdr:twoCellAnchor editAs="oneCell">
    <xdr:from>
      <xdr:col>3</xdr:col>
      <xdr:colOff>43297</xdr:colOff>
      <xdr:row>220</xdr:row>
      <xdr:rowOff>17320</xdr:rowOff>
    </xdr:from>
    <xdr:to>
      <xdr:col>3</xdr:col>
      <xdr:colOff>1853047</xdr:colOff>
      <xdr:row>222</xdr:row>
      <xdr:rowOff>83556</xdr:rowOff>
    </xdr:to>
    <xdr:pic>
      <xdr:nvPicPr>
        <xdr:cNvPr id="36" name="Immagine 35">
          <a:extLst>
            <a:ext uri="{FF2B5EF4-FFF2-40B4-BE49-F238E27FC236}">
              <a16:creationId xmlns:a16="http://schemas.microsoft.com/office/drawing/2014/main" id="{0D8B9549-1B33-4705-A28F-C82083A80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4297" y="42277840"/>
          <a:ext cx="1809750" cy="431996"/>
        </a:xfrm>
        <a:prstGeom prst="rect">
          <a:avLst/>
        </a:prstGeom>
      </xdr:spPr>
    </xdr:pic>
    <xdr:clientData/>
  </xdr:twoCellAnchor>
  <xdr:oneCellAnchor>
    <xdr:from>
      <xdr:col>0</xdr:col>
      <xdr:colOff>450271</xdr:colOff>
      <xdr:row>63</xdr:row>
      <xdr:rowOff>17317</xdr:rowOff>
    </xdr:from>
    <xdr:ext cx="2764849" cy="10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asellaDiTesto 36">
              <a:extLst>
                <a:ext uri="{FF2B5EF4-FFF2-40B4-BE49-F238E27FC236}">
                  <a16:creationId xmlns:a16="http://schemas.microsoft.com/office/drawing/2014/main" id="{7E42016F-5D16-48D7-940F-7246324796A0}"/>
                </a:ext>
              </a:extLst>
            </xdr:cNvPr>
            <xdr:cNvSpPr txBox="1"/>
          </xdr:nvSpPr>
          <xdr:spPr>
            <a:xfrm>
              <a:off x="450271" y="11988337"/>
              <a:ext cx="2764849" cy="10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vib</m:t>
                        </m:r>
                      </m:sub>
                    </m:sSub>
                    <m:r>
                      <a:rPr lang="it-IT" sz="1800" b="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∏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𝑣𝑖𝑏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it-IT" sz="1800" b="0" i="0">
                                <a:latin typeface="Cambria Math" panose="02040503050406030204" pitchFamily="18" charset="0"/>
                              </a:rPr>
                              <m:t>exp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⁡(−</m:t>
                            </m:r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it-IT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den>
                            </m:f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 )</m:t>
                            </m:r>
                          </m:num>
                          <m:den>
                            <m:r>
                              <a:rPr lang="it-IT" sz="1800" b="0" i="0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m:rPr>
                                <m:sty m:val="p"/>
                              </m:rPr>
                              <a:rPr lang="it-IT" sz="1800" b="0" i="0">
                                <a:latin typeface="Cambria Math" panose="02040503050406030204" pitchFamily="18" charset="0"/>
                              </a:rPr>
                              <m:t>exp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⁡(−</m:t>
                            </m:r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den>
                            </m:f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37" name="CasellaDiTesto 36">
              <a:extLst>
                <a:ext uri="{FF2B5EF4-FFF2-40B4-BE49-F238E27FC236}">
                  <a16:creationId xmlns:a16="http://schemas.microsoft.com/office/drawing/2014/main" id="{7E42016F-5D16-48D7-940F-7246324796A0}"/>
                </a:ext>
              </a:extLst>
            </xdr:cNvPr>
            <xdr:cNvSpPr txBox="1"/>
          </xdr:nvSpPr>
          <xdr:spPr>
            <a:xfrm>
              <a:off x="450271" y="11988337"/>
              <a:ext cx="2764849" cy="10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Q_vib=∏_(𝑖=1)^(𝑁_𝑣𝑖𝑏)▒(exp⁡(−(ℎ𝜈_𝑖)/(</a:t>
              </a:r>
              <a:r>
                <a:rPr lang="it-IT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〖2𝑘〗_𝐵 𝑇) </a:t>
              </a:r>
              <a:r>
                <a:rPr lang="it-IT" sz="1800" b="0" i="0">
                  <a:latin typeface="Cambria Math" panose="02040503050406030204" pitchFamily="18" charset="0"/>
                </a:rPr>
                <a:t> ))/(1−exp⁡(−(ℎ𝜈_𝑖)/(𝑘_𝐵 𝑇)))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9</xdr:col>
      <xdr:colOff>92652</xdr:colOff>
      <xdr:row>243</xdr:row>
      <xdr:rowOff>114300</xdr:rowOff>
    </xdr:from>
    <xdr:ext cx="65" cy="172227"/>
    <xdr:sp macro="" textlink="">
      <xdr:nvSpPr>
        <xdr:cNvPr id="38" name="CasellaDiTesto 37">
          <a:extLst>
            <a:ext uri="{FF2B5EF4-FFF2-40B4-BE49-F238E27FC236}">
              <a16:creationId xmlns:a16="http://schemas.microsoft.com/office/drawing/2014/main" id="{A2D92C02-06A9-4F8B-856E-FE7B166C4773}"/>
            </a:ext>
          </a:extLst>
        </xdr:cNvPr>
        <xdr:cNvSpPr txBox="1"/>
      </xdr:nvSpPr>
      <xdr:spPr>
        <a:xfrm>
          <a:off x="12238932" y="467029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352424</xdr:colOff>
      <xdr:row>84</xdr:row>
      <xdr:rowOff>19049</xdr:rowOff>
    </xdr:from>
    <xdr:ext cx="3379644" cy="688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415D8D02-06AA-4D16-AC96-B1A77409C1BB}"/>
                </a:ext>
              </a:extLst>
            </xdr:cNvPr>
            <xdr:cNvSpPr txBox="1"/>
          </xdr:nvSpPr>
          <xdr:spPr>
            <a:xfrm>
              <a:off x="352424" y="16066769"/>
              <a:ext cx="3379644" cy="688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𝑡𝑟𝑎𝑠𝑙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𝜋</m:t>
                                </m:r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h</m:t>
                                    </m:r>
                                  </m:e>
                                  <m:sup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3/2</m:t>
                        </m:r>
                      </m:sup>
                    </m:sSup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415D8D02-06AA-4D16-AC96-B1A77409C1BB}"/>
                </a:ext>
              </a:extLst>
            </xdr:cNvPr>
            <xdr:cNvSpPr txBox="1"/>
          </xdr:nvSpPr>
          <xdr:spPr>
            <a:xfrm>
              <a:off x="352424" y="16066769"/>
              <a:ext cx="3379644" cy="688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𝑄_𝑡𝑟𝑎𝑠𝑙=((2𝜋𝑚𝑘_𝐵 𝑇)/ℎ^2 )^(3/2)⋅(𝑘_𝐵 𝑇)/𝑃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0</xdr:colOff>
      <xdr:row>103</xdr:row>
      <xdr:rowOff>43296</xdr:rowOff>
    </xdr:from>
    <xdr:ext cx="4141643" cy="5727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F913986-1B34-4249-B5A6-685F98806078}"/>
                </a:ext>
              </a:extLst>
            </xdr:cNvPr>
            <xdr:cNvSpPr txBox="1"/>
          </xdr:nvSpPr>
          <xdr:spPr>
            <a:xfrm>
              <a:off x="0" y="19588596"/>
              <a:ext cx="4141643" cy="5727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𝑟𝑜𝑡</m:t>
                        </m:r>
                      </m:sub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𝐷</m:t>
                        </m:r>
                      </m:sup>
                    </m:sSubSup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8</m:t>
                        </m:r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𝑇𝐼</m:t>
                        </m:r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𝜎</m:t>
                        </m:r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F913986-1B34-4249-B5A6-685F98806078}"/>
                </a:ext>
              </a:extLst>
            </xdr:cNvPr>
            <xdr:cNvSpPr txBox="1"/>
          </xdr:nvSpPr>
          <xdr:spPr>
            <a:xfrm>
              <a:off x="0" y="19588596"/>
              <a:ext cx="4141643" cy="5727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𝑄_𝑟𝑜𝑡^2𝐷=(8𝜋^2 𝑘_𝐵 𝑇𝐼)/(𝜎ℎ^2 )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126</xdr:row>
      <xdr:rowOff>0</xdr:rowOff>
    </xdr:from>
    <xdr:ext cx="4141643" cy="452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550BA73B-B46F-4BD2-9017-598853D6B824}"/>
                </a:ext>
              </a:extLst>
            </xdr:cNvPr>
            <xdr:cNvSpPr txBox="1"/>
          </xdr:nvSpPr>
          <xdr:spPr>
            <a:xfrm>
              <a:off x="0" y="23888700"/>
              <a:ext cx="414164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𝑒𝑙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sub>
                            </m:s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550BA73B-B46F-4BD2-9017-598853D6B824}"/>
                </a:ext>
              </a:extLst>
            </xdr:cNvPr>
            <xdr:cNvSpPr txBox="1"/>
          </xdr:nvSpPr>
          <xdr:spPr>
            <a:xfrm>
              <a:off x="0" y="23888700"/>
              <a:ext cx="414164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Q_el=𝑔_𝑒𝑙⋅𝑒^(−𝐸_𝑒𝑙/(𝑘_𝐵 𝑇))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216478</xdr:colOff>
      <xdr:row>153</xdr:row>
      <xdr:rowOff>114298</xdr:rowOff>
    </xdr:from>
    <xdr:ext cx="3717348" cy="575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74BBF5E2-CD77-47BB-A643-DC932852BE7F}"/>
                </a:ext>
              </a:extLst>
            </xdr:cNvPr>
            <xdr:cNvSpPr txBox="1"/>
          </xdr:nvSpPr>
          <xdr:spPr>
            <a:xfrm>
              <a:off x="216478" y="29443678"/>
              <a:ext cx="3717348" cy="575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8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𝑡𝑟𝑎𝑠𝑙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Sup>
                      <m:sSub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𝑟𝑜𝑡</m:t>
                        </m:r>
                      </m:sub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𝐷</m:t>
                        </m:r>
                      </m:sup>
                    </m:sSubSup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𝑣𝑖𝑏</m:t>
                        </m:r>
                      </m:sub>
                    </m:sSub>
                  </m:oMath>
                </m:oMathPara>
              </a14:m>
              <a:endParaRPr lang="it-IT" sz="1800" b="0"/>
            </a:p>
            <a:p>
              <a:endParaRPr lang="it-IT" sz="18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74BBF5E2-CD77-47BB-A643-DC932852BE7F}"/>
                </a:ext>
              </a:extLst>
            </xdr:cNvPr>
            <xdr:cNvSpPr txBox="1"/>
          </xdr:nvSpPr>
          <xdr:spPr>
            <a:xfrm>
              <a:off x="216478" y="29443678"/>
              <a:ext cx="3717348" cy="575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𝑄=𝑄_𝑡𝑟𝑎𝑠𝑙×𝑄_𝑒𝑙×𝑄_𝑟𝑜𝑡^2𝐷×𝑄_𝑣𝑖𝑏</a:t>
              </a:r>
              <a:endParaRPr lang="it-IT" sz="1800" b="0"/>
            </a:p>
            <a:p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0</xdr:colOff>
      <xdr:row>140</xdr:row>
      <xdr:rowOff>0</xdr:rowOff>
    </xdr:from>
    <xdr:ext cx="4141643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C41C7717-0C92-428F-8D1A-3FCECECB59B1}"/>
                </a:ext>
              </a:extLst>
            </xdr:cNvPr>
            <xdr:cNvSpPr txBox="1"/>
          </xdr:nvSpPr>
          <xdr:spPr>
            <a:xfrm>
              <a:off x="0" y="26753820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C41C7717-0C92-428F-8D1A-3FCECECB59B1}"/>
                </a:ext>
              </a:extLst>
            </xdr:cNvPr>
            <xdr:cNvSpPr txBox="1"/>
          </xdr:nvSpPr>
          <xdr:spPr>
            <a:xfrm>
              <a:off x="0" y="26753820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Q_el=𝑔_𝑒𝑙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141</xdr:row>
      <xdr:rowOff>138545</xdr:rowOff>
    </xdr:from>
    <xdr:ext cx="4141643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347ADA80-222D-492A-80D3-77B55FACBC6D}"/>
                </a:ext>
              </a:extLst>
            </xdr:cNvPr>
            <xdr:cNvSpPr txBox="1"/>
          </xdr:nvSpPr>
          <xdr:spPr>
            <a:xfrm>
              <a:off x="0" y="27090485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347ADA80-222D-492A-80D3-77B55FACBC6D}"/>
                </a:ext>
              </a:extLst>
            </xdr:cNvPr>
            <xdr:cNvSpPr txBox="1"/>
          </xdr:nvSpPr>
          <xdr:spPr>
            <a:xfrm>
              <a:off x="0" y="27090485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Q_el=1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993198</xdr:colOff>
      <xdr:row>175</xdr:row>
      <xdr:rowOff>140278</xdr:rowOff>
    </xdr:from>
    <xdr:ext cx="1448666" cy="297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94C08F2B-7E52-4055-871C-D1A1E1CB1229}"/>
                </a:ext>
              </a:extLst>
            </xdr:cNvPr>
            <xdr:cNvSpPr txBox="1"/>
          </xdr:nvSpPr>
          <xdr:spPr>
            <a:xfrm>
              <a:off x="993198" y="33851158"/>
              <a:ext cx="1448666" cy="297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94C08F2B-7E52-4055-871C-D1A1E1CB1229}"/>
                </a:ext>
              </a:extLst>
            </xdr:cNvPr>
            <xdr:cNvSpPr txBox="1"/>
          </xdr:nvSpPr>
          <xdr:spPr>
            <a:xfrm>
              <a:off x="993198" y="33851158"/>
              <a:ext cx="1448666" cy="297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𝑈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857250</xdr:colOff>
      <xdr:row>201</xdr:row>
      <xdr:rowOff>173182</xdr:rowOff>
    </xdr:from>
    <xdr:ext cx="1448666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33A6DA32-FB4E-49C1-9B3F-AF273717240B}"/>
                </a:ext>
              </a:extLst>
            </xdr:cNvPr>
            <xdr:cNvSpPr txBox="1"/>
          </xdr:nvSpPr>
          <xdr:spPr>
            <a:xfrm>
              <a:off x="857250" y="38837062"/>
              <a:ext cx="1448666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33A6DA32-FB4E-49C1-9B3F-AF273717240B}"/>
                </a:ext>
              </a:extLst>
            </xdr:cNvPr>
            <xdr:cNvSpPr txBox="1"/>
          </xdr:nvSpPr>
          <xdr:spPr>
            <a:xfrm>
              <a:off x="857250" y="38837062"/>
              <a:ext cx="1448666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𝑆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4</xdr:col>
      <xdr:colOff>92652</xdr:colOff>
      <xdr:row>218</xdr:row>
      <xdr:rowOff>114300</xdr:rowOff>
    </xdr:from>
    <xdr:ext cx="65" cy="172227"/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6321CFFB-AD84-4680-BA9A-D71B6864A502}"/>
            </a:ext>
          </a:extLst>
        </xdr:cNvPr>
        <xdr:cNvSpPr txBox="1"/>
      </xdr:nvSpPr>
      <xdr:spPr>
        <a:xfrm>
          <a:off x="6333432" y="42001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1047750</xdr:colOff>
      <xdr:row>225</xdr:row>
      <xdr:rowOff>147205</xdr:rowOff>
    </xdr:from>
    <xdr:ext cx="1448666" cy="578172"/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4C6929C6-CE55-4A33-859A-F0A41DC70BEF}"/>
            </a:ext>
          </a:extLst>
        </xdr:cNvPr>
        <xdr:cNvSpPr txBox="1"/>
      </xdr:nvSpPr>
      <xdr:spPr>
        <a:xfrm>
          <a:off x="1047750" y="4337546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0</xdr:col>
      <xdr:colOff>839932</xdr:colOff>
      <xdr:row>226</xdr:row>
      <xdr:rowOff>25977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5495E27F-C4A6-4F76-BE37-1D8F44375219}"/>
                </a:ext>
              </a:extLst>
            </xdr:cNvPr>
            <xdr:cNvSpPr txBox="1"/>
          </xdr:nvSpPr>
          <xdr:spPr>
            <a:xfrm>
              <a:off x="839932" y="4344473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5495E27F-C4A6-4F76-BE37-1D8F44375219}"/>
                </a:ext>
              </a:extLst>
            </xdr:cNvPr>
            <xdr:cNvSpPr txBox="1"/>
          </xdr:nvSpPr>
          <xdr:spPr>
            <a:xfrm>
              <a:off x="839932" y="4344473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𝐶_𝑉 )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3</xdr:col>
      <xdr:colOff>92652</xdr:colOff>
      <xdr:row>242</xdr:row>
      <xdr:rowOff>114300</xdr:rowOff>
    </xdr:from>
    <xdr:ext cx="65" cy="172227"/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BE7D28CB-A2D5-4EAA-A82B-A368947E9CF8}"/>
            </a:ext>
          </a:extLst>
        </xdr:cNvPr>
        <xdr:cNvSpPr txBox="1"/>
      </xdr:nvSpPr>
      <xdr:spPr>
        <a:xfrm>
          <a:off x="4283652" y="4652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3</xdr:col>
      <xdr:colOff>92652</xdr:colOff>
      <xdr:row>265</xdr:row>
      <xdr:rowOff>114300</xdr:rowOff>
    </xdr:from>
    <xdr:ext cx="65" cy="172227"/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A896B165-DA81-4A4B-A017-9B443B6E867A}"/>
            </a:ext>
          </a:extLst>
        </xdr:cNvPr>
        <xdr:cNvSpPr txBox="1"/>
      </xdr:nvSpPr>
      <xdr:spPr>
        <a:xfrm>
          <a:off x="4283652" y="507796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9</xdr:col>
      <xdr:colOff>92652</xdr:colOff>
      <xdr:row>218</xdr:row>
      <xdr:rowOff>114300</xdr:rowOff>
    </xdr:from>
    <xdr:ext cx="65" cy="172227"/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A422C332-E2DA-410D-A25A-CFAEE6839798}"/>
            </a:ext>
          </a:extLst>
        </xdr:cNvPr>
        <xdr:cNvSpPr txBox="1"/>
      </xdr:nvSpPr>
      <xdr:spPr>
        <a:xfrm>
          <a:off x="12238932" y="42001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144605</xdr:colOff>
      <xdr:row>138</xdr:row>
      <xdr:rowOff>140276</xdr:rowOff>
    </xdr:from>
    <xdr:ext cx="1791131" cy="252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sellaDiTesto 16">
              <a:extLst>
                <a:ext uri="{FF2B5EF4-FFF2-40B4-BE49-F238E27FC236}">
                  <a16:creationId xmlns:a16="http://schemas.microsoft.com/office/drawing/2014/main" id="{45E330C8-ED33-4E8B-9085-F2806CCAEBCC}"/>
                </a:ext>
              </a:extLst>
            </xdr:cNvPr>
            <xdr:cNvSpPr txBox="1"/>
          </xdr:nvSpPr>
          <xdr:spPr>
            <a:xfrm>
              <a:off x="144605" y="26497856"/>
              <a:ext cx="179113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600" b="0" i="1">
                        <a:latin typeface="Cambria Math" panose="02040503050406030204" pitchFamily="18" charset="0"/>
                      </a:rPr>
                      <m:t>𝑠𝑖𝑐𝑐𝑜𝑚𝑒</m:t>
                    </m:r>
                    <m:r>
                      <a:rPr lang="it-IT" sz="16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≫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it-IT" sz="16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7" name="CasellaDiTesto 16">
              <a:extLst>
                <a:ext uri="{FF2B5EF4-FFF2-40B4-BE49-F238E27FC236}">
                  <a16:creationId xmlns:a16="http://schemas.microsoft.com/office/drawing/2014/main" id="{45E330C8-ED33-4E8B-9085-F2806CCAEBCC}"/>
                </a:ext>
              </a:extLst>
            </xdr:cNvPr>
            <xdr:cNvSpPr txBox="1"/>
          </xdr:nvSpPr>
          <xdr:spPr>
            <a:xfrm>
              <a:off x="144605" y="26497856"/>
              <a:ext cx="179113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600" b="0" i="0">
                  <a:latin typeface="Cambria Math" panose="02040503050406030204" pitchFamily="18" charset="0"/>
                </a:rPr>
                <a:t>𝑠𝑖𝑐𝑐𝑜𝑚𝑒 𝐸_𝑒𝑙≫𝐾_𝑏 𝑇: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5</xdr:col>
      <xdr:colOff>251112</xdr:colOff>
      <xdr:row>178</xdr:row>
      <xdr:rowOff>60614</xdr:rowOff>
    </xdr:from>
    <xdr:to>
      <xdr:col>6</xdr:col>
      <xdr:colOff>588817</xdr:colOff>
      <xdr:row>188</xdr:row>
      <xdr:rowOff>8659</xdr:rowOff>
    </xdr:to>
    <xdr:sp macro="" textlink="">
      <xdr:nvSpPr>
        <xdr:cNvPr id="18" name="CasellaDiTesto 17">
          <a:extLst>
            <a:ext uri="{FF2B5EF4-FFF2-40B4-BE49-F238E27FC236}">
              <a16:creationId xmlns:a16="http://schemas.microsoft.com/office/drawing/2014/main" id="{A3CAC3CA-A7A9-41DA-9D4A-4B4017393A8E}"/>
            </a:ext>
          </a:extLst>
        </xdr:cNvPr>
        <xdr:cNvSpPr txBox="1"/>
      </xdr:nvSpPr>
      <xdr:spPr>
        <a:xfrm>
          <a:off x="7497732" y="34381094"/>
          <a:ext cx="1671205" cy="17920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112569</xdr:colOff>
      <xdr:row>230</xdr:row>
      <xdr:rowOff>77931</xdr:rowOff>
    </xdr:from>
    <xdr:to>
      <xdr:col>6</xdr:col>
      <xdr:colOff>207819</xdr:colOff>
      <xdr:row>242</xdr:row>
      <xdr:rowOff>0</xdr:rowOff>
    </xdr:to>
    <xdr:sp macro="" textlink="">
      <xdr:nvSpPr>
        <xdr:cNvPr id="19" name="CasellaDiTesto 18">
          <a:extLst>
            <a:ext uri="{FF2B5EF4-FFF2-40B4-BE49-F238E27FC236}">
              <a16:creationId xmlns:a16="http://schemas.microsoft.com/office/drawing/2014/main" id="{2540711C-1296-42FE-84BA-B0B88AEFCD2F}"/>
            </a:ext>
          </a:extLst>
        </xdr:cNvPr>
        <xdr:cNvSpPr txBox="1"/>
      </xdr:nvSpPr>
      <xdr:spPr>
        <a:xfrm>
          <a:off x="7359189" y="44281551"/>
          <a:ext cx="1428750" cy="212424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710046</xdr:colOff>
      <xdr:row>226</xdr:row>
      <xdr:rowOff>69272</xdr:rowOff>
    </xdr:from>
    <xdr:to>
      <xdr:col>5</xdr:col>
      <xdr:colOff>762000</xdr:colOff>
      <xdr:row>230</xdr:row>
      <xdr:rowOff>25976</xdr:rowOff>
    </xdr:to>
    <xdr:cxnSp macro="">
      <xdr:nvCxnSpPr>
        <xdr:cNvPr id="20" name="Connettore 2 19">
          <a:extLst>
            <a:ext uri="{FF2B5EF4-FFF2-40B4-BE49-F238E27FC236}">
              <a16:creationId xmlns:a16="http://schemas.microsoft.com/office/drawing/2014/main" id="{95717D17-A2DB-4CED-BD5C-491D3F8E7DED}"/>
            </a:ext>
          </a:extLst>
        </xdr:cNvPr>
        <xdr:cNvCxnSpPr/>
      </xdr:nvCxnSpPr>
      <xdr:spPr>
        <a:xfrm>
          <a:off x="7956666" y="43488032"/>
          <a:ext cx="51954" cy="74156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787977</xdr:colOff>
      <xdr:row>176</xdr:row>
      <xdr:rowOff>95250</xdr:rowOff>
    </xdr:from>
    <xdr:to>
      <xdr:col>5</xdr:col>
      <xdr:colOff>796636</xdr:colOff>
      <xdr:row>177</xdr:row>
      <xdr:rowOff>216477</xdr:rowOff>
    </xdr:to>
    <xdr:cxnSp macro="">
      <xdr:nvCxnSpPr>
        <xdr:cNvPr id="21" name="Connettore 2 20">
          <a:extLst>
            <a:ext uri="{FF2B5EF4-FFF2-40B4-BE49-F238E27FC236}">
              <a16:creationId xmlns:a16="http://schemas.microsoft.com/office/drawing/2014/main" id="{FFE5D3BE-12D7-400C-9659-49FB939F8B26}"/>
            </a:ext>
          </a:extLst>
        </xdr:cNvPr>
        <xdr:cNvCxnSpPr/>
      </xdr:nvCxnSpPr>
      <xdr:spPr>
        <a:xfrm>
          <a:off x="8034597" y="33996630"/>
          <a:ext cx="8659" cy="3041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943840</xdr:colOff>
      <xdr:row>198</xdr:row>
      <xdr:rowOff>34636</xdr:rowOff>
    </xdr:from>
    <xdr:ext cx="1220932" cy="3057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asellaDiTesto 21">
              <a:extLst>
                <a:ext uri="{FF2B5EF4-FFF2-40B4-BE49-F238E27FC236}">
                  <a16:creationId xmlns:a16="http://schemas.microsoft.com/office/drawing/2014/main" id="{4CD5DB16-4D10-4EBA-9783-52FC95B66927}"/>
                </a:ext>
              </a:extLst>
            </xdr:cNvPr>
            <xdr:cNvSpPr txBox="1"/>
          </xdr:nvSpPr>
          <xdr:spPr>
            <a:xfrm>
              <a:off x="2993620" y="38088916"/>
              <a:ext cx="1220932" cy="305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05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acc>
                    <m:r>
                      <a:rPr lang="it-IT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05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05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05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it-IT" sz="1050"/>
            </a:p>
          </xdr:txBody>
        </xdr:sp>
      </mc:Choice>
      <mc:Fallback xmlns="">
        <xdr:sp macro="" textlink="">
          <xdr:nvSpPr>
            <xdr:cNvPr id="22" name="CasellaDiTesto 21">
              <a:extLst>
                <a:ext uri="{FF2B5EF4-FFF2-40B4-BE49-F238E27FC236}">
                  <a16:creationId xmlns:a16="http://schemas.microsoft.com/office/drawing/2014/main" id="{4CD5DB16-4D10-4EBA-9783-52FC95B66927}"/>
                </a:ext>
              </a:extLst>
            </xdr:cNvPr>
            <xdr:cNvSpPr txBox="1"/>
          </xdr:nvSpPr>
          <xdr:spPr>
            <a:xfrm>
              <a:off x="2993620" y="38088916"/>
              <a:ext cx="1220932" cy="305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050" b="0" i="0">
                  <a:latin typeface="Cambria Math" panose="02040503050406030204" pitchFamily="18" charset="0"/>
                </a:rPr>
                <a:t>𝑉 ̃=(𝑘_𝐵 𝑇)/𝑃</a:t>
              </a:r>
              <a:endParaRPr lang="it-IT" sz="1050"/>
            </a:p>
          </xdr:txBody>
        </xdr:sp>
      </mc:Fallback>
    </mc:AlternateContent>
    <xdr:clientData/>
  </xdr:oneCellAnchor>
  <xdr:oneCellAnchor>
    <xdr:from>
      <xdr:col>9</xdr:col>
      <xdr:colOff>92652</xdr:colOff>
      <xdr:row>242</xdr:row>
      <xdr:rowOff>114300</xdr:rowOff>
    </xdr:from>
    <xdr:ext cx="65" cy="172227"/>
    <xdr:sp macro="" textlink="">
      <xdr:nvSpPr>
        <xdr:cNvPr id="23" name="CasellaDiTesto 22">
          <a:extLst>
            <a:ext uri="{FF2B5EF4-FFF2-40B4-BE49-F238E27FC236}">
              <a16:creationId xmlns:a16="http://schemas.microsoft.com/office/drawing/2014/main" id="{B3073093-0A38-4E92-9068-34C785A34800}"/>
            </a:ext>
          </a:extLst>
        </xdr:cNvPr>
        <xdr:cNvSpPr txBox="1"/>
      </xdr:nvSpPr>
      <xdr:spPr>
        <a:xfrm>
          <a:off x="12238932" y="4652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1047750</xdr:colOff>
      <xdr:row>273</xdr:row>
      <xdr:rowOff>147205</xdr:rowOff>
    </xdr:from>
    <xdr:ext cx="1448666" cy="578172"/>
    <xdr:sp macro="" textlink="">
      <xdr:nvSpPr>
        <xdr:cNvPr id="24" name="CasellaDiTesto 23">
          <a:extLst>
            <a:ext uri="{FF2B5EF4-FFF2-40B4-BE49-F238E27FC236}">
              <a16:creationId xmlns:a16="http://schemas.microsoft.com/office/drawing/2014/main" id="{0868EC02-23E3-4E04-8FA8-856AA528EF6A}"/>
            </a:ext>
          </a:extLst>
        </xdr:cNvPr>
        <xdr:cNvSpPr txBox="1"/>
      </xdr:nvSpPr>
      <xdr:spPr>
        <a:xfrm>
          <a:off x="1047750" y="5232896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0</xdr:col>
      <xdr:colOff>839932</xdr:colOff>
      <xdr:row>274</xdr:row>
      <xdr:rowOff>25977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asellaDiTesto 24">
              <a:extLst>
                <a:ext uri="{FF2B5EF4-FFF2-40B4-BE49-F238E27FC236}">
                  <a16:creationId xmlns:a16="http://schemas.microsoft.com/office/drawing/2014/main" id="{EDDBCC58-687D-45DB-9BD4-E2411E64D909}"/>
                </a:ext>
              </a:extLst>
            </xdr:cNvPr>
            <xdr:cNvSpPr txBox="1"/>
          </xdr:nvSpPr>
          <xdr:spPr>
            <a:xfrm>
              <a:off x="839932" y="5239823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5" name="CasellaDiTesto 24">
              <a:extLst>
                <a:ext uri="{FF2B5EF4-FFF2-40B4-BE49-F238E27FC236}">
                  <a16:creationId xmlns:a16="http://schemas.microsoft.com/office/drawing/2014/main" id="{EDDBCC58-687D-45DB-9BD4-E2411E64D909}"/>
                </a:ext>
              </a:extLst>
            </xdr:cNvPr>
            <xdr:cNvSpPr txBox="1"/>
          </xdr:nvSpPr>
          <xdr:spPr>
            <a:xfrm>
              <a:off x="839932" y="5239823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𝐶_𝑃 )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3</xdr:col>
      <xdr:colOff>92652</xdr:colOff>
      <xdr:row>290</xdr:row>
      <xdr:rowOff>114300</xdr:rowOff>
    </xdr:from>
    <xdr:ext cx="65" cy="172227"/>
    <xdr:sp macro="" textlink="">
      <xdr:nvSpPr>
        <xdr:cNvPr id="26" name="CasellaDiTesto 25">
          <a:extLst>
            <a:ext uri="{FF2B5EF4-FFF2-40B4-BE49-F238E27FC236}">
              <a16:creationId xmlns:a16="http://schemas.microsoft.com/office/drawing/2014/main" id="{BBB80813-C87B-4CAC-A655-A4816CEA3F76}"/>
            </a:ext>
          </a:extLst>
        </xdr:cNvPr>
        <xdr:cNvSpPr txBox="1"/>
      </xdr:nvSpPr>
      <xdr:spPr>
        <a:xfrm>
          <a:off x="4283652" y="55412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5</xdr:col>
      <xdr:colOff>112569</xdr:colOff>
      <xdr:row>278</xdr:row>
      <xdr:rowOff>77931</xdr:rowOff>
    </xdr:from>
    <xdr:to>
      <xdr:col>6</xdr:col>
      <xdr:colOff>207819</xdr:colOff>
      <xdr:row>290</xdr:row>
      <xdr:rowOff>0</xdr:rowOff>
    </xdr:to>
    <xdr:sp macro="" textlink="">
      <xdr:nvSpPr>
        <xdr:cNvPr id="27" name="CasellaDiTesto 26">
          <a:extLst>
            <a:ext uri="{FF2B5EF4-FFF2-40B4-BE49-F238E27FC236}">
              <a16:creationId xmlns:a16="http://schemas.microsoft.com/office/drawing/2014/main" id="{42BB0843-DD98-4B59-81E4-5F7BCD8102D9}"/>
            </a:ext>
          </a:extLst>
        </xdr:cNvPr>
        <xdr:cNvSpPr txBox="1"/>
      </xdr:nvSpPr>
      <xdr:spPr>
        <a:xfrm>
          <a:off x="7359189" y="53181711"/>
          <a:ext cx="1428750" cy="211662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710046</xdr:colOff>
      <xdr:row>274</xdr:row>
      <xdr:rowOff>69272</xdr:rowOff>
    </xdr:from>
    <xdr:to>
      <xdr:col>5</xdr:col>
      <xdr:colOff>762000</xdr:colOff>
      <xdr:row>278</xdr:row>
      <xdr:rowOff>25976</xdr:rowOff>
    </xdr:to>
    <xdr:cxnSp macro="">
      <xdr:nvCxnSpPr>
        <xdr:cNvPr id="28" name="Connettore 2 27">
          <a:extLst>
            <a:ext uri="{FF2B5EF4-FFF2-40B4-BE49-F238E27FC236}">
              <a16:creationId xmlns:a16="http://schemas.microsoft.com/office/drawing/2014/main" id="{4605EAFE-F53C-41FA-949C-C001BE5AE98E}"/>
            </a:ext>
          </a:extLst>
        </xdr:cNvPr>
        <xdr:cNvCxnSpPr/>
      </xdr:nvCxnSpPr>
      <xdr:spPr>
        <a:xfrm>
          <a:off x="7956666" y="52441532"/>
          <a:ext cx="51954" cy="6882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92652</xdr:colOff>
      <xdr:row>290</xdr:row>
      <xdr:rowOff>114300</xdr:rowOff>
    </xdr:from>
    <xdr:ext cx="65" cy="172227"/>
    <xdr:sp macro="" textlink="">
      <xdr:nvSpPr>
        <xdr:cNvPr id="29" name="CasellaDiTesto 28">
          <a:extLst>
            <a:ext uri="{FF2B5EF4-FFF2-40B4-BE49-F238E27FC236}">
              <a16:creationId xmlns:a16="http://schemas.microsoft.com/office/drawing/2014/main" id="{BF8CB178-705B-4261-9073-CAA5E6072BF1}"/>
            </a:ext>
          </a:extLst>
        </xdr:cNvPr>
        <xdr:cNvSpPr txBox="1"/>
      </xdr:nvSpPr>
      <xdr:spPr>
        <a:xfrm>
          <a:off x="12238932" y="55412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242455</xdr:colOff>
      <xdr:row>280</xdr:row>
      <xdr:rowOff>0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asellaDiTesto 29">
              <a:extLst>
                <a:ext uri="{FF2B5EF4-FFF2-40B4-BE49-F238E27FC236}">
                  <a16:creationId xmlns:a16="http://schemas.microsoft.com/office/drawing/2014/main" id="{714A0480-1A59-483C-8512-A32EE96DB43A}"/>
                </a:ext>
              </a:extLst>
            </xdr:cNvPr>
            <xdr:cNvSpPr txBox="1"/>
          </xdr:nvSpPr>
          <xdr:spPr>
            <a:xfrm>
              <a:off x="242455" y="53469540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acc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+</m:t>
                    </m:r>
                    <m:acc>
                      <m:accPr>
                        <m:chr m:val="̃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sub>
                        </m:sSub>
                      </m:e>
                    </m:acc>
                    <m:r>
                      <a:rPr lang="it-IT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30" name="CasellaDiTesto 29">
              <a:extLst>
                <a:ext uri="{FF2B5EF4-FFF2-40B4-BE49-F238E27FC236}">
                  <a16:creationId xmlns:a16="http://schemas.microsoft.com/office/drawing/2014/main" id="{714A0480-1A59-483C-8512-A32EE96DB43A}"/>
                </a:ext>
              </a:extLst>
            </xdr:cNvPr>
            <xdr:cNvSpPr txBox="1"/>
          </xdr:nvSpPr>
          <xdr:spPr>
            <a:xfrm>
              <a:off x="242455" y="53469540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𝐶_𝑃 ) ̃=𝑅+(𝐶_𝑉 ) ̃  </a:t>
              </a:r>
              <a:endParaRPr lang="it-IT" sz="1800"/>
            </a:p>
          </xdr:txBody>
        </xdr:sp>
      </mc:Fallback>
    </mc:AlternateContent>
    <xdr:clientData/>
  </xdr:oneCellAnchor>
  <xdr:twoCellAnchor>
    <xdr:from>
      <xdr:col>0</xdr:col>
      <xdr:colOff>0</xdr:colOff>
      <xdr:row>277</xdr:row>
      <xdr:rowOff>173182</xdr:rowOff>
    </xdr:from>
    <xdr:to>
      <xdr:col>0</xdr:col>
      <xdr:colOff>1982932</xdr:colOff>
      <xdr:row>279</xdr:row>
      <xdr:rowOff>147204</xdr:rowOff>
    </xdr:to>
    <xdr:sp macro="" textlink="">
      <xdr:nvSpPr>
        <xdr:cNvPr id="31" name="CasellaDiTesto 30">
          <a:extLst>
            <a:ext uri="{FF2B5EF4-FFF2-40B4-BE49-F238E27FC236}">
              <a16:creationId xmlns:a16="http://schemas.microsoft.com/office/drawing/2014/main" id="{9D808AF2-3FED-427E-AB36-067C50BACBE6}"/>
            </a:ext>
          </a:extLst>
        </xdr:cNvPr>
        <xdr:cNvSpPr txBox="1"/>
      </xdr:nvSpPr>
      <xdr:spPr>
        <a:xfrm>
          <a:off x="0" y="53094082"/>
          <a:ext cx="1982932" cy="339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from Mayer's</a:t>
          </a:r>
          <a:r>
            <a:rPr lang="it-IT" sz="1400" baseline="0"/>
            <a:t> relation:</a:t>
          </a:r>
          <a:endParaRPr lang="it-IT" sz="1400"/>
        </a:p>
      </xdr:txBody>
    </xdr:sp>
    <xdr:clientData/>
  </xdr:twoCellAnchor>
  <xdr:twoCellAnchor>
    <xdr:from>
      <xdr:col>2</xdr:col>
      <xdr:colOff>207818</xdr:colOff>
      <xdr:row>220</xdr:row>
      <xdr:rowOff>147205</xdr:rowOff>
    </xdr:from>
    <xdr:to>
      <xdr:col>3</xdr:col>
      <xdr:colOff>493568</xdr:colOff>
      <xdr:row>222</xdr:row>
      <xdr:rowOff>60614</xdr:rowOff>
    </xdr:to>
    <xdr:sp macro="" textlink="">
      <xdr:nvSpPr>
        <xdr:cNvPr id="35" name="CasellaDiTesto 34">
          <a:extLst>
            <a:ext uri="{FF2B5EF4-FFF2-40B4-BE49-F238E27FC236}">
              <a16:creationId xmlns:a16="http://schemas.microsoft.com/office/drawing/2014/main" id="{7A3A1731-24D8-4FC5-9E62-78FBF64CEA93}"/>
            </a:ext>
          </a:extLst>
        </xdr:cNvPr>
        <xdr:cNvSpPr txBox="1"/>
      </xdr:nvSpPr>
      <xdr:spPr>
        <a:xfrm>
          <a:off x="3392978" y="42407725"/>
          <a:ext cx="1291590" cy="2791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for S_trasl</a:t>
          </a:r>
          <a:r>
            <a:rPr lang="it-IT" sz="1100" baseline="0"/>
            <a:t> : </a:t>
          </a:r>
          <a:endParaRPr lang="it-IT" sz="1100"/>
        </a:p>
      </xdr:txBody>
    </xdr:sp>
    <xdr:clientData/>
  </xdr:twoCellAnchor>
  <xdr:twoCellAnchor editAs="oneCell">
    <xdr:from>
      <xdr:col>3</xdr:col>
      <xdr:colOff>43297</xdr:colOff>
      <xdr:row>220</xdr:row>
      <xdr:rowOff>17320</xdr:rowOff>
    </xdr:from>
    <xdr:to>
      <xdr:col>3</xdr:col>
      <xdr:colOff>1853047</xdr:colOff>
      <xdr:row>222</xdr:row>
      <xdr:rowOff>83556</xdr:rowOff>
    </xdr:to>
    <xdr:pic>
      <xdr:nvPicPr>
        <xdr:cNvPr id="36" name="Immagine 35">
          <a:extLst>
            <a:ext uri="{FF2B5EF4-FFF2-40B4-BE49-F238E27FC236}">
              <a16:creationId xmlns:a16="http://schemas.microsoft.com/office/drawing/2014/main" id="{83D742C2-7166-4C60-A294-4BF8129F8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4297" y="42277840"/>
          <a:ext cx="1809750" cy="431996"/>
        </a:xfrm>
        <a:prstGeom prst="rect">
          <a:avLst/>
        </a:prstGeom>
      </xdr:spPr>
    </xdr:pic>
    <xdr:clientData/>
  </xdr:twoCellAnchor>
  <xdr:oneCellAnchor>
    <xdr:from>
      <xdr:col>0</xdr:col>
      <xdr:colOff>450271</xdr:colOff>
      <xdr:row>63</xdr:row>
      <xdr:rowOff>17317</xdr:rowOff>
    </xdr:from>
    <xdr:ext cx="2764849" cy="9172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asellaDiTesto 36">
              <a:extLst>
                <a:ext uri="{FF2B5EF4-FFF2-40B4-BE49-F238E27FC236}">
                  <a16:creationId xmlns:a16="http://schemas.microsoft.com/office/drawing/2014/main" id="{FF5F348D-78E6-49AD-825D-5E840FF61EC1}"/>
                </a:ext>
              </a:extLst>
            </xdr:cNvPr>
            <xdr:cNvSpPr txBox="1"/>
          </xdr:nvSpPr>
          <xdr:spPr>
            <a:xfrm>
              <a:off x="450271" y="11980717"/>
              <a:ext cx="2764849" cy="917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vib</m:t>
                        </m:r>
                      </m:sub>
                    </m:sSub>
                    <m:r>
                      <a:rPr lang="it-IT" sz="1800" b="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∏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𝑣𝑖𝑏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800" b="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it-IT" sz="1800" b="0" i="0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m:rPr>
                                <m:sty m:val="p"/>
                              </m:rPr>
                              <a:rPr lang="it-IT" sz="1800" b="0" i="0">
                                <a:latin typeface="Cambria Math" panose="02040503050406030204" pitchFamily="18" charset="0"/>
                              </a:rPr>
                              <m:t>exp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⁡(−</m:t>
                            </m:r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den>
                            </m:f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37" name="CasellaDiTesto 36">
              <a:extLst>
                <a:ext uri="{FF2B5EF4-FFF2-40B4-BE49-F238E27FC236}">
                  <a16:creationId xmlns:a16="http://schemas.microsoft.com/office/drawing/2014/main" id="{FF5F348D-78E6-49AD-825D-5E840FF61EC1}"/>
                </a:ext>
              </a:extLst>
            </xdr:cNvPr>
            <xdr:cNvSpPr txBox="1"/>
          </xdr:nvSpPr>
          <xdr:spPr>
            <a:xfrm>
              <a:off x="450271" y="11980717"/>
              <a:ext cx="2764849" cy="917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Q_vib=∏_(𝑖=1)^(𝑁_𝑣𝑖𝑏)▒1/(1−exp⁡(−(ℎ𝜈_𝑖)/(𝑘_𝐵 𝑇)))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9</xdr:col>
      <xdr:colOff>92652</xdr:colOff>
      <xdr:row>243</xdr:row>
      <xdr:rowOff>114300</xdr:rowOff>
    </xdr:from>
    <xdr:ext cx="65" cy="172227"/>
    <xdr:sp macro="" textlink="">
      <xdr:nvSpPr>
        <xdr:cNvPr id="38" name="CasellaDiTesto 37">
          <a:extLst>
            <a:ext uri="{FF2B5EF4-FFF2-40B4-BE49-F238E27FC236}">
              <a16:creationId xmlns:a16="http://schemas.microsoft.com/office/drawing/2014/main" id="{F65A8A9F-A206-497D-BF79-D90F477CB3FB}"/>
            </a:ext>
          </a:extLst>
        </xdr:cNvPr>
        <xdr:cNvSpPr txBox="1"/>
      </xdr:nvSpPr>
      <xdr:spPr>
        <a:xfrm>
          <a:off x="12238932" y="467029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937261</xdr:colOff>
      <xdr:row>110</xdr:row>
      <xdr:rowOff>144780</xdr:rowOff>
    </xdr:from>
    <xdr:ext cx="1097280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asellaDiTesto 39">
              <a:extLst>
                <a:ext uri="{FF2B5EF4-FFF2-40B4-BE49-F238E27FC236}">
                  <a16:creationId xmlns:a16="http://schemas.microsoft.com/office/drawing/2014/main" id="{F3F2C8CB-81ED-415A-9C88-AC5CBBCAF10E}"/>
                </a:ext>
              </a:extLst>
            </xdr:cNvPr>
            <xdr:cNvSpPr txBox="1"/>
          </xdr:nvSpPr>
          <xdr:spPr>
            <a:xfrm>
              <a:off x="937261" y="21084540"/>
              <a:ext cx="109728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it-IT" sz="1400" b="0" i="1">
                      <a:latin typeface="Cambria Math" panose="02040503050406030204" pitchFamily="18" charset="0"/>
                    </a:rPr>
                    <m:t>𝐼</m:t>
                  </m:r>
                  <m:r>
                    <a:rPr lang="it-IT" sz="1400" b="0" i="1">
                      <a:latin typeface="Cambria Math" panose="02040503050406030204" pitchFamily="18" charset="0"/>
                    </a:rPr>
                    <m:t>=</m:t>
                  </m:r>
                  <m:r>
                    <a:rPr lang="it-IT" sz="1400" b="0" i="1">
                      <a:latin typeface="Cambria Math" panose="02040503050406030204" pitchFamily="18" charset="0"/>
                    </a:rPr>
                    <m:t>𝜇</m:t>
                  </m:r>
                  <m:r>
                    <a:rPr lang="it-IT" sz="1400" b="0" i="1">
                      <a:latin typeface="Cambria Math" panose="02040503050406030204" pitchFamily="18" charset="0"/>
                    </a:rPr>
                    <m:t>⋅</m:t>
                  </m:r>
                  <m:sSubSup>
                    <m:sSubSupPr>
                      <m:ctrlPr>
                        <a:rPr lang="it-IT" sz="14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it-IT" sz="1400" b="0" i="1"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it-IT" sz="1400" b="0" i="1">
                          <a:latin typeface="Cambria Math" panose="02040503050406030204" pitchFamily="18" charset="0"/>
                        </a:rPr>
                        <m:t>𝑒</m:t>
                      </m:r>
                    </m:sub>
                    <m:sup>
                      <m:r>
                        <a:rPr lang="it-IT" sz="14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it-IT" sz="1400"/>
                <a:t> =</a:t>
              </a:r>
            </a:p>
          </xdr:txBody>
        </xdr:sp>
      </mc:Choice>
      <mc:Fallback xmlns="">
        <xdr:sp macro="" textlink="">
          <xdr:nvSpPr>
            <xdr:cNvPr id="40" name="CasellaDiTesto 39">
              <a:extLst>
                <a:ext uri="{FF2B5EF4-FFF2-40B4-BE49-F238E27FC236}">
                  <a16:creationId xmlns:a16="http://schemas.microsoft.com/office/drawing/2014/main" id="{F3F2C8CB-81ED-415A-9C88-AC5CBBCAF10E}"/>
                </a:ext>
              </a:extLst>
            </xdr:cNvPr>
            <xdr:cNvSpPr txBox="1"/>
          </xdr:nvSpPr>
          <xdr:spPr>
            <a:xfrm>
              <a:off x="937261" y="21084540"/>
              <a:ext cx="109728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0" i="0">
                  <a:latin typeface="Cambria Math" panose="02040503050406030204" pitchFamily="18" charset="0"/>
                </a:rPr>
                <a:t>𝐼=𝜇⋅𝑟_𝑒^2</a:t>
              </a:r>
              <a:r>
                <a:rPr lang="it-IT" sz="14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434340</xdr:colOff>
      <xdr:row>113</xdr:row>
      <xdr:rowOff>60960</xdr:rowOff>
    </xdr:from>
    <xdr:ext cx="2184689" cy="1280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asellaDiTesto 40">
              <a:extLst>
                <a:ext uri="{FF2B5EF4-FFF2-40B4-BE49-F238E27FC236}">
                  <a16:creationId xmlns:a16="http://schemas.microsoft.com/office/drawing/2014/main" id="{48FBED4E-5E54-46B1-B973-E8B6732FABA1}"/>
                </a:ext>
              </a:extLst>
            </xdr:cNvPr>
            <xdr:cNvSpPr txBox="1"/>
          </xdr:nvSpPr>
          <xdr:spPr>
            <a:xfrm>
              <a:off x="434340" y="21556980"/>
              <a:ext cx="2184689" cy="1280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0"/>
                <a:t>Massa</a:t>
              </a:r>
              <a:r>
                <a:rPr lang="it-IT" sz="1400" b="0" baseline="0"/>
                <a:t> ridotta 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400" b="0" i="1">
                        <a:latin typeface="Cambria Math" panose="02040503050406030204" pitchFamily="18" charset="0"/>
                      </a:rPr>
                      <m:t>𝜇</m:t>
                    </m:r>
                    <m:r>
                      <a:rPr lang="it-IT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4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it-IT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it-IT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4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it-IT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it-IT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4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it-IT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it-IT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it-IT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4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it-IT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it-IT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it-IT" sz="1400"/>
            </a:p>
            <a:p>
              <a:endParaRPr lang="it-IT" sz="1400"/>
            </a:p>
            <a:p>
              <a:r>
                <a:rPr lang="it-IT" sz="1400"/>
                <a:t>Distanza all'equilibrio: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it-IT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it-IT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it-IT" sz="1400"/>
            </a:p>
          </xdr:txBody>
        </xdr:sp>
      </mc:Choice>
      <mc:Fallback xmlns="">
        <xdr:sp macro="" textlink="">
          <xdr:nvSpPr>
            <xdr:cNvPr id="41" name="CasellaDiTesto 40">
              <a:extLst>
                <a:ext uri="{FF2B5EF4-FFF2-40B4-BE49-F238E27FC236}">
                  <a16:creationId xmlns:a16="http://schemas.microsoft.com/office/drawing/2014/main" id="{48FBED4E-5E54-46B1-B973-E8B6732FABA1}"/>
                </a:ext>
              </a:extLst>
            </xdr:cNvPr>
            <xdr:cNvSpPr txBox="1"/>
          </xdr:nvSpPr>
          <xdr:spPr>
            <a:xfrm>
              <a:off x="434340" y="21556980"/>
              <a:ext cx="2184689" cy="1280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0"/>
                <a:t>Massa</a:t>
              </a:r>
              <a:r>
                <a:rPr lang="it-IT" sz="1400" b="0" baseline="0"/>
                <a:t> ridotta </a:t>
              </a:r>
            </a:p>
            <a:p>
              <a:r>
                <a:rPr lang="it-IT" sz="1400" b="0" i="0">
                  <a:latin typeface="Cambria Math" panose="02040503050406030204" pitchFamily="18" charset="0"/>
                </a:rPr>
                <a:t>𝜇=(𝑚_1 𝑚_2)/(𝑚_1+𝑚_2 )= </a:t>
              </a:r>
              <a:endParaRPr lang="it-IT" sz="1400"/>
            </a:p>
            <a:p>
              <a:endParaRPr lang="it-IT" sz="1400"/>
            </a:p>
            <a:p>
              <a:r>
                <a:rPr lang="it-IT" sz="1400"/>
                <a:t>Distanza all'equilibrio:</a:t>
              </a:r>
            </a:p>
            <a:p>
              <a:r>
                <a:rPr lang="it-IT" sz="1400" b="0" i="0">
                  <a:latin typeface="Cambria Math" panose="02040503050406030204" pitchFamily="18" charset="0"/>
                </a:rPr>
                <a:t>𝑟_𝑒= </a:t>
              </a:r>
              <a:endParaRPr lang="it-IT" sz="1400"/>
            </a:p>
          </xdr:txBody>
        </xdr:sp>
      </mc:Fallback>
    </mc:AlternateContent>
    <xdr:clientData/>
  </xdr:oneCellAnchor>
  <xdr:oneCellAnchor>
    <xdr:from>
      <xdr:col>9</xdr:col>
      <xdr:colOff>92652</xdr:colOff>
      <xdr:row>243</xdr:row>
      <xdr:rowOff>114300</xdr:rowOff>
    </xdr:from>
    <xdr:ext cx="65" cy="172227"/>
    <xdr:sp macro="" textlink="">
      <xdr:nvSpPr>
        <xdr:cNvPr id="42" name="CasellaDiTesto 41">
          <a:extLst>
            <a:ext uri="{FF2B5EF4-FFF2-40B4-BE49-F238E27FC236}">
              <a16:creationId xmlns:a16="http://schemas.microsoft.com/office/drawing/2014/main" id="{F5244625-E8D2-45A8-81DD-B961C5CE9584}"/>
            </a:ext>
          </a:extLst>
        </xdr:cNvPr>
        <xdr:cNvSpPr txBox="1"/>
      </xdr:nvSpPr>
      <xdr:spPr>
        <a:xfrm>
          <a:off x="12238932" y="4652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6</xdr:col>
      <xdr:colOff>259080</xdr:colOff>
      <xdr:row>196</xdr:row>
      <xdr:rowOff>182880</xdr:rowOff>
    </xdr:from>
    <xdr:ext cx="1097280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asellaDiTesto 42">
              <a:extLst>
                <a:ext uri="{FF2B5EF4-FFF2-40B4-BE49-F238E27FC236}">
                  <a16:creationId xmlns:a16="http://schemas.microsoft.com/office/drawing/2014/main" id="{E423A2C0-DAA2-4180-BA7E-8C03C87905B9}"/>
                </a:ext>
              </a:extLst>
            </xdr:cNvPr>
            <xdr:cNvSpPr txBox="1"/>
          </xdr:nvSpPr>
          <xdr:spPr>
            <a:xfrm>
              <a:off x="8839200" y="37833300"/>
              <a:ext cx="109728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it-IT" sz="1400" b="0" i="1">
                      <a:latin typeface="Cambria Math" panose="02040503050406030204" pitchFamily="18" charset="0"/>
                    </a:rPr>
                    <m:t>𝐼</m:t>
                  </m:r>
                  <m:r>
                    <a:rPr lang="it-IT" sz="1400" b="0" i="1">
                      <a:latin typeface="Cambria Math" panose="02040503050406030204" pitchFamily="18" charset="0"/>
                    </a:rPr>
                    <m:t>=</m:t>
                  </m:r>
                  <m:r>
                    <a:rPr lang="it-IT" sz="1400" b="0" i="1">
                      <a:latin typeface="Cambria Math" panose="02040503050406030204" pitchFamily="18" charset="0"/>
                    </a:rPr>
                    <m:t>𝜇</m:t>
                  </m:r>
                  <m:r>
                    <a:rPr lang="it-IT" sz="1400" b="0" i="1">
                      <a:latin typeface="Cambria Math" panose="02040503050406030204" pitchFamily="18" charset="0"/>
                    </a:rPr>
                    <m:t>⋅</m:t>
                  </m:r>
                  <m:sSubSup>
                    <m:sSubSupPr>
                      <m:ctrlPr>
                        <a:rPr lang="it-IT" sz="14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it-IT" sz="1400" b="0" i="1"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it-IT" sz="1400" b="0" i="1">
                          <a:latin typeface="Cambria Math" panose="02040503050406030204" pitchFamily="18" charset="0"/>
                        </a:rPr>
                        <m:t>𝑒</m:t>
                      </m:r>
                    </m:sub>
                    <m:sup>
                      <m:r>
                        <a:rPr lang="it-IT" sz="14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it-IT" sz="1400"/>
                <a:t> =</a:t>
              </a:r>
            </a:p>
          </xdr:txBody>
        </xdr:sp>
      </mc:Choice>
      <mc:Fallback xmlns="">
        <xdr:sp macro="" textlink="">
          <xdr:nvSpPr>
            <xdr:cNvPr id="43" name="CasellaDiTesto 42">
              <a:extLst>
                <a:ext uri="{FF2B5EF4-FFF2-40B4-BE49-F238E27FC236}">
                  <a16:creationId xmlns:a16="http://schemas.microsoft.com/office/drawing/2014/main" id="{E423A2C0-DAA2-4180-BA7E-8C03C87905B9}"/>
                </a:ext>
              </a:extLst>
            </xdr:cNvPr>
            <xdr:cNvSpPr txBox="1"/>
          </xdr:nvSpPr>
          <xdr:spPr>
            <a:xfrm>
              <a:off x="8839200" y="37833300"/>
              <a:ext cx="109728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0" i="0">
                  <a:latin typeface="Cambria Math" panose="02040503050406030204" pitchFamily="18" charset="0"/>
                </a:rPr>
                <a:t>𝐼=𝜇⋅𝑟_𝑒^2</a:t>
              </a:r>
              <a:r>
                <a:rPr lang="it-IT" sz="1400"/>
                <a:t> =</a:t>
              </a:r>
            </a:p>
          </xdr:txBody>
        </xdr:sp>
      </mc:Fallback>
    </mc:AlternateContent>
    <xdr:clientData/>
  </xdr:oneCellAnchor>
  <xdr:twoCellAnchor editAs="oneCell">
    <xdr:from>
      <xdr:col>8</xdr:col>
      <xdr:colOff>259080</xdr:colOff>
      <xdr:row>6</xdr:row>
      <xdr:rowOff>60960</xdr:rowOff>
    </xdr:from>
    <xdr:to>
      <xdr:col>10</xdr:col>
      <xdr:colOff>175473</xdr:colOff>
      <xdr:row>12</xdr:row>
      <xdr:rowOff>175382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7AE4754D-D0AF-FB34-448A-8D07B88DC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54740" y="1242060"/>
          <a:ext cx="2461473" cy="14098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449580</xdr:colOff>
      <xdr:row>21</xdr:row>
      <xdr:rowOff>99060</xdr:rowOff>
    </xdr:from>
    <xdr:to>
      <xdr:col>16</xdr:col>
      <xdr:colOff>571880</xdr:colOff>
      <xdr:row>30</xdr:row>
      <xdr:rowOff>175409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F35DB16F-EC4F-EAEA-5A91-D8EB09237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0920" y="3939540"/>
          <a:ext cx="4389500" cy="1722269"/>
        </a:xfrm>
        <a:prstGeom prst="rect">
          <a:avLst/>
        </a:prstGeom>
      </xdr:spPr>
    </xdr:pic>
    <xdr:clientData/>
  </xdr:twoCellAnchor>
  <xdr:twoCellAnchor editAs="oneCell">
    <xdr:from>
      <xdr:col>6</xdr:col>
      <xdr:colOff>297180</xdr:colOff>
      <xdr:row>22</xdr:row>
      <xdr:rowOff>15240</xdr:rowOff>
    </xdr:from>
    <xdr:to>
      <xdr:col>9</xdr:col>
      <xdr:colOff>419100</xdr:colOff>
      <xdr:row>30</xdr:row>
      <xdr:rowOff>3428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58B43B9-C0FC-192E-15B5-E5253097A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9720" y="4038600"/>
          <a:ext cx="1950720" cy="1451228"/>
        </a:xfrm>
        <a:prstGeom prst="rect">
          <a:avLst/>
        </a:prstGeom>
      </xdr:spPr>
    </xdr:pic>
    <xdr:clientData/>
  </xdr:twoCellAnchor>
  <xdr:twoCellAnchor editAs="oneCell">
    <xdr:from>
      <xdr:col>16</xdr:col>
      <xdr:colOff>548640</xdr:colOff>
      <xdr:row>21</xdr:row>
      <xdr:rowOff>144780</xdr:rowOff>
    </xdr:from>
    <xdr:to>
      <xdr:col>18</xdr:col>
      <xdr:colOff>404023</xdr:colOff>
      <xdr:row>29</xdr:row>
      <xdr:rowOff>106803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CFB092B3-056F-F1D3-D60C-FE9E71CE4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27180" y="3985260"/>
          <a:ext cx="1882303" cy="1425063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1</xdr:row>
      <xdr:rowOff>114300</xdr:rowOff>
    </xdr:from>
    <xdr:to>
      <xdr:col>12</xdr:col>
      <xdr:colOff>251460</xdr:colOff>
      <xdr:row>19</xdr:row>
      <xdr:rowOff>137796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994BD81F-DCFF-889A-89F9-E510139F9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140" y="297180"/>
          <a:ext cx="4442460" cy="333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352424</xdr:colOff>
      <xdr:row>84</xdr:row>
      <xdr:rowOff>19049</xdr:rowOff>
    </xdr:from>
    <xdr:ext cx="3379644" cy="688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119C015-7FDA-4E35-8296-BAF0C6060F96}"/>
                </a:ext>
              </a:extLst>
            </xdr:cNvPr>
            <xdr:cNvSpPr txBox="1"/>
          </xdr:nvSpPr>
          <xdr:spPr>
            <a:xfrm>
              <a:off x="352424" y="16082009"/>
              <a:ext cx="3379644" cy="688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𝑡𝑟𝑎𝑠𝑙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𝜋</m:t>
                                </m:r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h</m:t>
                                    </m:r>
                                  </m:e>
                                  <m:sup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3/2</m:t>
                        </m:r>
                      </m:sup>
                    </m:sSup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119C015-7FDA-4E35-8296-BAF0C6060F96}"/>
                </a:ext>
              </a:extLst>
            </xdr:cNvPr>
            <xdr:cNvSpPr txBox="1"/>
          </xdr:nvSpPr>
          <xdr:spPr>
            <a:xfrm>
              <a:off x="352424" y="16082009"/>
              <a:ext cx="3379644" cy="688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𝑄_𝑡𝑟𝑎𝑠𝑙=((2𝜋𝑚𝑘_𝐵 𝑇)/ℎ^2 )^(3/2)⋅(𝑘_𝐵 𝑇)/𝑃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127289</xdr:colOff>
      <xdr:row>103</xdr:row>
      <xdr:rowOff>157596</xdr:rowOff>
    </xdr:from>
    <xdr:ext cx="4141643" cy="5943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AA773345-AEBD-409B-B259-A5AB0579A588}"/>
                </a:ext>
              </a:extLst>
            </xdr:cNvPr>
            <xdr:cNvSpPr txBox="1"/>
          </xdr:nvSpPr>
          <xdr:spPr>
            <a:xfrm>
              <a:off x="127289" y="19718136"/>
              <a:ext cx="4141643" cy="594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𝑟𝑜𝑡</m:t>
                        </m:r>
                      </m:sub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𝐷</m:t>
                        </m:r>
                      </m:sup>
                    </m:sSubSup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8</m:t>
                        </m:r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(2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3/2</m:t>
                            </m:r>
                          </m:sup>
                        </m:sSup>
                        <m:rad>
                          <m:radPr>
                            <m:degHide m:val="on"/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sub>
                            </m:sSub>
                          </m:e>
                        </m:rad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𝜎</m:t>
                        </m:r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AA773345-AEBD-409B-B259-A5AB0579A588}"/>
                </a:ext>
              </a:extLst>
            </xdr:cNvPr>
            <xdr:cNvSpPr txBox="1"/>
          </xdr:nvSpPr>
          <xdr:spPr>
            <a:xfrm>
              <a:off x="127289" y="19718136"/>
              <a:ext cx="4141643" cy="594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𝑄_𝑟𝑜𝑡^3𝐷=(8𝜋^2 〖(2𝜋𝑘〗_𝐵 〖𝑇)〗^(3/2) √(𝐼_𝑥 𝐼_𝑦 𝐼_𝑧 ))/(𝜎ℎ^3 )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126</xdr:row>
      <xdr:rowOff>0</xdr:rowOff>
    </xdr:from>
    <xdr:ext cx="4141643" cy="452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C0FA2A53-82E6-4954-BA20-23A51AB10BCF}"/>
                </a:ext>
              </a:extLst>
            </xdr:cNvPr>
            <xdr:cNvSpPr txBox="1"/>
          </xdr:nvSpPr>
          <xdr:spPr>
            <a:xfrm>
              <a:off x="0" y="23903940"/>
              <a:ext cx="414164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𝑒𝑙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sub>
                            </m:s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C0FA2A53-82E6-4954-BA20-23A51AB10BCF}"/>
                </a:ext>
              </a:extLst>
            </xdr:cNvPr>
            <xdr:cNvSpPr txBox="1"/>
          </xdr:nvSpPr>
          <xdr:spPr>
            <a:xfrm>
              <a:off x="0" y="23903940"/>
              <a:ext cx="414164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Q_el=𝑔_𝑒𝑙⋅𝑒^(−𝐸_𝑒𝑙/(𝑘_𝐵 𝑇))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216478</xdr:colOff>
      <xdr:row>153</xdr:row>
      <xdr:rowOff>114298</xdr:rowOff>
    </xdr:from>
    <xdr:ext cx="3717348" cy="575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7413D144-C609-4113-9140-B73A979A17E0}"/>
                </a:ext>
              </a:extLst>
            </xdr:cNvPr>
            <xdr:cNvSpPr txBox="1"/>
          </xdr:nvSpPr>
          <xdr:spPr>
            <a:xfrm>
              <a:off x="216478" y="29458918"/>
              <a:ext cx="3717348" cy="575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8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𝑡𝑟𝑎𝑠𝑙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Sup>
                      <m:sSub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𝑟𝑜𝑡</m:t>
                        </m:r>
                      </m:sub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𝐷</m:t>
                        </m:r>
                      </m:sup>
                    </m:sSubSup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𝑣𝑖𝑏</m:t>
                        </m:r>
                      </m:sub>
                    </m:sSub>
                  </m:oMath>
                </m:oMathPara>
              </a14:m>
              <a:endParaRPr lang="it-IT" sz="1800" b="0"/>
            </a:p>
            <a:p>
              <a:endParaRPr lang="it-IT" sz="18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7413D144-C609-4113-9140-B73A979A17E0}"/>
                </a:ext>
              </a:extLst>
            </xdr:cNvPr>
            <xdr:cNvSpPr txBox="1"/>
          </xdr:nvSpPr>
          <xdr:spPr>
            <a:xfrm>
              <a:off x="216478" y="29458918"/>
              <a:ext cx="3717348" cy="575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𝑄=𝑄_𝑡𝑟𝑎𝑠𝑙×𝑄_𝑒𝑙×𝑄_𝑟𝑜𝑡^3𝐷×𝑄_𝑣𝑖𝑏</a:t>
              </a:r>
              <a:endParaRPr lang="it-IT" sz="1800" b="0"/>
            </a:p>
            <a:p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0</xdr:colOff>
      <xdr:row>140</xdr:row>
      <xdr:rowOff>0</xdr:rowOff>
    </xdr:from>
    <xdr:ext cx="4141643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C8982D21-65DA-4A3A-9BD5-8283BBC08646}"/>
                </a:ext>
              </a:extLst>
            </xdr:cNvPr>
            <xdr:cNvSpPr txBox="1"/>
          </xdr:nvSpPr>
          <xdr:spPr>
            <a:xfrm>
              <a:off x="0" y="26769060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C8982D21-65DA-4A3A-9BD5-8283BBC08646}"/>
                </a:ext>
              </a:extLst>
            </xdr:cNvPr>
            <xdr:cNvSpPr txBox="1"/>
          </xdr:nvSpPr>
          <xdr:spPr>
            <a:xfrm>
              <a:off x="0" y="26769060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Q_el=𝑔_𝑒𝑙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141</xdr:row>
      <xdr:rowOff>138545</xdr:rowOff>
    </xdr:from>
    <xdr:ext cx="4141643" cy="4540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EB8EE84C-5E0B-45FC-A9E9-E53C8C94249D}"/>
                </a:ext>
              </a:extLst>
            </xdr:cNvPr>
            <xdr:cNvSpPr txBox="1"/>
          </xdr:nvSpPr>
          <xdr:spPr>
            <a:xfrm>
              <a:off x="0" y="27105725"/>
              <a:ext cx="4141643" cy="454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it-IT" sz="18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EB8EE84C-5E0B-45FC-A9E9-E53C8C94249D}"/>
                </a:ext>
              </a:extLst>
            </xdr:cNvPr>
            <xdr:cNvSpPr txBox="1"/>
          </xdr:nvSpPr>
          <xdr:spPr>
            <a:xfrm>
              <a:off x="0" y="27105725"/>
              <a:ext cx="4141643" cy="454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Q_el=2</a:t>
              </a:r>
              <a:endParaRPr lang="it-IT" sz="1800" b="0"/>
            </a:p>
            <a:p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993198</xdr:colOff>
      <xdr:row>175</xdr:row>
      <xdr:rowOff>140278</xdr:rowOff>
    </xdr:from>
    <xdr:ext cx="1448666" cy="297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BDAEFDFC-E5B6-4BBD-9553-DDF7200E6439}"/>
                </a:ext>
              </a:extLst>
            </xdr:cNvPr>
            <xdr:cNvSpPr txBox="1"/>
          </xdr:nvSpPr>
          <xdr:spPr>
            <a:xfrm>
              <a:off x="993198" y="33866398"/>
              <a:ext cx="1448666" cy="297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BDAEFDFC-E5B6-4BBD-9553-DDF7200E6439}"/>
                </a:ext>
              </a:extLst>
            </xdr:cNvPr>
            <xdr:cNvSpPr txBox="1"/>
          </xdr:nvSpPr>
          <xdr:spPr>
            <a:xfrm>
              <a:off x="993198" y="33866398"/>
              <a:ext cx="1448666" cy="297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𝑈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857250</xdr:colOff>
      <xdr:row>201</xdr:row>
      <xdr:rowOff>173182</xdr:rowOff>
    </xdr:from>
    <xdr:ext cx="1448666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5A86906C-F392-4B53-BAE1-37BFB5DE46AE}"/>
                </a:ext>
              </a:extLst>
            </xdr:cNvPr>
            <xdr:cNvSpPr txBox="1"/>
          </xdr:nvSpPr>
          <xdr:spPr>
            <a:xfrm>
              <a:off x="857250" y="38852302"/>
              <a:ext cx="1448666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5A86906C-F392-4B53-BAE1-37BFB5DE46AE}"/>
                </a:ext>
              </a:extLst>
            </xdr:cNvPr>
            <xdr:cNvSpPr txBox="1"/>
          </xdr:nvSpPr>
          <xdr:spPr>
            <a:xfrm>
              <a:off x="857250" y="38852302"/>
              <a:ext cx="1448666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𝑆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4</xdr:col>
      <xdr:colOff>92652</xdr:colOff>
      <xdr:row>218</xdr:row>
      <xdr:rowOff>114300</xdr:rowOff>
    </xdr:from>
    <xdr:ext cx="65" cy="172227"/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E57B0DE9-3896-4C84-904F-7A6BA95681DA}"/>
            </a:ext>
          </a:extLst>
        </xdr:cNvPr>
        <xdr:cNvSpPr txBox="1"/>
      </xdr:nvSpPr>
      <xdr:spPr>
        <a:xfrm>
          <a:off x="6333432" y="42031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1047750</xdr:colOff>
      <xdr:row>225</xdr:row>
      <xdr:rowOff>147205</xdr:rowOff>
    </xdr:from>
    <xdr:ext cx="1448666" cy="578172"/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4B450554-5032-4A3C-96B3-5B8F7426BF5B}"/>
            </a:ext>
          </a:extLst>
        </xdr:cNvPr>
        <xdr:cNvSpPr txBox="1"/>
      </xdr:nvSpPr>
      <xdr:spPr>
        <a:xfrm>
          <a:off x="1047750" y="4340594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0</xdr:col>
      <xdr:colOff>839932</xdr:colOff>
      <xdr:row>226</xdr:row>
      <xdr:rowOff>25977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62DBDA2E-55BA-4735-82B1-482B1480C161}"/>
                </a:ext>
              </a:extLst>
            </xdr:cNvPr>
            <xdr:cNvSpPr txBox="1"/>
          </xdr:nvSpPr>
          <xdr:spPr>
            <a:xfrm>
              <a:off x="839932" y="4347521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62DBDA2E-55BA-4735-82B1-482B1480C161}"/>
                </a:ext>
              </a:extLst>
            </xdr:cNvPr>
            <xdr:cNvSpPr txBox="1"/>
          </xdr:nvSpPr>
          <xdr:spPr>
            <a:xfrm>
              <a:off x="839932" y="4347521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𝐶_𝑉 )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3</xdr:col>
      <xdr:colOff>92652</xdr:colOff>
      <xdr:row>242</xdr:row>
      <xdr:rowOff>114300</xdr:rowOff>
    </xdr:from>
    <xdr:ext cx="65" cy="172227"/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EAD1EFF8-9D06-4CDF-8A22-544404F52ED5}"/>
            </a:ext>
          </a:extLst>
        </xdr:cNvPr>
        <xdr:cNvSpPr txBox="1"/>
      </xdr:nvSpPr>
      <xdr:spPr>
        <a:xfrm>
          <a:off x="4283652" y="465658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5</xdr:col>
      <xdr:colOff>1235651</xdr:colOff>
      <xdr:row>196</xdr:row>
      <xdr:rowOff>71005</xdr:rowOff>
    </xdr:from>
    <xdr:ext cx="2184689" cy="4383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BEBE78D3-4B6A-4E86-95D3-18603BE1A62F}"/>
                </a:ext>
              </a:extLst>
            </xdr:cNvPr>
            <xdr:cNvSpPr txBox="1"/>
          </xdr:nvSpPr>
          <xdr:spPr>
            <a:xfrm>
              <a:off x="8482271" y="37736665"/>
              <a:ext cx="2184689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it-IT" sz="1400" b="0" i="1">
                      <a:latin typeface="Cambria Math" panose="02040503050406030204" pitchFamily="18" charset="0"/>
                    </a:rPr>
                    <m:t>𝐼</m:t>
                  </m:r>
                  <m:r>
                    <a:rPr lang="it-IT" sz="14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it-IT" sz="14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r>
                        <a:rPr lang="it-IT" sz="14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r>
                        <a:rPr lang="it-IT" sz="14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𝑧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</m:e>
                  </m:rad>
                </m:oMath>
              </a14:m>
              <a:r>
                <a:rPr lang="it-IT" sz="1400"/>
                <a:t> =</a:t>
              </a:r>
            </a:p>
          </xdr:txBody>
        </xdr:sp>
      </mc:Choice>
      <mc:Fallback xmlns="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BEBE78D3-4B6A-4E86-95D3-18603BE1A62F}"/>
                </a:ext>
              </a:extLst>
            </xdr:cNvPr>
            <xdr:cNvSpPr txBox="1"/>
          </xdr:nvSpPr>
          <xdr:spPr>
            <a:xfrm>
              <a:off x="8482271" y="37736665"/>
              <a:ext cx="2184689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0" i="0">
                  <a:latin typeface="Cambria Math" panose="02040503050406030204" pitchFamily="18" charset="0"/>
                </a:rPr>
                <a:t>𝐼=√(𝐼_𝑥^2+𝐼_𝑦^2+𝐼_𝑧^2 )</a:t>
              </a:r>
              <a:r>
                <a:rPr lang="it-IT" sz="14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1079788</xdr:colOff>
      <xdr:row>248</xdr:row>
      <xdr:rowOff>62346</xdr:rowOff>
    </xdr:from>
    <xdr:ext cx="660689" cy="2956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871AF3ED-F278-4F10-B27A-E1A5A9188C7C}"/>
                </a:ext>
              </a:extLst>
            </xdr:cNvPr>
            <xdr:cNvSpPr txBox="1"/>
          </xdr:nvSpPr>
          <xdr:spPr>
            <a:xfrm>
              <a:off x="1079788" y="47672106"/>
              <a:ext cx="660689" cy="295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871AF3ED-F278-4F10-B27A-E1A5A9188C7C}"/>
                </a:ext>
              </a:extLst>
            </xdr:cNvPr>
            <xdr:cNvSpPr txBox="1"/>
          </xdr:nvSpPr>
          <xdr:spPr>
            <a:xfrm>
              <a:off x="1079788" y="47672106"/>
              <a:ext cx="660689" cy="295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𝐹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1047750</xdr:colOff>
      <xdr:row>248</xdr:row>
      <xdr:rowOff>147205</xdr:rowOff>
    </xdr:from>
    <xdr:ext cx="1448666" cy="578172"/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E9FD77B9-FA47-4169-A19E-DBAA8EA867E6}"/>
            </a:ext>
          </a:extLst>
        </xdr:cNvPr>
        <xdr:cNvSpPr txBox="1"/>
      </xdr:nvSpPr>
      <xdr:spPr>
        <a:xfrm>
          <a:off x="1047750" y="4775696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3</xdr:col>
      <xdr:colOff>92652</xdr:colOff>
      <xdr:row>265</xdr:row>
      <xdr:rowOff>114300</xdr:rowOff>
    </xdr:from>
    <xdr:ext cx="65" cy="172227"/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8964E729-8F3D-4925-B454-67945F652248}"/>
            </a:ext>
          </a:extLst>
        </xdr:cNvPr>
        <xdr:cNvSpPr txBox="1"/>
      </xdr:nvSpPr>
      <xdr:spPr>
        <a:xfrm>
          <a:off x="4283652" y="50840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9</xdr:col>
      <xdr:colOff>92652</xdr:colOff>
      <xdr:row>218</xdr:row>
      <xdr:rowOff>114300</xdr:rowOff>
    </xdr:from>
    <xdr:ext cx="65" cy="172227"/>
    <xdr:sp macro="" textlink="">
      <xdr:nvSpPr>
        <xdr:cNvPr id="18" name="CasellaDiTesto 17">
          <a:extLst>
            <a:ext uri="{FF2B5EF4-FFF2-40B4-BE49-F238E27FC236}">
              <a16:creationId xmlns:a16="http://schemas.microsoft.com/office/drawing/2014/main" id="{CD09168E-DC92-46CA-BC39-1553EF739C5C}"/>
            </a:ext>
          </a:extLst>
        </xdr:cNvPr>
        <xdr:cNvSpPr txBox="1"/>
      </xdr:nvSpPr>
      <xdr:spPr>
        <a:xfrm>
          <a:off x="12238932" y="42031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144605</xdr:colOff>
      <xdr:row>138</xdr:row>
      <xdr:rowOff>140276</xdr:rowOff>
    </xdr:from>
    <xdr:ext cx="1791131" cy="252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sellaDiTesto 18">
              <a:extLst>
                <a:ext uri="{FF2B5EF4-FFF2-40B4-BE49-F238E27FC236}">
                  <a16:creationId xmlns:a16="http://schemas.microsoft.com/office/drawing/2014/main" id="{0C960D12-742D-47E8-801A-294C918CF12B}"/>
                </a:ext>
              </a:extLst>
            </xdr:cNvPr>
            <xdr:cNvSpPr txBox="1"/>
          </xdr:nvSpPr>
          <xdr:spPr>
            <a:xfrm>
              <a:off x="144605" y="26513096"/>
              <a:ext cx="179113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600" b="0" i="1">
                        <a:latin typeface="Cambria Math" panose="02040503050406030204" pitchFamily="18" charset="0"/>
                      </a:rPr>
                      <m:t>𝑠𝑖𝑐𝑐𝑜𝑚𝑒</m:t>
                    </m:r>
                    <m:r>
                      <a:rPr lang="it-IT" sz="16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≫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it-IT" sz="16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9" name="CasellaDiTesto 18">
              <a:extLst>
                <a:ext uri="{FF2B5EF4-FFF2-40B4-BE49-F238E27FC236}">
                  <a16:creationId xmlns:a16="http://schemas.microsoft.com/office/drawing/2014/main" id="{0C960D12-742D-47E8-801A-294C918CF12B}"/>
                </a:ext>
              </a:extLst>
            </xdr:cNvPr>
            <xdr:cNvSpPr txBox="1"/>
          </xdr:nvSpPr>
          <xdr:spPr>
            <a:xfrm>
              <a:off x="144605" y="26513096"/>
              <a:ext cx="179113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600" b="0" i="0">
                  <a:latin typeface="Cambria Math" panose="02040503050406030204" pitchFamily="18" charset="0"/>
                </a:rPr>
                <a:t>𝑠𝑖𝑐𝑐𝑜𝑚𝑒 𝐸_𝑒𝑙≫𝐾_𝑏 𝑇: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5</xdr:col>
      <xdr:colOff>251112</xdr:colOff>
      <xdr:row>178</xdr:row>
      <xdr:rowOff>60614</xdr:rowOff>
    </xdr:from>
    <xdr:to>
      <xdr:col>6</xdr:col>
      <xdr:colOff>588817</xdr:colOff>
      <xdr:row>188</xdr:row>
      <xdr:rowOff>8659</xdr:rowOff>
    </xdr:to>
    <xdr:sp macro="" textlink="">
      <xdr:nvSpPr>
        <xdr:cNvPr id="20" name="CasellaDiTesto 19">
          <a:extLst>
            <a:ext uri="{FF2B5EF4-FFF2-40B4-BE49-F238E27FC236}">
              <a16:creationId xmlns:a16="http://schemas.microsoft.com/office/drawing/2014/main" id="{EC9A8A5B-4628-4977-A206-14980550C9D9}"/>
            </a:ext>
          </a:extLst>
        </xdr:cNvPr>
        <xdr:cNvSpPr txBox="1"/>
      </xdr:nvSpPr>
      <xdr:spPr>
        <a:xfrm>
          <a:off x="7497732" y="34396334"/>
          <a:ext cx="1671205" cy="17920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112569</xdr:colOff>
      <xdr:row>230</xdr:row>
      <xdr:rowOff>77931</xdr:rowOff>
    </xdr:from>
    <xdr:to>
      <xdr:col>6</xdr:col>
      <xdr:colOff>207819</xdr:colOff>
      <xdr:row>242</xdr:row>
      <xdr:rowOff>0</xdr:rowOff>
    </xdr:to>
    <xdr:sp macro="" textlink="">
      <xdr:nvSpPr>
        <xdr:cNvPr id="21" name="CasellaDiTesto 20">
          <a:extLst>
            <a:ext uri="{FF2B5EF4-FFF2-40B4-BE49-F238E27FC236}">
              <a16:creationId xmlns:a16="http://schemas.microsoft.com/office/drawing/2014/main" id="{651D5058-30C6-4270-9303-45B256874B1B}"/>
            </a:ext>
          </a:extLst>
        </xdr:cNvPr>
        <xdr:cNvSpPr txBox="1"/>
      </xdr:nvSpPr>
      <xdr:spPr>
        <a:xfrm>
          <a:off x="7359189" y="44312031"/>
          <a:ext cx="1428750" cy="213948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710046</xdr:colOff>
      <xdr:row>226</xdr:row>
      <xdr:rowOff>69272</xdr:rowOff>
    </xdr:from>
    <xdr:to>
      <xdr:col>5</xdr:col>
      <xdr:colOff>762000</xdr:colOff>
      <xdr:row>230</xdr:row>
      <xdr:rowOff>25976</xdr:rowOff>
    </xdr:to>
    <xdr:cxnSp macro="">
      <xdr:nvCxnSpPr>
        <xdr:cNvPr id="22" name="Connettore 2 21">
          <a:extLst>
            <a:ext uri="{FF2B5EF4-FFF2-40B4-BE49-F238E27FC236}">
              <a16:creationId xmlns:a16="http://schemas.microsoft.com/office/drawing/2014/main" id="{9A18D09F-4139-4050-A061-BE85506EF4FE}"/>
            </a:ext>
          </a:extLst>
        </xdr:cNvPr>
        <xdr:cNvCxnSpPr/>
      </xdr:nvCxnSpPr>
      <xdr:spPr>
        <a:xfrm>
          <a:off x="7956666" y="43518512"/>
          <a:ext cx="51954" cy="74156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787977</xdr:colOff>
      <xdr:row>176</xdr:row>
      <xdr:rowOff>95250</xdr:rowOff>
    </xdr:from>
    <xdr:to>
      <xdr:col>5</xdr:col>
      <xdr:colOff>796636</xdr:colOff>
      <xdr:row>177</xdr:row>
      <xdr:rowOff>216477</xdr:rowOff>
    </xdr:to>
    <xdr:cxnSp macro="">
      <xdr:nvCxnSpPr>
        <xdr:cNvPr id="23" name="Connettore 2 22">
          <a:extLst>
            <a:ext uri="{FF2B5EF4-FFF2-40B4-BE49-F238E27FC236}">
              <a16:creationId xmlns:a16="http://schemas.microsoft.com/office/drawing/2014/main" id="{02E69C41-4CF0-44C5-BF3D-4B4EA9B8BD63}"/>
            </a:ext>
          </a:extLst>
        </xdr:cNvPr>
        <xdr:cNvCxnSpPr/>
      </xdr:nvCxnSpPr>
      <xdr:spPr>
        <a:xfrm>
          <a:off x="8034597" y="34011870"/>
          <a:ext cx="8659" cy="3041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943840</xdr:colOff>
      <xdr:row>198</xdr:row>
      <xdr:rowOff>34636</xdr:rowOff>
    </xdr:from>
    <xdr:ext cx="1220932" cy="3057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6EF884D5-9C60-448E-BDEC-8F5E1F4EEF3E}"/>
                </a:ext>
              </a:extLst>
            </xdr:cNvPr>
            <xdr:cNvSpPr txBox="1"/>
          </xdr:nvSpPr>
          <xdr:spPr>
            <a:xfrm>
              <a:off x="2993620" y="38104156"/>
              <a:ext cx="1220932" cy="305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05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acc>
                    <m:r>
                      <a:rPr lang="it-IT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05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05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05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it-IT" sz="1050"/>
            </a:p>
          </xdr:txBody>
        </xdr:sp>
      </mc:Choice>
      <mc:Fallback xmlns=""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6EF884D5-9C60-448E-BDEC-8F5E1F4EEF3E}"/>
                </a:ext>
              </a:extLst>
            </xdr:cNvPr>
            <xdr:cNvSpPr txBox="1"/>
          </xdr:nvSpPr>
          <xdr:spPr>
            <a:xfrm>
              <a:off x="2993620" y="38104156"/>
              <a:ext cx="1220932" cy="305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050" b="0" i="0">
                  <a:latin typeface="Cambria Math" panose="02040503050406030204" pitchFamily="18" charset="0"/>
                </a:rPr>
                <a:t>𝑉 ̃=(𝑘_𝐵 𝑇)/𝑃</a:t>
              </a:r>
              <a:endParaRPr lang="it-IT" sz="1050"/>
            </a:p>
          </xdr:txBody>
        </xdr:sp>
      </mc:Fallback>
    </mc:AlternateContent>
    <xdr:clientData/>
  </xdr:oneCellAnchor>
  <xdr:oneCellAnchor>
    <xdr:from>
      <xdr:col>9</xdr:col>
      <xdr:colOff>92652</xdr:colOff>
      <xdr:row>242</xdr:row>
      <xdr:rowOff>114300</xdr:rowOff>
    </xdr:from>
    <xdr:ext cx="65" cy="172227"/>
    <xdr:sp macro="" textlink="">
      <xdr:nvSpPr>
        <xdr:cNvPr id="25" name="CasellaDiTesto 24">
          <a:extLst>
            <a:ext uri="{FF2B5EF4-FFF2-40B4-BE49-F238E27FC236}">
              <a16:creationId xmlns:a16="http://schemas.microsoft.com/office/drawing/2014/main" id="{95B9855D-FE8A-4727-81AC-306DE8FAE618}"/>
            </a:ext>
          </a:extLst>
        </xdr:cNvPr>
        <xdr:cNvSpPr txBox="1"/>
      </xdr:nvSpPr>
      <xdr:spPr>
        <a:xfrm>
          <a:off x="12238932" y="465658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1047750</xdr:colOff>
      <xdr:row>273</xdr:row>
      <xdr:rowOff>147205</xdr:rowOff>
    </xdr:from>
    <xdr:ext cx="1448666" cy="578172"/>
    <xdr:sp macro="" textlink="">
      <xdr:nvSpPr>
        <xdr:cNvPr id="26" name="CasellaDiTesto 25">
          <a:extLst>
            <a:ext uri="{FF2B5EF4-FFF2-40B4-BE49-F238E27FC236}">
              <a16:creationId xmlns:a16="http://schemas.microsoft.com/office/drawing/2014/main" id="{24E690AD-1BC3-4054-A368-311E1B2F100E}"/>
            </a:ext>
          </a:extLst>
        </xdr:cNvPr>
        <xdr:cNvSpPr txBox="1"/>
      </xdr:nvSpPr>
      <xdr:spPr>
        <a:xfrm>
          <a:off x="1047750" y="5240516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0</xdr:col>
      <xdr:colOff>839932</xdr:colOff>
      <xdr:row>274</xdr:row>
      <xdr:rowOff>25977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asellaDiTesto 26">
              <a:extLst>
                <a:ext uri="{FF2B5EF4-FFF2-40B4-BE49-F238E27FC236}">
                  <a16:creationId xmlns:a16="http://schemas.microsoft.com/office/drawing/2014/main" id="{F715F4E9-2961-4E2E-9470-F864FD13EBA4}"/>
                </a:ext>
              </a:extLst>
            </xdr:cNvPr>
            <xdr:cNvSpPr txBox="1"/>
          </xdr:nvSpPr>
          <xdr:spPr>
            <a:xfrm>
              <a:off x="839932" y="5247443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7" name="CasellaDiTesto 26">
              <a:extLst>
                <a:ext uri="{FF2B5EF4-FFF2-40B4-BE49-F238E27FC236}">
                  <a16:creationId xmlns:a16="http://schemas.microsoft.com/office/drawing/2014/main" id="{F715F4E9-2961-4E2E-9470-F864FD13EBA4}"/>
                </a:ext>
              </a:extLst>
            </xdr:cNvPr>
            <xdr:cNvSpPr txBox="1"/>
          </xdr:nvSpPr>
          <xdr:spPr>
            <a:xfrm>
              <a:off x="839932" y="5247443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𝐶_𝑃 )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3</xdr:col>
      <xdr:colOff>92652</xdr:colOff>
      <xdr:row>290</xdr:row>
      <xdr:rowOff>114300</xdr:rowOff>
    </xdr:from>
    <xdr:ext cx="65" cy="172227"/>
    <xdr:sp macro="" textlink="">
      <xdr:nvSpPr>
        <xdr:cNvPr id="28" name="CasellaDiTesto 27">
          <a:extLst>
            <a:ext uri="{FF2B5EF4-FFF2-40B4-BE49-F238E27FC236}">
              <a16:creationId xmlns:a16="http://schemas.microsoft.com/office/drawing/2014/main" id="{36CAE423-A9BC-491B-854D-EBCAC55C5E25}"/>
            </a:ext>
          </a:extLst>
        </xdr:cNvPr>
        <xdr:cNvSpPr txBox="1"/>
      </xdr:nvSpPr>
      <xdr:spPr>
        <a:xfrm>
          <a:off x="4283652" y="5548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5</xdr:col>
      <xdr:colOff>112569</xdr:colOff>
      <xdr:row>278</xdr:row>
      <xdr:rowOff>77931</xdr:rowOff>
    </xdr:from>
    <xdr:to>
      <xdr:col>6</xdr:col>
      <xdr:colOff>207819</xdr:colOff>
      <xdr:row>290</xdr:row>
      <xdr:rowOff>0</xdr:rowOff>
    </xdr:to>
    <xdr:sp macro="" textlink="">
      <xdr:nvSpPr>
        <xdr:cNvPr id="29" name="CasellaDiTesto 28">
          <a:extLst>
            <a:ext uri="{FF2B5EF4-FFF2-40B4-BE49-F238E27FC236}">
              <a16:creationId xmlns:a16="http://schemas.microsoft.com/office/drawing/2014/main" id="{90C7B502-CE48-457F-BF47-F5AA12705CBD}"/>
            </a:ext>
          </a:extLst>
        </xdr:cNvPr>
        <xdr:cNvSpPr txBox="1"/>
      </xdr:nvSpPr>
      <xdr:spPr>
        <a:xfrm>
          <a:off x="7359189" y="53257911"/>
          <a:ext cx="1428750" cy="211662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710046</xdr:colOff>
      <xdr:row>274</xdr:row>
      <xdr:rowOff>69272</xdr:rowOff>
    </xdr:from>
    <xdr:to>
      <xdr:col>5</xdr:col>
      <xdr:colOff>762000</xdr:colOff>
      <xdr:row>278</xdr:row>
      <xdr:rowOff>25976</xdr:rowOff>
    </xdr:to>
    <xdr:cxnSp macro="">
      <xdr:nvCxnSpPr>
        <xdr:cNvPr id="30" name="Connettore 2 29">
          <a:extLst>
            <a:ext uri="{FF2B5EF4-FFF2-40B4-BE49-F238E27FC236}">
              <a16:creationId xmlns:a16="http://schemas.microsoft.com/office/drawing/2014/main" id="{8113FCEA-A1A1-4D89-9BE2-84F71AAC05B5}"/>
            </a:ext>
          </a:extLst>
        </xdr:cNvPr>
        <xdr:cNvCxnSpPr/>
      </xdr:nvCxnSpPr>
      <xdr:spPr>
        <a:xfrm>
          <a:off x="7956666" y="52517732"/>
          <a:ext cx="51954" cy="6882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92652</xdr:colOff>
      <xdr:row>290</xdr:row>
      <xdr:rowOff>114300</xdr:rowOff>
    </xdr:from>
    <xdr:ext cx="65" cy="172227"/>
    <xdr:sp macro="" textlink="">
      <xdr:nvSpPr>
        <xdr:cNvPr id="31" name="CasellaDiTesto 30">
          <a:extLst>
            <a:ext uri="{FF2B5EF4-FFF2-40B4-BE49-F238E27FC236}">
              <a16:creationId xmlns:a16="http://schemas.microsoft.com/office/drawing/2014/main" id="{72D2EBB2-165C-4561-8CF8-2FB6DCACDAC6}"/>
            </a:ext>
          </a:extLst>
        </xdr:cNvPr>
        <xdr:cNvSpPr txBox="1"/>
      </xdr:nvSpPr>
      <xdr:spPr>
        <a:xfrm>
          <a:off x="12238932" y="5548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242455</xdr:colOff>
      <xdr:row>280</xdr:row>
      <xdr:rowOff>0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asellaDiTesto 31">
              <a:extLst>
                <a:ext uri="{FF2B5EF4-FFF2-40B4-BE49-F238E27FC236}">
                  <a16:creationId xmlns:a16="http://schemas.microsoft.com/office/drawing/2014/main" id="{90D49C79-2EDE-4B52-ADD3-241C624AB9FB}"/>
                </a:ext>
              </a:extLst>
            </xdr:cNvPr>
            <xdr:cNvSpPr txBox="1"/>
          </xdr:nvSpPr>
          <xdr:spPr>
            <a:xfrm>
              <a:off x="242455" y="53545740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acc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+</m:t>
                    </m:r>
                    <m:acc>
                      <m:accPr>
                        <m:chr m:val="̃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sub>
                        </m:sSub>
                      </m:e>
                    </m:acc>
                    <m:r>
                      <a:rPr lang="it-IT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32" name="CasellaDiTesto 31">
              <a:extLst>
                <a:ext uri="{FF2B5EF4-FFF2-40B4-BE49-F238E27FC236}">
                  <a16:creationId xmlns:a16="http://schemas.microsoft.com/office/drawing/2014/main" id="{90D49C79-2EDE-4B52-ADD3-241C624AB9FB}"/>
                </a:ext>
              </a:extLst>
            </xdr:cNvPr>
            <xdr:cNvSpPr txBox="1"/>
          </xdr:nvSpPr>
          <xdr:spPr>
            <a:xfrm>
              <a:off x="242455" y="53545740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𝐶_𝑃 ) ̃=𝑅+(𝐶_𝑉 ) ̃  </a:t>
              </a:r>
              <a:endParaRPr lang="it-IT" sz="1800"/>
            </a:p>
          </xdr:txBody>
        </xdr:sp>
      </mc:Fallback>
    </mc:AlternateContent>
    <xdr:clientData/>
  </xdr:oneCellAnchor>
  <xdr:twoCellAnchor>
    <xdr:from>
      <xdr:col>0</xdr:col>
      <xdr:colOff>0</xdr:colOff>
      <xdr:row>277</xdr:row>
      <xdr:rowOff>173182</xdr:rowOff>
    </xdr:from>
    <xdr:to>
      <xdr:col>0</xdr:col>
      <xdr:colOff>1982932</xdr:colOff>
      <xdr:row>279</xdr:row>
      <xdr:rowOff>147204</xdr:rowOff>
    </xdr:to>
    <xdr:sp macro="" textlink="">
      <xdr:nvSpPr>
        <xdr:cNvPr id="33" name="CasellaDiTesto 32">
          <a:extLst>
            <a:ext uri="{FF2B5EF4-FFF2-40B4-BE49-F238E27FC236}">
              <a16:creationId xmlns:a16="http://schemas.microsoft.com/office/drawing/2014/main" id="{F853B498-DEBD-4183-BBA1-E2AEFF58FDD4}"/>
            </a:ext>
          </a:extLst>
        </xdr:cNvPr>
        <xdr:cNvSpPr txBox="1"/>
      </xdr:nvSpPr>
      <xdr:spPr>
        <a:xfrm>
          <a:off x="0" y="53170282"/>
          <a:ext cx="1982932" cy="339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from Mayer's</a:t>
          </a:r>
          <a:r>
            <a:rPr lang="it-IT" sz="1400" baseline="0"/>
            <a:t> relation:</a:t>
          </a:r>
          <a:endParaRPr lang="it-IT" sz="1400"/>
        </a:p>
      </xdr:txBody>
    </xdr:sp>
    <xdr:clientData/>
  </xdr:twoCellAnchor>
  <xdr:twoCellAnchor>
    <xdr:from>
      <xdr:col>0</xdr:col>
      <xdr:colOff>710046</xdr:colOff>
      <xdr:row>108</xdr:row>
      <xdr:rowOff>147204</xdr:rowOff>
    </xdr:from>
    <xdr:to>
      <xdr:col>2</xdr:col>
      <xdr:colOff>207819</xdr:colOff>
      <xdr:row>110</xdr:row>
      <xdr:rowOff>129886</xdr:rowOff>
    </xdr:to>
    <xdr:sp macro="" textlink="">
      <xdr:nvSpPr>
        <xdr:cNvPr id="34" name="CasellaDiTesto 33">
          <a:extLst>
            <a:ext uri="{FF2B5EF4-FFF2-40B4-BE49-F238E27FC236}">
              <a16:creationId xmlns:a16="http://schemas.microsoft.com/office/drawing/2014/main" id="{AB48B265-BD11-49BD-91B4-A45E2858222A}"/>
            </a:ext>
          </a:extLst>
        </xdr:cNvPr>
        <xdr:cNvSpPr txBox="1"/>
      </xdr:nvSpPr>
      <xdr:spPr>
        <a:xfrm>
          <a:off x="710046" y="20675484"/>
          <a:ext cx="2682933" cy="409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ho utilizzato però questa</a:t>
          </a:r>
          <a:r>
            <a:rPr lang="it-IT" sz="1100" baseline="0"/>
            <a:t> riscrittura:</a:t>
          </a:r>
          <a:endParaRPr lang="it-IT" sz="1100"/>
        </a:p>
      </xdr:txBody>
    </xdr:sp>
    <xdr:clientData/>
  </xdr:twoCellAnchor>
  <xdr:oneCellAnchor>
    <xdr:from>
      <xdr:col>0</xdr:col>
      <xdr:colOff>733423</xdr:colOff>
      <xdr:row>110</xdr:row>
      <xdr:rowOff>79664</xdr:rowOff>
    </xdr:from>
    <xdr:ext cx="2816804" cy="626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asellaDiTesto 34">
              <a:extLst>
                <a:ext uri="{FF2B5EF4-FFF2-40B4-BE49-F238E27FC236}">
                  <a16:creationId xmlns:a16="http://schemas.microsoft.com/office/drawing/2014/main" id="{16730599-A5FE-4B3E-A777-FC414910A530}"/>
                </a:ext>
              </a:extLst>
            </xdr:cNvPr>
            <xdr:cNvSpPr txBox="1"/>
          </xdr:nvSpPr>
          <xdr:spPr>
            <a:xfrm>
              <a:off x="733423" y="21034664"/>
              <a:ext cx="2816804" cy="626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Q</m:t>
                      </m:r>
                    </m:e>
                    <m:sub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rot</m:t>
                      </m:r>
                    </m:sub>
                    <m:sup>
                      <m: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3</m:t>
                      </m:r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D</m:t>
                      </m:r>
                    </m:sup>
                  </m:sSubSup>
                  <m:r>
                    <a:rPr lang="it-IT" sz="20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 </m:t>
                  </m:r>
                  <m:f>
                    <m:fPr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it-IT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sty m:val="p"/>
                            </m:rP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π</m:t>
                          </m:r>
                        </m:e>
                      </m:rad>
                    </m:num>
                    <m:den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σ</m:t>
                      </m:r>
                    </m:den>
                  </m:f>
                  <m:r>
                    <a:rPr lang="it-IT" sz="20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⋅</m:t>
                  </m:r>
                  <m:rad>
                    <m:radPr>
                      <m:degHide m:val="on"/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it-IT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T</m:t>
                              </m:r>
                            </m:e>
                            <m:sup>
                              <m: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3</m:t>
                              </m:r>
                            </m:sup>
                          </m:sSup>
                        </m:num>
                        <m:den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x</m:t>
                              </m:r>
                            </m:sub>
                          </m:sSub>
                          <m: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⋅</m:t>
                          </m:r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y</m:t>
                              </m:r>
                            </m:sub>
                          </m:sSub>
                          <m: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⋅</m:t>
                          </m:r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z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r>
                <a:rPr lang="it-IT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35" name="CasellaDiTesto 34">
              <a:extLst>
                <a:ext uri="{FF2B5EF4-FFF2-40B4-BE49-F238E27FC236}">
                  <a16:creationId xmlns:a16="http://schemas.microsoft.com/office/drawing/2014/main" id="{16730599-A5FE-4B3E-A777-FC414910A530}"/>
                </a:ext>
              </a:extLst>
            </xdr:cNvPr>
            <xdr:cNvSpPr txBox="1"/>
          </xdr:nvSpPr>
          <xdr:spPr>
            <a:xfrm>
              <a:off x="733423" y="21034664"/>
              <a:ext cx="2816804" cy="626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Q_rot^3D=  √π/σ⋅√(T^3/(θ_x⋅θ_y⋅θ_z ))</a:t>
              </a:r>
              <a:r>
                <a:rPr lang="it-IT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</a:p>
          </xdr:txBody>
        </xdr:sp>
      </mc:Fallback>
    </mc:AlternateContent>
    <xdr:clientData/>
  </xdr:oneCellAnchor>
  <xdr:twoCellAnchor>
    <xdr:from>
      <xdr:col>0</xdr:col>
      <xdr:colOff>666750</xdr:colOff>
      <xdr:row>115</xdr:row>
      <xdr:rowOff>34636</xdr:rowOff>
    </xdr:from>
    <xdr:to>
      <xdr:col>2</xdr:col>
      <xdr:colOff>112569</xdr:colOff>
      <xdr:row>119</xdr:row>
      <xdr:rowOff>95249</xdr:rowOff>
    </xdr:to>
    <xdr:sp macro="" textlink="">
      <xdr:nvSpPr>
        <xdr:cNvPr id="36" name="CasellaDiTesto 35">
          <a:extLst>
            <a:ext uri="{FF2B5EF4-FFF2-40B4-BE49-F238E27FC236}">
              <a16:creationId xmlns:a16="http://schemas.microsoft.com/office/drawing/2014/main" id="{A9BE2762-9157-409F-B4A1-41ABB6D4E7AF}"/>
            </a:ext>
          </a:extLst>
        </xdr:cNvPr>
        <xdr:cNvSpPr txBox="1"/>
      </xdr:nvSpPr>
      <xdr:spPr>
        <a:xfrm>
          <a:off x="666750" y="21911656"/>
          <a:ext cx="2630979" cy="792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dove le </a:t>
          </a:r>
          <a:r>
            <a:rPr lang="el-GR" sz="1100"/>
            <a:t>ϑ</a:t>
          </a:r>
          <a:r>
            <a:rPr lang="it-IT" sz="1100"/>
            <a:t> rappresentano le temperature rotazionali rispetto agli assi x, y e z</a:t>
          </a:r>
        </a:p>
      </xdr:txBody>
    </xdr:sp>
    <xdr:clientData/>
  </xdr:twoCellAnchor>
  <xdr:twoCellAnchor>
    <xdr:from>
      <xdr:col>2</xdr:col>
      <xdr:colOff>207818</xdr:colOff>
      <xdr:row>220</xdr:row>
      <xdr:rowOff>147205</xdr:rowOff>
    </xdr:from>
    <xdr:to>
      <xdr:col>3</xdr:col>
      <xdr:colOff>493568</xdr:colOff>
      <xdr:row>222</xdr:row>
      <xdr:rowOff>60614</xdr:rowOff>
    </xdr:to>
    <xdr:sp macro="" textlink="">
      <xdr:nvSpPr>
        <xdr:cNvPr id="37" name="CasellaDiTesto 36">
          <a:extLst>
            <a:ext uri="{FF2B5EF4-FFF2-40B4-BE49-F238E27FC236}">
              <a16:creationId xmlns:a16="http://schemas.microsoft.com/office/drawing/2014/main" id="{2AB638E3-D186-4F7B-A182-ACCD5FD6AF3E}"/>
            </a:ext>
          </a:extLst>
        </xdr:cNvPr>
        <xdr:cNvSpPr txBox="1"/>
      </xdr:nvSpPr>
      <xdr:spPr>
        <a:xfrm>
          <a:off x="3392978" y="42438205"/>
          <a:ext cx="1291590" cy="2791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for S_trasl</a:t>
          </a:r>
          <a:r>
            <a:rPr lang="it-IT" sz="1100" baseline="0"/>
            <a:t> : </a:t>
          </a:r>
          <a:endParaRPr lang="it-IT" sz="1100"/>
        </a:p>
      </xdr:txBody>
    </xdr:sp>
    <xdr:clientData/>
  </xdr:twoCellAnchor>
  <xdr:twoCellAnchor editAs="oneCell">
    <xdr:from>
      <xdr:col>3</xdr:col>
      <xdr:colOff>43297</xdr:colOff>
      <xdr:row>220</xdr:row>
      <xdr:rowOff>17320</xdr:rowOff>
    </xdr:from>
    <xdr:to>
      <xdr:col>3</xdr:col>
      <xdr:colOff>1853047</xdr:colOff>
      <xdr:row>222</xdr:row>
      <xdr:rowOff>83556</xdr:rowOff>
    </xdr:to>
    <xdr:pic>
      <xdr:nvPicPr>
        <xdr:cNvPr id="38" name="Immagine 37">
          <a:extLst>
            <a:ext uri="{FF2B5EF4-FFF2-40B4-BE49-F238E27FC236}">
              <a16:creationId xmlns:a16="http://schemas.microsoft.com/office/drawing/2014/main" id="{BC6B55F1-A3A9-4013-B70D-B2D4BF289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4297" y="42308320"/>
          <a:ext cx="1809750" cy="431996"/>
        </a:xfrm>
        <a:prstGeom prst="rect">
          <a:avLst/>
        </a:prstGeom>
      </xdr:spPr>
    </xdr:pic>
    <xdr:clientData/>
  </xdr:twoCellAnchor>
  <xdr:oneCellAnchor>
    <xdr:from>
      <xdr:col>0</xdr:col>
      <xdr:colOff>480751</xdr:colOff>
      <xdr:row>64</xdr:row>
      <xdr:rowOff>162097</xdr:rowOff>
    </xdr:from>
    <xdr:ext cx="2764849" cy="9172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asellaDiTesto 38">
              <a:extLst>
                <a:ext uri="{FF2B5EF4-FFF2-40B4-BE49-F238E27FC236}">
                  <a16:creationId xmlns:a16="http://schemas.microsoft.com/office/drawing/2014/main" id="{3AB902E0-3869-49F2-926A-3E1113FD49AA}"/>
                </a:ext>
              </a:extLst>
            </xdr:cNvPr>
            <xdr:cNvSpPr txBox="1"/>
          </xdr:nvSpPr>
          <xdr:spPr>
            <a:xfrm>
              <a:off x="480751" y="12308377"/>
              <a:ext cx="2764849" cy="917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vib</m:t>
                        </m:r>
                      </m:sub>
                    </m:sSub>
                    <m:r>
                      <a:rPr lang="it-IT" sz="1800" b="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∏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𝑣𝑖𝑏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800" b="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it-IT" sz="1800" b="0" i="0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m:rPr>
                                <m:sty m:val="p"/>
                              </m:rPr>
                              <a:rPr lang="it-IT" sz="1800" b="0" i="0">
                                <a:latin typeface="Cambria Math" panose="02040503050406030204" pitchFamily="18" charset="0"/>
                              </a:rPr>
                              <m:t>exp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⁡(−</m:t>
                            </m:r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den>
                            </m:f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39" name="CasellaDiTesto 38">
              <a:extLst>
                <a:ext uri="{FF2B5EF4-FFF2-40B4-BE49-F238E27FC236}">
                  <a16:creationId xmlns:a16="http://schemas.microsoft.com/office/drawing/2014/main" id="{3AB902E0-3869-49F2-926A-3E1113FD49AA}"/>
                </a:ext>
              </a:extLst>
            </xdr:cNvPr>
            <xdr:cNvSpPr txBox="1"/>
          </xdr:nvSpPr>
          <xdr:spPr>
            <a:xfrm>
              <a:off x="480751" y="12308377"/>
              <a:ext cx="2764849" cy="917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Q_vib=∏_(𝑖=1)^(𝑁_𝑣𝑖𝑏)▒1/(1−exp⁡(−(ℎ𝜈_𝑖)/(𝑘_𝐵 𝑇)))</a:t>
              </a:r>
              <a:endParaRPr lang="it-IT" sz="1800"/>
            </a:p>
          </xdr:txBody>
        </xdr:sp>
      </mc:Fallback>
    </mc:AlternateContent>
    <xdr:clientData/>
  </xdr:oneCellAnchor>
  <xdr:twoCellAnchor editAs="oneCell">
    <xdr:from>
      <xdr:col>8</xdr:col>
      <xdr:colOff>381160</xdr:colOff>
      <xdr:row>5</xdr:row>
      <xdr:rowOff>160021</xdr:rowOff>
    </xdr:from>
    <xdr:to>
      <xdr:col>10</xdr:col>
      <xdr:colOff>1031953</xdr:colOff>
      <xdr:row>13</xdr:row>
      <xdr:rowOff>60961</xdr:rowOff>
    </xdr:to>
    <xdr:pic>
      <xdr:nvPicPr>
        <xdr:cNvPr id="41" name="Immagine 40">
          <a:extLst>
            <a:ext uri="{FF2B5EF4-FFF2-40B4-BE49-F238E27FC236}">
              <a16:creationId xmlns:a16="http://schemas.microsoft.com/office/drawing/2014/main" id="{58BDFFC4-5E38-88A6-661D-79FB366B9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76820" y="1127761"/>
          <a:ext cx="3195873" cy="1600200"/>
        </a:xfrm>
        <a:prstGeom prst="rect">
          <a:avLst/>
        </a:prstGeom>
      </xdr:spPr>
    </xdr:pic>
    <xdr:clientData/>
  </xdr:twoCellAnchor>
  <xdr:twoCellAnchor editAs="oneCell">
    <xdr:from>
      <xdr:col>8</xdr:col>
      <xdr:colOff>1135380</xdr:colOff>
      <xdr:row>13</xdr:row>
      <xdr:rowOff>190500</xdr:rowOff>
    </xdr:from>
    <xdr:to>
      <xdr:col>10</xdr:col>
      <xdr:colOff>541020</xdr:colOff>
      <xdr:row>21</xdr:row>
      <xdr:rowOff>163448</xdr:rowOff>
    </xdr:to>
    <xdr:pic>
      <xdr:nvPicPr>
        <xdr:cNvPr id="42" name="Immagine 41">
          <a:extLst>
            <a:ext uri="{FF2B5EF4-FFF2-40B4-BE49-F238E27FC236}">
              <a16:creationId xmlns:a16="http://schemas.microsoft.com/office/drawing/2014/main" id="{898D925C-DDFD-499B-9271-05C367D94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1040" y="2857500"/>
          <a:ext cx="1950720" cy="14512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45720</xdr:colOff>
      <xdr:row>1</xdr:row>
      <xdr:rowOff>201930</xdr:rowOff>
    </xdr:from>
    <xdr:ext cx="2179186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F2F4850-0794-9F82-0277-ABC50B0AC57D}"/>
                </a:ext>
              </a:extLst>
            </xdr:cNvPr>
            <xdr:cNvSpPr txBox="1"/>
          </xdr:nvSpPr>
          <xdr:spPr>
            <a:xfrm>
              <a:off x="1577340" y="201930"/>
              <a:ext cx="217918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80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it-IT" sz="180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it-IT" sz="180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→</m:t>
                    </m:r>
                    <m:r>
                      <a:rPr lang="it-IT" sz="180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it-IT" sz="180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F2F4850-0794-9F82-0277-ABC50B0AC57D}"/>
                </a:ext>
              </a:extLst>
            </xdr:cNvPr>
            <xdr:cNvSpPr txBox="1"/>
          </xdr:nvSpPr>
          <xdr:spPr>
            <a:xfrm>
              <a:off x="1577340" y="201930"/>
              <a:ext cx="217918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𝐶𝐻</a:t>
              </a:r>
              <a:r>
                <a:rPr lang="it-IT" sz="1800" b="0" i="0">
                  <a:latin typeface="Cambria Math" panose="02040503050406030204" pitchFamily="18" charset="0"/>
                </a:rPr>
                <a:t>_</a:t>
              </a:r>
              <a:r>
                <a:rPr lang="it-IT" sz="1800" i="0">
                  <a:latin typeface="Cambria Math" panose="02040503050406030204" pitchFamily="18" charset="0"/>
                </a:rPr>
                <a:t>4+𝐻</a:t>
              </a:r>
              <a:r>
                <a:rPr lang="it-IT" sz="1800" b="0" i="0">
                  <a:latin typeface="Cambria Math" panose="02040503050406030204" pitchFamily="18" charset="0"/>
                </a:rPr>
                <a:t>→</a:t>
              </a:r>
              <a:r>
                <a:rPr lang="it-IT" sz="1800" i="0">
                  <a:latin typeface="Cambria Math" panose="02040503050406030204" pitchFamily="18" charset="0"/>
                </a:rPr>
                <a:t>𝐶𝐻</a:t>
              </a:r>
              <a:r>
                <a:rPr lang="it-IT" sz="1800" b="0" i="0">
                  <a:latin typeface="Cambria Math" panose="02040503050406030204" pitchFamily="18" charset="0"/>
                </a:rPr>
                <a:t>_</a:t>
              </a:r>
              <a:r>
                <a:rPr lang="it-IT" sz="1800" i="0">
                  <a:latin typeface="Cambria Math" panose="02040503050406030204" pitchFamily="18" charset="0"/>
                </a:rPr>
                <a:t>3+𝐻</a:t>
              </a:r>
              <a:r>
                <a:rPr lang="it-IT" sz="1800" b="0" i="0">
                  <a:latin typeface="Cambria Math" panose="02040503050406030204" pitchFamily="18" charset="0"/>
                </a:rPr>
                <a:t>_</a:t>
              </a:r>
              <a:r>
                <a:rPr lang="it-IT" sz="1800" i="0">
                  <a:latin typeface="Cambria Math" panose="02040503050406030204" pitchFamily="18" charset="0"/>
                </a:rPr>
                <a:t>2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1</xdr:col>
      <xdr:colOff>15240</xdr:colOff>
      <xdr:row>3</xdr:row>
      <xdr:rowOff>49530</xdr:rowOff>
    </xdr:from>
    <xdr:ext cx="4629152" cy="8036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9527EA7A-2C44-4ABF-57D0-51591F1A25F1}"/>
                </a:ext>
              </a:extLst>
            </xdr:cNvPr>
            <xdr:cNvSpPr txBox="1"/>
          </xdr:nvSpPr>
          <xdr:spPr>
            <a:xfrm>
              <a:off x="1668780" y="689610"/>
              <a:ext cx="4629152" cy="8036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t-IT" sz="1800" b="0" i="1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𝑇𝑆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𝑅𝑒𝑎𝑔𝑒𝑛𝑡𝑖</m:t>
                            </m:r>
                          </m:sub>
                        </m:sSub>
                      </m:sup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𝑇𝑆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−(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𝐶</m:t>
                        </m:r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)</m:t>
                    </m:r>
                    <m:r>
                      <m:rPr>
                        <m:nor/>
                      </m:rPr>
                      <a:rPr lang="it-IT" sz="18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it-IT" sz="1800"/>
                      <m:t>​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9527EA7A-2C44-4ABF-57D0-51591F1A25F1}"/>
                </a:ext>
              </a:extLst>
            </xdr:cNvPr>
            <xdr:cNvSpPr txBox="1"/>
          </xdr:nvSpPr>
          <xdr:spPr>
            <a:xfrm>
              <a:off x="1668780" y="689610"/>
              <a:ext cx="4629152" cy="8036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800" b="0" i="0">
                  <a:latin typeface="Cambria Math" panose="02040503050406030204" pitchFamily="18" charset="0"/>
                </a:rPr>
                <a:t>Δ𝐸_𝐴=𝐸_𝑇𝑆−∑24_𝑖^(𝑁_𝑅𝑒𝑎𝑔𝑒𝑛𝑡𝑖)▒𝐸_𝑖 =𝐸_𝑇𝑆−(𝐸_(𝐶𝐻_4 )+𝐸_𝐻)" </a:t>
              </a:r>
              <a:r>
                <a:rPr lang="it-IT" sz="1800" i="0">
                  <a:latin typeface="Cambria Math" panose="02040503050406030204" pitchFamily="18" charset="0"/>
                </a:rPr>
                <a:t>​</a:t>
              </a:r>
              <a:r>
                <a:rPr lang="it-IT" sz="1800" i="0"/>
                <a:t>"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9</xdr:col>
      <xdr:colOff>121920</xdr:colOff>
      <xdr:row>4</xdr:row>
      <xdr:rowOff>133350</xdr:rowOff>
    </xdr:from>
    <xdr:ext cx="2106346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6AF3733F-C692-8C31-1DE1-1679C3C5CE40}"/>
                </a:ext>
              </a:extLst>
            </xdr:cNvPr>
            <xdr:cNvSpPr txBox="1"/>
          </xdr:nvSpPr>
          <xdr:spPr>
            <a:xfrm>
              <a:off x="7467600" y="956310"/>
              <a:ext cx="210634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𝑆𝐶𝐹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𝑍𝑃𝐸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 , ∀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6AF3733F-C692-8C31-1DE1-1679C3C5CE40}"/>
                </a:ext>
              </a:extLst>
            </xdr:cNvPr>
            <xdr:cNvSpPr txBox="1"/>
          </xdr:nvSpPr>
          <xdr:spPr>
            <a:xfrm>
              <a:off x="7467600" y="956310"/>
              <a:ext cx="210634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800" b="0" i="0">
                  <a:latin typeface="Cambria Math" panose="02040503050406030204" pitchFamily="18" charset="0"/>
                </a:rPr>
                <a:t>𝐸_𝑖=𝐸_𝑆𝐶𝐹+𝐸_𝑍𝑃𝐸  , ∀𝑖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</xdr:col>
      <xdr:colOff>45720</xdr:colOff>
      <xdr:row>40</xdr:row>
      <xdr:rowOff>179070</xdr:rowOff>
    </xdr:from>
    <xdr:ext cx="2280881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B3525795-FE93-4514-B5BE-7D8A976255A6}"/>
                </a:ext>
              </a:extLst>
            </xdr:cNvPr>
            <xdr:cNvSpPr txBox="1"/>
          </xdr:nvSpPr>
          <xdr:spPr>
            <a:xfrm>
              <a:off x="1874520" y="7760970"/>
              <a:ext cx="2280881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80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it-IT" sz="180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it-IT" sz="180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180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it-IT" sz="180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B3525795-FE93-4514-B5BE-7D8A976255A6}"/>
                </a:ext>
              </a:extLst>
            </xdr:cNvPr>
            <xdr:cNvSpPr txBox="1"/>
          </xdr:nvSpPr>
          <xdr:spPr>
            <a:xfrm>
              <a:off x="1874520" y="7760970"/>
              <a:ext cx="2280881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𝐶𝐻</a:t>
              </a:r>
              <a:r>
                <a:rPr lang="it-IT" sz="1800" b="0" i="0">
                  <a:latin typeface="Cambria Math" panose="02040503050406030204" pitchFamily="18" charset="0"/>
                </a:rPr>
                <a:t>_</a:t>
              </a:r>
              <a:r>
                <a:rPr lang="it-IT" sz="1800" i="0">
                  <a:latin typeface="Cambria Math" panose="02040503050406030204" pitchFamily="18" charset="0"/>
                </a:rPr>
                <a:t>4+𝐻</a:t>
              </a:r>
              <a:r>
                <a:rPr lang="it-IT" sz="1800" b="0" i="0">
                  <a:latin typeface="Cambria Math" panose="02040503050406030204" pitchFamily="18" charset="0"/>
                </a:rPr>
                <a:t> 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</a:t>
              </a:r>
              <a:r>
                <a:rPr lang="it-IT" sz="1800" b="0" i="0">
                  <a:latin typeface="Cambria Math" panose="02040503050406030204" pitchFamily="18" charset="0"/>
                </a:rPr>
                <a:t> </a:t>
              </a:r>
              <a:r>
                <a:rPr lang="it-IT" sz="1800" i="0">
                  <a:latin typeface="Cambria Math" panose="02040503050406030204" pitchFamily="18" charset="0"/>
                </a:rPr>
                <a:t>𝐶𝐻</a:t>
              </a:r>
              <a:r>
                <a:rPr lang="it-IT" sz="1800" b="0" i="0">
                  <a:latin typeface="Cambria Math" panose="02040503050406030204" pitchFamily="18" charset="0"/>
                </a:rPr>
                <a:t>_</a:t>
              </a:r>
              <a:r>
                <a:rPr lang="it-IT" sz="1800" i="0">
                  <a:latin typeface="Cambria Math" panose="02040503050406030204" pitchFamily="18" charset="0"/>
                </a:rPr>
                <a:t>3+𝐻</a:t>
              </a:r>
              <a:r>
                <a:rPr lang="it-IT" sz="1800" b="0" i="0">
                  <a:latin typeface="Cambria Math" panose="02040503050406030204" pitchFamily="18" charset="0"/>
                </a:rPr>
                <a:t>_</a:t>
              </a:r>
              <a:r>
                <a:rPr lang="it-IT" sz="1800" i="0">
                  <a:latin typeface="Cambria Math" panose="02040503050406030204" pitchFamily="18" charset="0"/>
                </a:rPr>
                <a:t>2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9</xdr:col>
      <xdr:colOff>121920</xdr:colOff>
      <xdr:row>43</xdr:row>
      <xdr:rowOff>133350</xdr:rowOff>
    </xdr:from>
    <xdr:ext cx="2106346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F598809F-A630-4FF2-B155-E5B171BB4A89}"/>
                </a:ext>
              </a:extLst>
            </xdr:cNvPr>
            <xdr:cNvSpPr txBox="1"/>
          </xdr:nvSpPr>
          <xdr:spPr>
            <a:xfrm>
              <a:off x="9540240" y="956310"/>
              <a:ext cx="210634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𝑆𝐶𝐹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𝑍𝑃𝐸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 , ∀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F598809F-A630-4FF2-B155-E5B171BB4A89}"/>
                </a:ext>
              </a:extLst>
            </xdr:cNvPr>
            <xdr:cNvSpPr txBox="1"/>
          </xdr:nvSpPr>
          <xdr:spPr>
            <a:xfrm>
              <a:off x="9540240" y="956310"/>
              <a:ext cx="210634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𝐸_𝑖=𝐸_𝑆𝐶𝐹+𝐸_𝑍𝑃𝐸  , ∀𝑖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</xdr:col>
      <xdr:colOff>30480</xdr:colOff>
      <xdr:row>43</xdr:row>
      <xdr:rowOff>30480</xdr:rowOff>
    </xdr:from>
    <xdr:ext cx="4694747" cy="8025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B660FB42-0D17-46D7-8DFF-4C5BC9A961AA}"/>
                </a:ext>
              </a:extLst>
            </xdr:cNvPr>
            <xdr:cNvSpPr txBox="1"/>
          </xdr:nvSpPr>
          <xdr:spPr>
            <a:xfrm>
              <a:off x="1859280" y="8206740"/>
              <a:ext cx="4694747" cy="8025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t-IT" sz="1800" b="0" i="1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𝑇𝑆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𝑝𝑟𝑜𝑑𝑜𝑡𝑡𝑖</m:t>
                            </m:r>
                          </m:sub>
                        </m:sSub>
                      </m:sup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𝑇𝑆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−(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𝐶</m:t>
                        </m:r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)</m:t>
                    </m:r>
                    <m:r>
                      <m:rPr>
                        <m:nor/>
                      </m:rPr>
                      <a:rPr lang="it-IT" sz="18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it-IT" sz="1800"/>
                      <m:t>​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B660FB42-0D17-46D7-8DFF-4C5BC9A961AA}"/>
                </a:ext>
              </a:extLst>
            </xdr:cNvPr>
            <xdr:cNvSpPr txBox="1"/>
          </xdr:nvSpPr>
          <xdr:spPr>
            <a:xfrm>
              <a:off x="1859280" y="8206740"/>
              <a:ext cx="4694747" cy="8025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Δ𝐸_𝐴=𝐸_𝑇𝑆−∑_𝑖^(𝑁_𝑝𝑟𝑜𝑑𝑜𝑡𝑡𝑖)▒𝐸_𝑖 =𝐸_𝑇𝑆−(𝐸_(𝐶𝐻_3 )+𝐸_(𝐻_2 ))" </a:t>
              </a:r>
              <a:r>
                <a:rPr lang="it-IT" sz="1800" i="0">
                  <a:latin typeface="Cambria Math" panose="02040503050406030204" pitchFamily="18" charset="0"/>
                </a:rPr>
                <a:t>​</a:t>
              </a:r>
              <a:r>
                <a:rPr lang="it-IT" sz="1800" i="0"/>
                <a:t>"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</xdr:col>
      <xdr:colOff>358140</xdr:colOff>
      <xdr:row>87</xdr:row>
      <xdr:rowOff>57150</xdr:rowOff>
    </xdr:from>
    <xdr:ext cx="2152384" cy="9742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9D50FDE1-5DAF-41BD-9B95-3F817338E4B2}"/>
                </a:ext>
              </a:extLst>
            </xdr:cNvPr>
            <xdr:cNvSpPr txBox="1"/>
          </xdr:nvSpPr>
          <xdr:spPr>
            <a:xfrm>
              <a:off x="2186940" y="18604230"/>
              <a:ext cx="2152384" cy="9742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800" b="0" i="1">
                        <a:latin typeface="Cambria Math" panose="02040503050406030204" pitchFamily="18" charset="0"/>
                      </a:rPr>
                      <m:t>𝜅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=1+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24</m:t>
                        </m:r>
                      </m:den>
                    </m:f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  <m:sSup>
                                  <m:sSup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p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𝑖𝑚𝑔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it-IT" sz="18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9D50FDE1-5DAF-41BD-9B95-3F817338E4B2}"/>
                </a:ext>
              </a:extLst>
            </xdr:cNvPr>
            <xdr:cNvSpPr txBox="1"/>
          </xdr:nvSpPr>
          <xdr:spPr>
            <a:xfrm>
              <a:off x="2186940" y="18604230"/>
              <a:ext cx="2152384" cy="9742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𝜅=1+1/24 ((ℎ𝜈^𝑖𝑚𝑔)/(𝑘_𝐵 𝑇))^2</a:t>
              </a:r>
              <a:endParaRPr lang="it-IT" sz="1800" b="0" i="1">
                <a:latin typeface="Cambria Math" panose="02040503050406030204" pitchFamily="18" charset="0"/>
              </a:endParaRPr>
            </a:p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 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5</xdr:col>
      <xdr:colOff>22860</xdr:colOff>
      <xdr:row>88</xdr:row>
      <xdr:rowOff>26670</xdr:rowOff>
    </xdr:from>
    <xdr:ext cx="541880" cy="197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sellaDiTesto 12">
              <a:extLst>
                <a:ext uri="{FF2B5EF4-FFF2-40B4-BE49-F238E27FC236}">
                  <a16:creationId xmlns:a16="http://schemas.microsoft.com/office/drawing/2014/main" id="{63557B39-A863-4067-A5A2-014F3692F195}"/>
                </a:ext>
              </a:extLst>
            </xdr:cNvPr>
            <xdr:cNvSpPr txBox="1"/>
          </xdr:nvSpPr>
          <xdr:spPr>
            <a:xfrm>
              <a:off x="5935980" y="18802350"/>
              <a:ext cx="541880" cy="197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200" b="0" i="1">
                        <a:latin typeface="Cambria Math" panose="02040503050406030204" pitchFamily="18" charset="0"/>
                      </a:rPr>
                      <m:t>  </m:t>
                    </m:r>
                    <m:sSup>
                      <m:sSupPr>
                        <m:ctrlPr>
                          <a:rPr lang="it-IT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200" b="0" i="1">
                            <a:latin typeface="Cambria Math" panose="02040503050406030204" pitchFamily="18" charset="0"/>
                          </a:rPr>
                          <m:t>𝜈</m:t>
                        </m:r>
                      </m:e>
                      <m:sup>
                        <m:r>
                          <a:rPr lang="it-IT" sz="1200" b="0" i="1">
                            <a:latin typeface="Cambria Math" panose="02040503050406030204" pitchFamily="18" charset="0"/>
                          </a:rPr>
                          <m:t>𝑖𝑚𝑔</m:t>
                        </m:r>
                        <m:r>
                          <a:rPr lang="it-IT" sz="1200" b="0" i="1">
                            <a:latin typeface="Cambria Math" panose="02040503050406030204" pitchFamily="18" charset="0"/>
                          </a:rPr>
                          <m:t> </m:t>
                        </m:r>
                      </m:sup>
                    </m:sSup>
                    <m:r>
                      <a:rPr lang="it-IT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1200" b="0" i="0"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lang="it-IT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13" name="CasellaDiTesto 12">
              <a:extLst>
                <a:ext uri="{FF2B5EF4-FFF2-40B4-BE49-F238E27FC236}">
                  <a16:creationId xmlns:a16="http://schemas.microsoft.com/office/drawing/2014/main" id="{63557B39-A863-4067-A5A2-014F3692F195}"/>
                </a:ext>
              </a:extLst>
            </xdr:cNvPr>
            <xdr:cNvSpPr txBox="1"/>
          </xdr:nvSpPr>
          <xdr:spPr>
            <a:xfrm>
              <a:off x="5935980" y="18802350"/>
              <a:ext cx="541880" cy="197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200" b="0" i="0">
                  <a:latin typeface="Cambria Math" panose="02040503050406030204" pitchFamily="18" charset="0"/>
                </a:rPr>
                <a:t>  𝜈^(𝑖𝑚𝑔 )    </a:t>
              </a:r>
              <a:endParaRPr lang="it-IT" sz="1100">
                <a:latin typeface="+mj-lt"/>
              </a:endParaRPr>
            </a:p>
          </xdr:txBody>
        </xdr:sp>
      </mc:Fallback>
    </mc:AlternateContent>
    <xdr:clientData/>
  </xdr:oneCellAnchor>
  <xdr:oneCellAnchor>
    <xdr:from>
      <xdr:col>5</xdr:col>
      <xdr:colOff>487680</xdr:colOff>
      <xdr:row>88</xdr:row>
      <xdr:rowOff>0</xdr:rowOff>
    </xdr:from>
    <xdr:ext cx="4772525" cy="264560"/>
    <xdr:sp macro="" textlink="">
      <xdr:nvSpPr>
        <xdr:cNvPr id="14" name="CasellaDiTesto 13">
          <a:extLst>
            <a:ext uri="{FF2B5EF4-FFF2-40B4-BE49-F238E27FC236}">
              <a16:creationId xmlns:a16="http://schemas.microsoft.com/office/drawing/2014/main" id="{4D3F9B3C-7091-411C-AB7A-FA1AAD8AF142}"/>
            </a:ext>
          </a:extLst>
        </xdr:cNvPr>
        <xdr:cNvSpPr txBox="1"/>
      </xdr:nvSpPr>
      <xdr:spPr>
        <a:xfrm>
          <a:off x="6400800" y="18775680"/>
          <a:ext cx="47725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 baseline="0">
              <a:latin typeface="+mn-lt"/>
            </a:rPr>
            <a:t>: frequenza immaginaria associata al modo vibrazionale dello stato di transizione</a:t>
          </a:r>
          <a:endParaRPr lang="it-IT" sz="1100">
            <a:latin typeface="+mn-lt"/>
          </a:endParaRPr>
        </a:p>
      </xdr:txBody>
    </xdr:sp>
    <xdr:clientData/>
  </xdr:oneCellAnchor>
  <xdr:oneCellAnchor>
    <xdr:from>
      <xdr:col>1</xdr:col>
      <xdr:colOff>350520</xdr:colOff>
      <xdr:row>92</xdr:row>
      <xdr:rowOff>11430</xdr:rowOff>
    </xdr:from>
    <xdr:ext cx="993990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6B0B3DD4-3AA8-4516-9387-103DF9CE820E}"/>
                </a:ext>
              </a:extLst>
            </xdr:cNvPr>
            <xdr:cNvSpPr txBox="1"/>
          </xdr:nvSpPr>
          <xdr:spPr>
            <a:xfrm>
              <a:off x="2179320" y="18726150"/>
              <a:ext cx="99399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𝜅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𝑘</m:t>
                    </m:r>
                  </m:oMath>
                </m:oMathPara>
              </a14:m>
              <a:endParaRPr lang="it-IT" sz="1100" b="0"/>
            </a:p>
          </xdr:txBody>
        </xdr:sp>
      </mc:Choice>
      <mc:Fallback xmlns="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6B0B3DD4-3AA8-4516-9387-103DF9CE820E}"/>
                </a:ext>
              </a:extLst>
            </xdr:cNvPr>
            <xdr:cNvSpPr txBox="1"/>
          </xdr:nvSpPr>
          <xdr:spPr>
            <a:xfrm>
              <a:off x="2179320" y="18726150"/>
              <a:ext cx="99399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𝑘^′=𝜅⋅𝑘</a:t>
              </a:r>
              <a:endParaRPr lang="it-IT" sz="1100" b="0"/>
            </a:p>
          </xdr:txBody>
        </xdr:sp>
      </mc:Fallback>
    </mc:AlternateContent>
    <xdr:clientData/>
  </xdr:oneCellAnchor>
  <xdr:oneCellAnchor>
    <xdr:from>
      <xdr:col>1</xdr:col>
      <xdr:colOff>45720</xdr:colOff>
      <xdr:row>98</xdr:row>
      <xdr:rowOff>201930</xdr:rowOff>
    </xdr:from>
    <xdr:ext cx="2179186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2DE2A6AC-6313-42D1-A78B-73DD20FFF705}"/>
                </a:ext>
              </a:extLst>
            </xdr:cNvPr>
            <xdr:cNvSpPr txBox="1"/>
          </xdr:nvSpPr>
          <xdr:spPr>
            <a:xfrm>
              <a:off x="1874520" y="201930"/>
              <a:ext cx="217918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80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it-IT" sz="180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it-IT" sz="180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→</m:t>
                    </m:r>
                    <m:r>
                      <a:rPr lang="it-IT" sz="180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it-IT" sz="180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2DE2A6AC-6313-42D1-A78B-73DD20FFF705}"/>
                </a:ext>
              </a:extLst>
            </xdr:cNvPr>
            <xdr:cNvSpPr txBox="1"/>
          </xdr:nvSpPr>
          <xdr:spPr>
            <a:xfrm>
              <a:off x="1874520" y="201930"/>
              <a:ext cx="217918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𝐶𝐻</a:t>
              </a:r>
              <a:r>
                <a:rPr lang="it-IT" sz="1800" b="0" i="0">
                  <a:latin typeface="Cambria Math" panose="02040503050406030204" pitchFamily="18" charset="0"/>
                </a:rPr>
                <a:t>_</a:t>
              </a:r>
              <a:r>
                <a:rPr lang="it-IT" sz="1800" i="0">
                  <a:latin typeface="Cambria Math" panose="02040503050406030204" pitchFamily="18" charset="0"/>
                </a:rPr>
                <a:t>4+𝐻</a:t>
              </a:r>
              <a:r>
                <a:rPr lang="it-IT" sz="1800" b="0" i="0">
                  <a:latin typeface="Cambria Math" panose="02040503050406030204" pitchFamily="18" charset="0"/>
                </a:rPr>
                <a:t>→</a:t>
              </a:r>
              <a:r>
                <a:rPr lang="it-IT" sz="1800" i="0">
                  <a:latin typeface="Cambria Math" panose="02040503050406030204" pitchFamily="18" charset="0"/>
                </a:rPr>
                <a:t>𝐶𝐻</a:t>
              </a:r>
              <a:r>
                <a:rPr lang="it-IT" sz="1800" b="0" i="0">
                  <a:latin typeface="Cambria Math" panose="02040503050406030204" pitchFamily="18" charset="0"/>
                </a:rPr>
                <a:t>_</a:t>
              </a:r>
              <a:r>
                <a:rPr lang="it-IT" sz="1800" i="0">
                  <a:latin typeface="Cambria Math" panose="02040503050406030204" pitchFamily="18" charset="0"/>
                </a:rPr>
                <a:t>3+𝐻</a:t>
              </a:r>
              <a:r>
                <a:rPr lang="it-IT" sz="1800" b="0" i="0">
                  <a:latin typeface="Cambria Math" panose="02040503050406030204" pitchFamily="18" charset="0"/>
                </a:rPr>
                <a:t>_</a:t>
              </a:r>
              <a:r>
                <a:rPr lang="it-IT" sz="1800" i="0">
                  <a:latin typeface="Cambria Math" panose="02040503050406030204" pitchFamily="18" charset="0"/>
                </a:rPr>
                <a:t>2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1</xdr:col>
      <xdr:colOff>45720</xdr:colOff>
      <xdr:row>123</xdr:row>
      <xdr:rowOff>179070</xdr:rowOff>
    </xdr:from>
    <xdr:ext cx="2280881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sellaDiTesto 16">
              <a:extLst>
                <a:ext uri="{FF2B5EF4-FFF2-40B4-BE49-F238E27FC236}">
                  <a16:creationId xmlns:a16="http://schemas.microsoft.com/office/drawing/2014/main" id="{81ECBBEC-55A9-42D4-8B74-B523DBAD4989}"/>
                </a:ext>
              </a:extLst>
            </xdr:cNvPr>
            <xdr:cNvSpPr txBox="1"/>
          </xdr:nvSpPr>
          <xdr:spPr>
            <a:xfrm>
              <a:off x="1874520" y="7760970"/>
              <a:ext cx="2280881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80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it-IT" sz="180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it-IT" sz="180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180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it-IT" sz="180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17" name="CasellaDiTesto 16">
              <a:extLst>
                <a:ext uri="{FF2B5EF4-FFF2-40B4-BE49-F238E27FC236}">
                  <a16:creationId xmlns:a16="http://schemas.microsoft.com/office/drawing/2014/main" id="{81ECBBEC-55A9-42D4-8B74-B523DBAD4989}"/>
                </a:ext>
              </a:extLst>
            </xdr:cNvPr>
            <xdr:cNvSpPr txBox="1"/>
          </xdr:nvSpPr>
          <xdr:spPr>
            <a:xfrm>
              <a:off x="1874520" y="7760970"/>
              <a:ext cx="2280881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𝐶𝐻</a:t>
              </a:r>
              <a:r>
                <a:rPr lang="it-IT" sz="1800" b="0" i="0">
                  <a:latin typeface="Cambria Math" panose="02040503050406030204" pitchFamily="18" charset="0"/>
                </a:rPr>
                <a:t>_</a:t>
              </a:r>
              <a:r>
                <a:rPr lang="it-IT" sz="1800" i="0">
                  <a:latin typeface="Cambria Math" panose="02040503050406030204" pitchFamily="18" charset="0"/>
                </a:rPr>
                <a:t>4+𝐻</a:t>
              </a:r>
              <a:r>
                <a:rPr lang="it-IT" sz="1800" b="0" i="0">
                  <a:latin typeface="Cambria Math" panose="02040503050406030204" pitchFamily="18" charset="0"/>
                </a:rPr>
                <a:t> 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</a:t>
              </a:r>
              <a:r>
                <a:rPr lang="it-IT" sz="1800" b="0" i="0">
                  <a:latin typeface="Cambria Math" panose="02040503050406030204" pitchFamily="18" charset="0"/>
                </a:rPr>
                <a:t> </a:t>
              </a:r>
              <a:r>
                <a:rPr lang="it-IT" sz="1800" i="0">
                  <a:latin typeface="Cambria Math" panose="02040503050406030204" pitchFamily="18" charset="0"/>
                </a:rPr>
                <a:t>𝐶𝐻</a:t>
              </a:r>
              <a:r>
                <a:rPr lang="it-IT" sz="1800" b="0" i="0">
                  <a:latin typeface="Cambria Math" panose="02040503050406030204" pitchFamily="18" charset="0"/>
                </a:rPr>
                <a:t>_</a:t>
              </a:r>
              <a:r>
                <a:rPr lang="it-IT" sz="1800" i="0">
                  <a:latin typeface="Cambria Math" panose="02040503050406030204" pitchFamily="18" charset="0"/>
                </a:rPr>
                <a:t>3+𝐻</a:t>
              </a:r>
              <a:r>
                <a:rPr lang="it-IT" sz="1800" b="0" i="0">
                  <a:latin typeface="Cambria Math" panose="02040503050406030204" pitchFamily="18" charset="0"/>
                </a:rPr>
                <a:t>_</a:t>
              </a:r>
              <a:r>
                <a:rPr lang="it-IT" sz="1800" i="0">
                  <a:latin typeface="Cambria Math" panose="02040503050406030204" pitchFamily="18" charset="0"/>
                </a:rPr>
                <a:t>2</a:t>
              </a:r>
              <a:endParaRPr lang="it-IT" sz="1800"/>
            </a:p>
          </xdr:txBody>
        </xdr:sp>
      </mc:Fallback>
    </mc:AlternateContent>
    <xdr:clientData/>
  </xdr:oneCellAnchor>
  <xdr:twoCellAnchor>
    <xdr:from>
      <xdr:col>8</xdr:col>
      <xdr:colOff>685800</xdr:colOff>
      <xdr:row>12</xdr:row>
      <xdr:rowOff>106680</xdr:rowOff>
    </xdr:from>
    <xdr:to>
      <xdr:col>13</xdr:col>
      <xdr:colOff>152400</xdr:colOff>
      <xdr:row>15</xdr:row>
      <xdr:rowOff>0</xdr:rowOff>
    </xdr:to>
    <xdr:sp macro="" textlink="">
      <xdr:nvSpPr>
        <xdr:cNvPr id="20" name="CasellaDiTesto 19">
          <a:extLst>
            <a:ext uri="{FF2B5EF4-FFF2-40B4-BE49-F238E27FC236}">
              <a16:creationId xmlns:a16="http://schemas.microsoft.com/office/drawing/2014/main" id="{64486778-2247-F20B-7115-A94ECC632C74}"/>
            </a:ext>
          </a:extLst>
        </xdr:cNvPr>
        <xdr:cNvSpPr txBox="1"/>
      </xdr:nvSpPr>
      <xdr:spPr>
        <a:xfrm>
          <a:off x="10256520" y="2583180"/>
          <a:ext cx="4175760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https://kinetics.nist.gov/kinetics/Detail?id=1984WAR197C:14</a:t>
          </a:r>
        </a:p>
      </xdr:txBody>
    </xdr:sp>
    <xdr:clientData/>
  </xdr:twoCellAnchor>
  <xdr:twoCellAnchor>
    <xdr:from>
      <xdr:col>10</xdr:col>
      <xdr:colOff>563880</xdr:colOff>
      <xdr:row>13</xdr:row>
      <xdr:rowOff>167640</xdr:rowOff>
    </xdr:from>
    <xdr:to>
      <xdr:col>10</xdr:col>
      <xdr:colOff>579120</xdr:colOff>
      <xdr:row>16</xdr:row>
      <xdr:rowOff>15240</xdr:rowOff>
    </xdr:to>
    <xdr:cxnSp macro="">
      <xdr:nvCxnSpPr>
        <xdr:cNvPr id="22" name="Connettore 2 21">
          <a:extLst>
            <a:ext uri="{FF2B5EF4-FFF2-40B4-BE49-F238E27FC236}">
              <a16:creationId xmlns:a16="http://schemas.microsoft.com/office/drawing/2014/main" id="{67E76A06-25A8-7341-5706-874A7029020D}"/>
            </a:ext>
          </a:extLst>
        </xdr:cNvPr>
        <xdr:cNvCxnSpPr/>
      </xdr:nvCxnSpPr>
      <xdr:spPr>
        <a:xfrm flipH="1" flipV="1">
          <a:off x="12230100" y="2872740"/>
          <a:ext cx="15240" cy="3962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342900</xdr:colOff>
      <xdr:row>11</xdr:row>
      <xdr:rowOff>144780</xdr:rowOff>
    </xdr:from>
    <xdr:to>
      <xdr:col>4</xdr:col>
      <xdr:colOff>533400</xdr:colOff>
      <xdr:row>15</xdr:row>
      <xdr:rowOff>88701</xdr:rowOff>
    </xdr:to>
    <xdr:pic>
      <xdr:nvPicPr>
        <xdr:cNvPr id="23" name="Immagine 22">
          <a:extLst>
            <a:ext uri="{FF2B5EF4-FFF2-40B4-BE49-F238E27FC236}">
              <a16:creationId xmlns:a16="http://schemas.microsoft.com/office/drawing/2014/main" id="{248F6A6D-36A3-BABE-1894-C6481E5C3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1700" y="2438400"/>
          <a:ext cx="3253740" cy="721161"/>
        </a:xfrm>
        <a:prstGeom prst="rect">
          <a:avLst/>
        </a:prstGeom>
      </xdr:spPr>
    </xdr:pic>
    <xdr:clientData/>
  </xdr:twoCellAnchor>
  <xdr:twoCellAnchor editAs="oneCell">
    <xdr:from>
      <xdr:col>1</xdr:col>
      <xdr:colOff>480060</xdr:colOff>
      <xdr:row>52</xdr:row>
      <xdr:rowOff>137160</xdr:rowOff>
    </xdr:from>
    <xdr:to>
      <xdr:col>4</xdr:col>
      <xdr:colOff>670560</xdr:colOff>
      <xdr:row>56</xdr:row>
      <xdr:rowOff>81081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6ECB956-E6D7-451E-A4E8-276F1D620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8860" y="10149840"/>
          <a:ext cx="3253740" cy="721161"/>
        </a:xfrm>
        <a:prstGeom prst="rect">
          <a:avLst/>
        </a:prstGeom>
      </xdr:spPr>
    </xdr:pic>
    <xdr:clientData/>
  </xdr:twoCellAnchor>
  <xdr:twoCellAnchor editAs="oneCell">
    <xdr:from>
      <xdr:col>11</xdr:col>
      <xdr:colOff>112614</xdr:colOff>
      <xdr:row>15</xdr:row>
      <xdr:rowOff>175259</xdr:rowOff>
    </xdr:from>
    <xdr:to>
      <xdr:col>19</xdr:col>
      <xdr:colOff>289560</xdr:colOff>
      <xdr:row>37</xdr:row>
      <xdr:rowOff>142602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4040825E-E268-0853-4869-36D0133B3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1834" y="3246119"/>
          <a:ext cx="5373786" cy="4028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117924</xdr:colOff>
      <xdr:row>58</xdr:row>
      <xdr:rowOff>53340</xdr:rowOff>
    </xdr:from>
    <xdr:to>
      <xdr:col>19</xdr:col>
      <xdr:colOff>389248</xdr:colOff>
      <xdr:row>77</xdr:row>
      <xdr:rowOff>60960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895459E9-36C0-D590-C0D1-C086FBDFD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7144" y="11216640"/>
          <a:ext cx="5468164" cy="409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632460</xdr:colOff>
      <xdr:row>53</xdr:row>
      <xdr:rowOff>0</xdr:rowOff>
    </xdr:from>
    <xdr:to>
      <xdr:col>12</xdr:col>
      <xdr:colOff>350520</xdr:colOff>
      <xdr:row>55</xdr:row>
      <xdr:rowOff>83820</xdr:rowOff>
    </xdr:to>
    <xdr:sp macro="" textlink="">
      <xdr:nvSpPr>
        <xdr:cNvPr id="21" name="CasellaDiTesto 20">
          <a:extLst>
            <a:ext uri="{FF2B5EF4-FFF2-40B4-BE49-F238E27FC236}">
              <a16:creationId xmlns:a16="http://schemas.microsoft.com/office/drawing/2014/main" id="{56AC079E-2270-5406-ACC0-190CA7AEC066}"/>
            </a:ext>
          </a:extLst>
        </xdr:cNvPr>
        <xdr:cNvSpPr txBox="1"/>
      </xdr:nvSpPr>
      <xdr:spPr>
        <a:xfrm>
          <a:off x="11292840" y="10195560"/>
          <a:ext cx="259842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https://kinetics.nist.gov/kinetics/Detail?id=1992BAU/COB411-429:109</a:t>
          </a:r>
        </a:p>
      </xdr:txBody>
    </xdr:sp>
    <xdr:clientData/>
  </xdr:twoCellAnchor>
  <xdr:twoCellAnchor>
    <xdr:from>
      <xdr:col>10</xdr:col>
      <xdr:colOff>594360</xdr:colOff>
      <xdr:row>54</xdr:row>
      <xdr:rowOff>144780</xdr:rowOff>
    </xdr:from>
    <xdr:to>
      <xdr:col>10</xdr:col>
      <xdr:colOff>609600</xdr:colOff>
      <xdr:row>56</xdr:row>
      <xdr:rowOff>175260</xdr:rowOff>
    </xdr:to>
    <xdr:cxnSp macro="">
      <xdr:nvCxnSpPr>
        <xdr:cNvPr id="25" name="Connettore 2 24">
          <a:extLst>
            <a:ext uri="{FF2B5EF4-FFF2-40B4-BE49-F238E27FC236}">
              <a16:creationId xmlns:a16="http://schemas.microsoft.com/office/drawing/2014/main" id="{F3122ECE-C79C-4EB8-9CAC-06E1D36CD253}"/>
            </a:ext>
          </a:extLst>
        </xdr:cNvPr>
        <xdr:cNvCxnSpPr/>
      </xdr:nvCxnSpPr>
      <xdr:spPr>
        <a:xfrm flipH="1" flipV="1">
          <a:off x="12329160" y="10568940"/>
          <a:ext cx="15240" cy="3962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158230</xdr:colOff>
      <xdr:row>102</xdr:row>
      <xdr:rowOff>7620</xdr:rowOff>
    </xdr:from>
    <xdr:to>
      <xdr:col>13</xdr:col>
      <xdr:colOff>76199</xdr:colOff>
      <xdr:row>121</xdr:row>
      <xdr:rowOff>30480</xdr:rowOff>
    </xdr:to>
    <xdr:pic>
      <xdr:nvPicPr>
        <xdr:cNvPr id="26" name="Immagine 25">
          <a:extLst>
            <a:ext uri="{FF2B5EF4-FFF2-40B4-BE49-F238E27FC236}">
              <a16:creationId xmlns:a16="http://schemas.microsoft.com/office/drawing/2014/main" id="{25364250-B684-4306-796B-FEAB2DCBF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8950" y="20947380"/>
          <a:ext cx="4695709" cy="352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124197</xdr:colOff>
      <xdr:row>125</xdr:row>
      <xdr:rowOff>53340</xdr:rowOff>
    </xdr:from>
    <xdr:to>
      <xdr:col>13</xdr:col>
      <xdr:colOff>99059</xdr:colOff>
      <xdr:row>144</xdr:row>
      <xdr:rowOff>111234</xdr:rowOff>
    </xdr:to>
    <xdr:pic>
      <xdr:nvPicPr>
        <xdr:cNvPr id="27" name="Immagine 26">
          <a:extLst>
            <a:ext uri="{FF2B5EF4-FFF2-40B4-BE49-F238E27FC236}">
              <a16:creationId xmlns:a16="http://schemas.microsoft.com/office/drawing/2014/main" id="{B46AAC1A-B566-0F5E-8BAA-ABA9D3B63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4917" y="25275540"/>
          <a:ext cx="4752602" cy="3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2"/>
  <sheetViews>
    <sheetView workbookViewId="0">
      <selection activeCell="B131" sqref="B131"/>
    </sheetView>
  </sheetViews>
  <sheetFormatPr defaultRowHeight="14.4" x14ac:dyDescent="0.3"/>
  <cols>
    <col min="1" max="1" width="29.88671875" style="5" bestFit="1" customWidth="1"/>
    <col min="2" max="2" width="16.5546875" style="5" bestFit="1" customWidth="1"/>
    <col min="3" max="3" width="14.6640625" style="5" bestFit="1" customWidth="1"/>
    <col min="4" max="4" width="29.88671875" style="5" bestFit="1" customWidth="1"/>
    <col min="5" max="5" width="14.6640625" style="5" bestFit="1" customWidth="1"/>
    <col min="6" max="6" width="19.44140625" style="5" bestFit="1" customWidth="1"/>
    <col min="7" max="7" width="18.33203125" style="5" bestFit="1" customWidth="1"/>
    <col min="8" max="8" width="19.21875" style="5" bestFit="1" customWidth="1"/>
    <col min="9" max="9" width="16.77734375" style="5" bestFit="1" customWidth="1"/>
    <col min="10" max="10" width="20.33203125" style="5" bestFit="1" customWidth="1"/>
    <col min="11" max="11" width="21.109375" style="5" bestFit="1" customWidth="1"/>
    <col min="12" max="12" width="15.21875" style="5" bestFit="1" customWidth="1"/>
    <col min="13" max="14" width="20.33203125" style="5" bestFit="1" customWidth="1"/>
    <col min="15" max="15" width="14.77734375" style="5" bestFit="1" customWidth="1"/>
    <col min="16" max="16" width="8.88671875" style="5"/>
    <col min="17" max="17" width="12.33203125" style="5" customWidth="1"/>
    <col min="18" max="18" width="12.77734375" style="5" bestFit="1" customWidth="1"/>
    <col min="19" max="19" width="16" style="5" bestFit="1" customWidth="1"/>
    <col min="20" max="16384" width="8.88671875" style="5"/>
  </cols>
  <sheetData>
    <row r="1" spans="1:2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spans="1:21" ht="15" thickBot="1" x14ac:dyDescent="0.35">
      <c r="A2" s="6">
        <v>1.3805999999999999E-23</v>
      </c>
      <c r="B2" s="7">
        <v>3.1415899999999999</v>
      </c>
      <c r="C2" s="7">
        <v>6.626068E-34</v>
      </c>
      <c r="D2" s="7">
        <v>8.3144720000000003</v>
      </c>
      <c r="E2" s="8">
        <f>16.0313*1.66054E-27</f>
        <v>2.6620614902000003E-26</v>
      </c>
      <c r="F2" s="7">
        <v>6.0221407599999999E+23</v>
      </c>
      <c r="G2" s="7">
        <f>((2*$E$2*$B$2*$A$2*$H$2)/($C$2*$C$2))^1.5</f>
        <v>6.2098732404337735E+31</v>
      </c>
      <c r="H2" s="8">
        <f>298.15</f>
        <v>298.14999999999998</v>
      </c>
      <c r="I2" s="9">
        <v>29979300000</v>
      </c>
      <c r="J2" s="8">
        <v>101325</v>
      </c>
      <c r="K2" s="8">
        <f>(E2*1000)/16.0313</f>
        <v>1.6605400000000003E-24</v>
      </c>
      <c r="L2" s="10">
        <f>F2*K2</f>
        <v>1.0000005617610401</v>
      </c>
    </row>
    <row r="3" spans="1:21" ht="15" thickBot="1" x14ac:dyDescent="0.35"/>
    <row r="4" spans="1:21" ht="15" thickBot="1" x14ac:dyDescent="0.35">
      <c r="E4" s="11" t="s">
        <v>12</v>
      </c>
      <c r="F4" s="12" t="s">
        <v>13</v>
      </c>
      <c r="G4" s="13" t="s">
        <v>14</v>
      </c>
      <c r="I4" s="11" t="s">
        <v>15</v>
      </c>
      <c r="J4" s="12" t="s">
        <v>16</v>
      </c>
      <c r="K4" s="12" t="s">
        <v>17</v>
      </c>
      <c r="L4" s="14" t="s">
        <v>18</v>
      </c>
    </row>
    <row r="5" spans="1:21" ht="16.8" thickBot="1" x14ac:dyDescent="0.35">
      <c r="B5" s="15" t="s">
        <v>19</v>
      </c>
      <c r="D5" s="16" t="s">
        <v>20</v>
      </c>
      <c r="E5" s="17">
        <v>11.452500000000001</v>
      </c>
      <c r="F5" s="18">
        <v>11.456390000000001</v>
      </c>
      <c r="G5" s="19">
        <v>11.456390000000001</v>
      </c>
      <c r="I5" s="20">
        <v>4.48E-2</v>
      </c>
      <c r="J5" s="21">
        <f>I5*627.509474</f>
        <v>28.112424435199998</v>
      </c>
      <c r="K5" s="21">
        <f>I5*4.35974E-18</f>
        <v>1.9531635199999998E-19</v>
      </c>
      <c r="L5" s="22">
        <f>(2*K5)/(C2)</f>
        <v>589539232015125.63</v>
      </c>
    </row>
    <row r="6" spans="1:21" ht="16.8" thickBot="1" x14ac:dyDescent="0.35">
      <c r="A6" s="23" t="s">
        <v>21</v>
      </c>
      <c r="B6" s="24">
        <v>3</v>
      </c>
      <c r="D6" s="25" t="s">
        <v>22</v>
      </c>
      <c r="E6" s="26">
        <f>E5*1.66E-47</f>
        <v>1.9011150000000002E-46</v>
      </c>
      <c r="F6" s="27">
        <f t="shared" ref="F6:G6" si="0">F5*1.66E-47</f>
        <v>1.9017607399999999E-46</v>
      </c>
      <c r="G6" s="28">
        <f t="shared" si="0"/>
        <v>1.9017607399999999E-46</v>
      </c>
      <c r="U6" s="29"/>
    </row>
    <row r="7" spans="1:21" ht="15" thickBot="1" x14ac:dyDescent="0.35">
      <c r="U7" s="29"/>
    </row>
    <row r="8" spans="1:21" ht="15" thickBot="1" x14ac:dyDescent="0.35">
      <c r="A8" s="5" t="s">
        <v>23</v>
      </c>
      <c r="D8" s="23" t="s">
        <v>24</v>
      </c>
      <c r="E8" s="17">
        <v>157.58485999999999</v>
      </c>
      <c r="F8" s="18">
        <v>157.53139999999999</v>
      </c>
      <c r="G8" s="19">
        <v>157.53139999999999</v>
      </c>
      <c r="U8" s="29"/>
    </row>
    <row r="9" spans="1:21" ht="15" thickBot="1" x14ac:dyDescent="0.35">
      <c r="E9" s="26">
        <f>E8*1000000000</f>
        <v>157584860000</v>
      </c>
      <c r="F9" s="27">
        <f>F8*1000000000</f>
        <v>157531400000</v>
      </c>
      <c r="G9" s="28">
        <f>G8*1000000000</f>
        <v>157531400000</v>
      </c>
    </row>
    <row r="10" spans="1:21" ht="15" customHeight="1" thickBot="1" x14ac:dyDescent="0.35"/>
    <row r="11" spans="1:21" ht="15" customHeight="1" thickBot="1" x14ac:dyDescent="0.35">
      <c r="D11" s="30" t="s">
        <v>25</v>
      </c>
      <c r="E11" s="31">
        <v>7.5628700000000002</v>
      </c>
      <c r="F11" s="31">
        <v>7.5603100000000003</v>
      </c>
      <c r="G11" s="32">
        <v>7.5603100000000003</v>
      </c>
    </row>
    <row r="12" spans="1:21" ht="27" customHeight="1" x14ac:dyDescent="0.3">
      <c r="A12" s="33" t="s">
        <v>26</v>
      </c>
      <c r="B12" s="34">
        <v>1937.39</v>
      </c>
    </row>
    <row r="13" spans="1:21" ht="15" thickBot="1" x14ac:dyDescent="0.35">
      <c r="A13" s="35"/>
      <c r="B13" s="36">
        <v>1938.16</v>
      </c>
      <c r="S13" s="29"/>
      <c r="T13" s="29"/>
    </row>
    <row r="14" spans="1:21" ht="15.6" x14ac:dyDescent="0.3">
      <c r="A14" s="35"/>
      <c r="B14" s="36">
        <v>1938.16</v>
      </c>
      <c r="D14" s="37" t="s">
        <v>27</v>
      </c>
      <c r="E14" s="38"/>
      <c r="F14" s="3" t="s">
        <v>28</v>
      </c>
      <c r="G14" s="3" t="s">
        <v>29</v>
      </c>
      <c r="H14" s="4" t="s">
        <v>30</v>
      </c>
    </row>
    <row r="15" spans="1:21" x14ac:dyDescent="0.3">
      <c r="A15" s="35"/>
      <c r="B15" s="36">
        <v>2249.63</v>
      </c>
      <c r="E15" s="39"/>
      <c r="F15" s="40" t="s">
        <v>31</v>
      </c>
      <c r="G15" s="40" t="s">
        <v>32</v>
      </c>
      <c r="H15" s="41" t="s">
        <v>32</v>
      </c>
    </row>
    <row r="16" spans="1:21" x14ac:dyDescent="0.3">
      <c r="A16" s="35"/>
      <c r="B16" s="36">
        <v>2249.63</v>
      </c>
      <c r="E16" s="39" t="s">
        <v>33</v>
      </c>
      <c r="F16" s="42">
        <v>29.911999999999999</v>
      </c>
      <c r="G16" s="42">
        <v>6.4619999999999997</v>
      </c>
      <c r="H16" s="43">
        <v>47.234999999999999</v>
      </c>
    </row>
    <row r="17" spans="1:10" x14ac:dyDescent="0.3">
      <c r="A17" s="35"/>
      <c r="B17" s="36">
        <v>4373.0600000000004</v>
      </c>
      <c r="E17" s="39" t="s">
        <v>34</v>
      </c>
      <c r="F17" s="42" t="s">
        <v>35</v>
      </c>
      <c r="G17" s="42" t="s">
        <v>35</v>
      </c>
      <c r="H17" s="43" t="s">
        <v>35</v>
      </c>
    </row>
    <row r="18" spans="1:10" x14ac:dyDescent="0.3">
      <c r="A18" s="35"/>
      <c r="B18" s="36">
        <v>4531.79</v>
      </c>
      <c r="E18" s="39" t="s">
        <v>36</v>
      </c>
      <c r="F18" s="42">
        <v>0.88900000000000001</v>
      </c>
      <c r="G18" s="42">
        <v>2.9809999999999999</v>
      </c>
      <c r="H18" s="43">
        <v>34.261000000000003</v>
      </c>
    </row>
    <row r="19" spans="1:10" x14ac:dyDescent="0.3">
      <c r="A19" s="35"/>
      <c r="B19" s="36">
        <v>4537.79</v>
      </c>
      <c r="E19" s="39" t="s">
        <v>37</v>
      </c>
      <c r="F19" s="42">
        <v>0.88900000000000001</v>
      </c>
      <c r="G19" s="42">
        <v>2.9809999999999999</v>
      </c>
      <c r="H19" s="43">
        <v>12.888</v>
      </c>
    </row>
    <row r="20" spans="1:10" ht="15" thickBot="1" x14ac:dyDescent="0.35">
      <c r="A20" s="26"/>
      <c r="B20" s="28">
        <v>4537.79</v>
      </c>
      <c r="E20" s="44" t="s">
        <v>38</v>
      </c>
      <c r="F20" s="45">
        <v>28.135000000000002</v>
      </c>
      <c r="G20" s="45">
        <v>0.5</v>
      </c>
      <c r="H20" s="46">
        <v>8.5000000000000006E-2</v>
      </c>
    </row>
    <row r="21" spans="1:10" ht="15" thickBot="1" x14ac:dyDescent="0.35">
      <c r="F21" s="47"/>
      <c r="G21" s="47"/>
      <c r="H21" s="47"/>
    </row>
    <row r="22" spans="1:10" x14ac:dyDescent="0.3">
      <c r="E22" s="38"/>
      <c r="F22" s="4" t="s">
        <v>39</v>
      </c>
    </row>
    <row r="23" spans="1:10" x14ac:dyDescent="0.3">
      <c r="E23" s="39" t="s">
        <v>40</v>
      </c>
      <c r="F23" s="48">
        <v>9.1839100000000006E-13</v>
      </c>
      <c r="J23"/>
    </row>
    <row r="24" spans="1:10" x14ac:dyDescent="0.3">
      <c r="E24" s="39" t="s">
        <v>41</v>
      </c>
      <c r="F24" s="48">
        <v>371152000</v>
      </c>
    </row>
    <row r="25" spans="1:10" x14ac:dyDescent="0.3">
      <c r="E25" s="39" t="s">
        <v>42</v>
      </c>
      <c r="F25" s="48">
        <v>2.4882600000000002E-21</v>
      </c>
    </row>
    <row r="26" spans="1:10" x14ac:dyDescent="0.3">
      <c r="E26" s="39" t="s">
        <v>43</v>
      </c>
      <c r="F26" s="48">
        <v>1.00559</v>
      </c>
      <c r="G26" s="5" t="s">
        <v>44</v>
      </c>
    </row>
    <row r="27" spans="1:10" x14ac:dyDescent="0.3">
      <c r="E27" s="39" t="s">
        <v>34</v>
      </c>
      <c r="F27" s="49">
        <v>1</v>
      </c>
      <c r="G27" s="50"/>
    </row>
    <row r="28" spans="1:10" x14ac:dyDescent="0.3">
      <c r="E28" s="39" t="s">
        <v>36</v>
      </c>
      <c r="F28" s="49">
        <v>2522950</v>
      </c>
      <c r="G28" s="50"/>
    </row>
    <row r="29" spans="1:10" ht="15" thickBot="1" x14ac:dyDescent="0.35">
      <c r="E29" s="44" t="s">
        <v>37</v>
      </c>
      <c r="F29" s="51">
        <v>146.29300000000001</v>
      </c>
      <c r="G29" s="50"/>
    </row>
    <row r="30" spans="1:10" ht="15" thickBot="1" x14ac:dyDescent="0.35"/>
    <row r="31" spans="1:10" ht="16.2" x14ac:dyDescent="0.3">
      <c r="A31" s="17" t="s">
        <v>45</v>
      </c>
      <c r="B31" s="18" t="s">
        <v>46</v>
      </c>
      <c r="C31" s="52" t="s">
        <v>47</v>
      </c>
      <c r="D31" s="52" t="s">
        <v>48</v>
      </c>
      <c r="E31" s="16" t="s">
        <v>49</v>
      </c>
    </row>
    <row r="32" spans="1:10" x14ac:dyDescent="0.3">
      <c r="A32" s="35">
        <v>1346.5569</v>
      </c>
      <c r="B32" s="53">
        <f t="shared" ref="B32:B40" si="1">A32*$I$2</f>
        <v>40368833272170</v>
      </c>
      <c r="C32" s="54">
        <f>298.15</f>
        <v>298.14999999999998</v>
      </c>
      <c r="D32" s="55">
        <f>($A$2*C32)/$J$2</f>
        <v>4.062431680236861E-26</v>
      </c>
      <c r="E32" s="56">
        <f>$F$2*($F$83*D32)/($D$2*C32)</f>
        <v>0.99996338110898686</v>
      </c>
    </row>
    <row r="33" spans="1:5" x14ac:dyDescent="0.3">
      <c r="A33" s="35">
        <v>1347.0905</v>
      </c>
      <c r="B33" s="53">
        <f t="shared" si="1"/>
        <v>40384830226650</v>
      </c>
      <c r="C33" s="54">
        <f>300+100</f>
        <v>400</v>
      </c>
      <c r="D33" s="55">
        <f t="shared" ref="D33:D50" si="2">($A$2*C33)/$J$2</f>
        <v>5.4501850481125095E-26</v>
      </c>
      <c r="E33" s="56">
        <f t="shared" ref="E33:E50" si="3">$F$2*($F$83*D33)/($D$2*C33)</f>
        <v>0.99996338110898686</v>
      </c>
    </row>
    <row r="34" spans="1:5" x14ac:dyDescent="0.3">
      <c r="A34" s="35">
        <v>1347.0916999999999</v>
      </c>
      <c r="B34" s="53">
        <f t="shared" si="1"/>
        <v>40384866201810</v>
      </c>
      <c r="C34" s="54">
        <f t="shared" ref="C34:C50" si="4">C33+100</f>
        <v>500</v>
      </c>
      <c r="D34" s="55">
        <f t="shared" si="2"/>
        <v>6.8127313101406362E-26</v>
      </c>
      <c r="E34" s="56">
        <f t="shared" si="3"/>
        <v>0.99996338110898675</v>
      </c>
    </row>
    <row r="35" spans="1:5" x14ac:dyDescent="0.3">
      <c r="A35" s="35">
        <v>1563.5745999999999</v>
      </c>
      <c r="B35" s="53">
        <f t="shared" si="1"/>
        <v>46874872005780</v>
      </c>
      <c r="C35" s="54">
        <f t="shared" si="4"/>
        <v>600</v>
      </c>
      <c r="D35" s="55">
        <f t="shared" si="2"/>
        <v>8.175277572168763E-26</v>
      </c>
      <c r="E35" s="56">
        <f t="shared" si="3"/>
        <v>0.99996338110898653</v>
      </c>
    </row>
    <row r="36" spans="1:5" x14ac:dyDescent="0.3">
      <c r="A36" s="35">
        <v>1563.5759</v>
      </c>
      <c r="B36" s="53">
        <f t="shared" si="1"/>
        <v>46874910978870</v>
      </c>
      <c r="C36" s="54">
        <f t="shared" si="4"/>
        <v>700</v>
      </c>
      <c r="D36" s="55">
        <f t="shared" si="2"/>
        <v>9.5378238341968898E-26</v>
      </c>
      <c r="E36" s="56">
        <f t="shared" si="3"/>
        <v>0.99996338110898653</v>
      </c>
    </row>
    <row r="37" spans="1:5" x14ac:dyDescent="0.3">
      <c r="A37" s="35">
        <v>3039.4317000000001</v>
      </c>
      <c r="B37" s="53">
        <f t="shared" si="1"/>
        <v>91120034763810</v>
      </c>
      <c r="C37" s="54">
        <f t="shared" si="4"/>
        <v>800</v>
      </c>
      <c r="D37" s="55">
        <f t="shared" si="2"/>
        <v>1.0900370096225019E-25</v>
      </c>
      <c r="E37" s="56">
        <f t="shared" si="3"/>
        <v>0.99996338110898686</v>
      </c>
    </row>
    <row r="38" spans="1:5" x14ac:dyDescent="0.3">
      <c r="A38" s="35">
        <v>3149.7538</v>
      </c>
      <c r="B38" s="53">
        <f t="shared" si="1"/>
        <v>94427414096340</v>
      </c>
      <c r="C38" s="54">
        <f t="shared" si="4"/>
        <v>900</v>
      </c>
      <c r="D38" s="55">
        <f t="shared" si="2"/>
        <v>1.2262916358253145E-25</v>
      </c>
      <c r="E38" s="56">
        <f t="shared" si="3"/>
        <v>0.99996338110898675</v>
      </c>
    </row>
    <row r="39" spans="1:5" x14ac:dyDescent="0.3">
      <c r="A39" s="35">
        <v>3153.9252999999999</v>
      </c>
      <c r="B39" s="53">
        <f t="shared" si="1"/>
        <v>94552472746290</v>
      </c>
      <c r="C39" s="54">
        <f t="shared" si="4"/>
        <v>1000</v>
      </c>
      <c r="D39" s="55">
        <f t="shared" si="2"/>
        <v>1.3625462620281272E-25</v>
      </c>
      <c r="E39" s="56">
        <f t="shared" si="3"/>
        <v>0.99996338110898675</v>
      </c>
    </row>
    <row r="40" spans="1:5" ht="15" thickBot="1" x14ac:dyDescent="0.35">
      <c r="A40" s="26">
        <v>3153.9254999999998</v>
      </c>
      <c r="B40" s="57">
        <f t="shared" si="1"/>
        <v>94552478742150</v>
      </c>
      <c r="C40" s="54">
        <f t="shared" si="4"/>
        <v>1100</v>
      </c>
      <c r="D40" s="55">
        <f t="shared" si="2"/>
        <v>1.4988008882309398E-25</v>
      </c>
      <c r="E40" s="56">
        <f t="shared" si="3"/>
        <v>0.99996338110898653</v>
      </c>
    </row>
    <row r="41" spans="1:5" x14ac:dyDescent="0.3">
      <c r="B41" s="53"/>
      <c r="C41" s="54">
        <f t="shared" si="4"/>
        <v>1200</v>
      </c>
      <c r="D41" s="55">
        <f t="shared" si="2"/>
        <v>1.6350555144337526E-25</v>
      </c>
      <c r="E41" s="56">
        <f t="shared" si="3"/>
        <v>0.99996338110898653</v>
      </c>
    </row>
    <row r="42" spans="1:5" x14ac:dyDescent="0.3">
      <c r="B42" s="53"/>
      <c r="C42" s="54">
        <f t="shared" si="4"/>
        <v>1300</v>
      </c>
      <c r="D42" s="55">
        <f t="shared" si="2"/>
        <v>1.7713101406365654E-25</v>
      </c>
      <c r="E42" s="56">
        <f t="shared" si="3"/>
        <v>0.99996338110898675</v>
      </c>
    </row>
    <row r="43" spans="1:5" x14ac:dyDescent="0.3">
      <c r="B43" s="53"/>
      <c r="C43" s="54">
        <f t="shared" si="4"/>
        <v>1400</v>
      </c>
      <c r="D43" s="55">
        <f t="shared" si="2"/>
        <v>1.907564766839378E-25</v>
      </c>
      <c r="E43" s="56">
        <f t="shared" si="3"/>
        <v>0.99996338110898653</v>
      </c>
    </row>
    <row r="44" spans="1:5" x14ac:dyDescent="0.3">
      <c r="B44" s="53"/>
      <c r="C44" s="54">
        <f t="shared" si="4"/>
        <v>1500</v>
      </c>
      <c r="D44" s="55">
        <f t="shared" si="2"/>
        <v>2.0438193930421908E-25</v>
      </c>
      <c r="E44" s="56">
        <f t="shared" si="3"/>
        <v>0.99996338110898675</v>
      </c>
    </row>
    <row r="45" spans="1:5" x14ac:dyDescent="0.3">
      <c r="B45" s="53"/>
      <c r="C45" s="54">
        <f t="shared" si="4"/>
        <v>1600</v>
      </c>
      <c r="D45" s="55">
        <f t="shared" si="2"/>
        <v>2.1800740192450038E-25</v>
      </c>
      <c r="E45" s="56">
        <f t="shared" si="3"/>
        <v>0.99996338110898686</v>
      </c>
    </row>
    <row r="46" spans="1:5" x14ac:dyDescent="0.3">
      <c r="B46" s="53"/>
      <c r="C46" s="54">
        <f t="shared" si="4"/>
        <v>1700</v>
      </c>
      <c r="D46" s="55">
        <f t="shared" si="2"/>
        <v>2.3163286454478159E-25</v>
      </c>
      <c r="E46" s="56">
        <f t="shared" si="3"/>
        <v>0.99996338110898664</v>
      </c>
    </row>
    <row r="47" spans="1:5" x14ac:dyDescent="0.3">
      <c r="B47" s="53"/>
      <c r="C47" s="54">
        <f t="shared" si="4"/>
        <v>1800</v>
      </c>
      <c r="D47" s="55">
        <f t="shared" si="2"/>
        <v>2.4525832716506289E-25</v>
      </c>
      <c r="E47" s="56">
        <f t="shared" si="3"/>
        <v>0.99996338110898675</v>
      </c>
    </row>
    <row r="48" spans="1:5" x14ac:dyDescent="0.3">
      <c r="B48" s="53"/>
      <c r="C48" s="54">
        <f t="shared" si="4"/>
        <v>1900</v>
      </c>
      <c r="D48" s="55">
        <f t="shared" si="2"/>
        <v>2.5888378978534419E-25</v>
      </c>
      <c r="E48" s="56">
        <f t="shared" si="3"/>
        <v>0.99996338110898686</v>
      </c>
    </row>
    <row r="49" spans="1:23" x14ac:dyDescent="0.3">
      <c r="B49" s="53"/>
      <c r="C49" s="54">
        <f t="shared" si="4"/>
        <v>2000</v>
      </c>
      <c r="D49" s="55">
        <f t="shared" si="2"/>
        <v>2.7250925240562545E-25</v>
      </c>
      <c r="E49" s="56">
        <f t="shared" si="3"/>
        <v>0.99996338110898675</v>
      </c>
    </row>
    <row r="50" spans="1:23" ht="15" thickBot="1" x14ac:dyDescent="0.35">
      <c r="C50" s="25">
        <f t="shared" si="4"/>
        <v>2100</v>
      </c>
      <c r="D50" s="58">
        <f t="shared" si="2"/>
        <v>2.8613471502590675E-25</v>
      </c>
      <c r="E50" s="59">
        <f t="shared" si="3"/>
        <v>0.99996338110898664</v>
      </c>
    </row>
    <row r="51" spans="1:23" ht="15" thickBot="1" x14ac:dyDescent="0.35"/>
    <row r="52" spans="1:23" ht="18.600000000000001" thickBot="1" x14ac:dyDescent="0.35">
      <c r="D52" s="209" t="s">
        <v>50</v>
      </c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1"/>
    </row>
    <row r="53" spans="1:23" x14ac:dyDescent="0.3">
      <c r="A53" s="11" t="s">
        <v>51</v>
      </c>
      <c r="B53" s="61">
        <f>E54</f>
        <v>1.0015082766527448</v>
      </c>
      <c r="D53" s="62" t="s">
        <v>52</v>
      </c>
      <c r="E53" s="63">
        <v>298.14999999999998</v>
      </c>
      <c r="F53" s="63">
        <f>300+100</f>
        <v>400</v>
      </c>
      <c r="G53" s="63">
        <f t="shared" ref="G53:W53" si="5">F53+100</f>
        <v>500</v>
      </c>
      <c r="H53" s="63">
        <f t="shared" si="5"/>
        <v>600</v>
      </c>
      <c r="I53" s="63">
        <f t="shared" si="5"/>
        <v>700</v>
      </c>
      <c r="J53" s="63">
        <f t="shared" si="5"/>
        <v>800</v>
      </c>
      <c r="K53" s="63">
        <f t="shared" si="5"/>
        <v>900</v>
      </c>
      <c r="L53" s="63">
        <f t="shared" si="5"/>
        <v>1000</v>
      </c>
      <c r="M53" s="63">
        <f t="shared" si="5"/>
        <v>1100</v>
      </c>
      <c r="N53" s="63">
        <f t="shared" si="5"/>
        <v>1200</v>
      </c>
      <c r="O53" s="63">
        <f t="shared" si="5"/>
        <v>1300</v>
      </c>
      <c r="P53" s="63">
        <f t="shared" si="5"/>
        <v>1400</v>
      </c>
      <c r="Q53" s="63">
        <f t="shared" si="5"/>
        <v>1500</v>
      </c>
      <c r="R53" s="63">
        <f t="shared" si="5"/>
        <v>1600</v>
      </c>
      <c r="S53" s="63">
        <f t="shared" si="5"/>
        <v>1700</v>
      </c>
      <c r="T53" s="63">
        <f t="shared" si="5"/>
        <v>1800</v>
      </c>
      <c r="U53" s="63">
        <f t="shared" si="5"/>
        <v>1900</v>
      </c>
      <c r="V53" s="63">
        <f t="shared" si="5"/>
        <v>2000</v>
      </c>
      <c r="W53" s="64">
        <f t="shared" si="5"/>
        <v>2100</v>
      </c>
    </row>
    <row r="54" spans="1:23" x14ac:dyDescent="0.3">
      <c r="A54" s="35"/>
      <c r="B54" s="65">
        <f t="shared" ref="B54:B61" si="6">E55</f>
        <v>1.0015043918825759</v>
      </c>
      <c r="D54" s="66">
        <f t="shared" ref="D54:D62" si="7">A32*$I$2</f>
        <v>40368833272170</v>
      </c>
      <c r="E54" s="53">
        <f>1 / (1 - EXP((-$C$2*$D$54)/($A$2*E53)))</f>
        <v>1.0015082766527448</v>
      </c>
      <c r="F54" s="53">
        <f t="shared" ref="F54:W54" si="8">1 / (1 - EXP((-$C$2*$D$54)/($A$2*F53)))</f>
        <v>1.0079406741127448</v>
      </c>
      <c r="G54" s="53">
        <f t="shared" si="8"/>
        <v>1.0211956568882958</v>
      </c>
      <c r="H54" s="53">
        <f t="shared" si="8"/>
        <v>1.0412248870619996</v>
      </c>
      <c r="I54" s="53">
        <f t="shared" si="8"/>
        <v>1.0670074531277838</v>
      </c>
      <c r="J54" s="53">
        <f t="shared" si="8"/>
        <v>1.0974042332757337</v>
      </c>
      <c r="K54" s="53">
        <f t="shared" si="8"/>
        <v>1.1314333573440074</v>
      </c>
      <c r="L54" s="53">
        <f t="shared" si="8"/>
        <v>1.1683177584203983</v>
      </c>
      <c r="M54" s="53">
        <f t="shared" si="8"/>
        <v>1.2074606175531526</v>
      </c>
      <c r="N54" s="53">
        <f t="shared" si="8"/>
        <v>1.2484068804283976</v>
      </c>
      <c r="O54" s="53">
        <f t="shared" si="8"/>
        <v>1.2908085645708482</v>
      </c>
      <c r="P54" s="53">
        <f t="shared" si="8"/>
        <v>1.3343975275554929</v>
      </c>
      <c r="Q54" s="53">
        <f t="shared" si="8"/>
        <v>1.3789651388675359</v>
      </c>
      <c r="R54" s="53">
        <f t="shared" si="8"/>
        <v>1.4243473750232971</v>
      </c>
      <c r="S54" s="53">
        <f t="shared" si="8"/>
        <v>1.4704139297308261</v>
      </c>
      <c r="T54" s="53">
        <f t="shared" si="8"/>
        <v>1.5170602298084728</v>
      </c>
      <c r="U54" s="53">
        <f t="shared" si="8"/>
        <v>1.5642015403747866</v>
      </c>
      <c r="V54" s="53">
        <f t="shared" si="8"/>
        <v>1.6117685744305459</v>
      </c>
      <c r="W54" s="65">
        <f t="shared" si="8"/>
        <v>1.6597041917527526</v>
      </c>
    </row>
    <row r="55" spans="1:23" x14ac:dyDescent="0.3">
      <c r="A55" s="35"/>
      <c r="B55" s="65">
        <f t="shared" si="6"/>
        <v>1.0015043831575139</v>
      </c>
      <c r="D55" s="66">
        <f t="shared" si="7"/>
        <v>40384830226650</v>
      </c>
      <c r="E55" s="53">
        <f>1 / (1 - EXP((-$C$2*$D$55)/($A$2*E53)))</f>
        <v>1.0015043918825759</v>
      </c>
      <c r="F55" s="53">
        <f t="shared" ref="F55:W55" si="9">1 / (1 - EXP((-$C$2*$D$55)/($A$2*F53)))</f>
        <v>1.0079253267293478</v>
      </c>
      <c r="G55" s="53">
        <f t="shared" si="9"/>
        <v>1.0211624472879601</v>
      </c>
      <c r="H55" s="53">
        <f t="shared" si="9"/>
        <v>1.0411699990670542</v>
      </c>
      <c r="I55" s="53">
        <f t="shared" si="9"/>
        <v>1.0669290834956484</v>
      </c>
      <c r="J55" s="53">
        <f t="shared" si="9"/>
        <v>1.0973017080228114</v>
      </c>
      <c r="K55" s="53">
        <f t="shared" si="9"/>
        <v>1.1313065677820813</v>
      </c>
      <c r="L55" s="53">
        <f t="shared" si="9"/>
        <v>1.1681668569605128</v>
      </c>
      <c r="M55" s="53">
        <f t="shared" si="9"/>
        <v>1.2072858636546251</v>
      </c>
      <c r="N55" s="53">
        <f t="shared" si="9"/>
        <v>1.2482085652575963</v>
      </c>
      <c r="O55" s="53">
        <f t="shared" si="9"/>
        <v>1.290586975564828</v>
      </c>
      <c r="P55" s="53">
        <f t="shared" si="9"/>
        <v>1.3341529329425419</v>
      </c>
      <c r="Q55" s="53">
        <f t="shared" si="9"/>
        <v>1.3786977820472928</v>
      </c>
      <c r="R55" s="53">
        <f t="shared" si="9"/>
        <v>1.4240574737056342</v>
      </c>
      <c r="S55" s="53">
        <f t="shared" si="9"/>
        <v>1.470101677256457</v>
      </c>
      <c r="T55" s="53">
        <f t="shared" si="9"/>
        <v>1.5167257973552712</v>
      </c>
      <c r="U55" s="53">
        <f t="shared" si="9"/>
        <v>1.5638450794083645</v>
      </c>
      <c r="V55" s="53">
        <f t="shared" si="9"/>
        <v>1.6113902190935239</v>
      </c>
      <c r="W55" s="65">
        <f t="shared" si="9"/>
        <v>1.6593040610592287</v>
      </c>
    </row>
    <row r="56" spans="1:23" x14ac:dyDescent="0.3">
      <c r="A56" s="35"/>
      <c r="B56" s="65">
        <f t="shared" si="6"/>
        <v>1.0005287138950649</v>
      </c>
      <c r="D56" s="66">
        <f t="shared" si="7"/>
        <v>40384866201810</v>
      </c>
      <c r="E56" s="53">
        <f>1 / (1 - EXP((-$C$2*$D$56)/($A$2*E53)))</f>
        <v>1.0015043831575139</v>
      </c>
      <c r="F56" s="53">
        <f t="shared" ref="F56:W56" si="10">1 / (1 - EXP((-$C$2*$D$56)/($A$2*F53)))</f>
        <v>1.0079252922487056</v>
      </c>
      <c r="G56" s="53">
        <f t="shared" si="10"/>
        <v>1.0211623726635874</v>
      </c>
      <c r="H56" s="53">
        <f t="shared" si="10"/>
        <v>1.0411698757164363</v>
      </c>
      <c r="I56" s="53">
        <f t="shared" si="10"/>
        <v>1.0669289073619161</v>
      </c>
      <c r="J56" s="53">
        <f t="shared" si="10"/>
        <v>1.0973014775887227</v>
      </c>
      <c r="K56" s="53">
        <f t="shared" si="10"/>
        <v>1.1313062828020195</v>
      </c>
      <c r="L56" s="53">
        <f t="shared" si="10"/>
        <v>1.16816651777637</v>
      </c>
      <c r="M56" s="53">
        <f t="shared" si="10"/>
        <v>1.2072854708492815</v>
      </c>
      <c r="N56" s="53">
        <f t="shared" si="10"/>
        <v>1.2482081194854149</v>
      </c>
      <c r="O56" s="53">
        <f t="shared" si="10"/>
        <v>1.2905864774719089</v>
      </c>
      <c r="P56" s="53">
        <f t="shared" si="10"/>
        <v>1.3341523831318718</v>
      </c>
      <c r="Q56" s="53">
        <f t="shared" si="10"/>
        <v>1.3786971810660829</v>
      </c>
      <c r="R56" s="53">
        <f t="shared" si="10"/>
        <v>1.424056822043364</v>
      </c>
      <c r="S56" s="53">
        <f t="shared" si="10"/>
        <v>1.4701009753478336</v>
      </c>
      <c r="T56" s="53">
        <f t="shared" si="10"/>
        <v>1.5167250455851817</v>
      </c>
      <c r="U56" s="53">
        <f t="shared" si="10"/>
        <v>1.5638442781173818</v>
      </c>
      <c r="V56" s="53">
        <f t="shared" si="10"/>
        <v>1.611389368583275</v>
      </c>
      <c r="W56" s="65">
        <f t="shared" si="10"/>
        <v>1.6593031615973286</v>
      </c>
    </row>
    <row r="57" spans="1:23" x14ac:dyDescent="0.3">
      <c r="A57" s="35"/>
      <c r="B57" s="65">
        <f t="shared" si="6"/>
        <v>1.0005287105763729</v>
      </c>
      <c r="D57" s="66">
        <f t="shared" si="7"/>
        <v>46874872005780</v>
      </c>
      <c r="E57" s="53">
        <f>1 / (1 - EXP((-$C$2*$D$57)/($A$2*E53)))</f>
        <v>1.0005287138950649</v>
      </c>
      <c r="F57" s="53">
        <f t="shared" ref="F57:W57" si="11">1 / (1 - EXP((-$C$2*$D$57)/($A$2*F53)))</f>
        <v>1.0036221780222472</v>
      </c>
      <c r="G57" s="53">
        <f t="shared" si="11"/>
        <v>1.0112401979095442</v>
      </c>
      <c r="H57" s="53">
        <f t="shared" si="11"/>
        <v>1.0240957391725718</v>
      </c>
      <c r="I57" s="53">
        <f t="shared" si="11"/>
        <v>1.0418839524866816</v>
      </c>
      <c r="J57" s="53">
        <f t="shared" si="11"/>
        <v>1.0639156121247431</v>
      </c>
      <c r="K57" s="53">
        <f t="shared" si="11"/>
        <v>1.0894560036522907</v>
      </c>
      <c r="L57" s="53">
        <f t="shared" si="11"/>
        <v>1.1178541742850174</v>
      </c>
      <c r="M57" s="53">
        <f t="shared" si="11"/>
        <v>1.1485731420684917</v>
      </c>
      <c r="N57" s="53">
        <f t="shared" si="11"/>
        <v>1.1811827972608959</v>
      </c>
      <c r="O57" s="53">
        <f t="shared" si="11"/>
        <v>1.2153422364859252</v>
      </c>
      <c r="P57" s="53">
        <f t="shared" si="11"/>
        <v>1.2507815780418527</v>
      </c>
      <c r="Q57" s="53">
        <f t="shared" si="11"/>
        <v>1.2872863927841633</v>
      </c>
      <c r="R57" s="53">
        <f t="shared" si="11"/>
        <v>1.3246852760007841</v>
      </c>
      <c r="S57" s="53">
        <f t="shared" si="11"/>
        <v>1.3628402207550194</v>
      </c>
      <c r="T57" s="53">
        <f t="shared" si="11"/>
        <v>1.4016392515079841</v>
      </c>
      <c r="U57" s="53">
        <f t="shared" si="11"/>
        <v>1.4409908048387816</v>
      </c>
      <c r="V57" s="53">
        <f t="shared" si="11"/>
        <v>1.4808194352693445</v>
      </c>
      <c r="W57" s="65">
        <f t="shared" si="11"/>
        <v>1.5210625189634175</v>
      </c>
    </row>
    <row r="58" spans="1:23" x14ac:dyDescent="0.3">
      <c r="A58" s="35"/>
      <c r="B58" s="65">
        <f t="shared" si="6"/>
        <v>1.0000004264074047</v>
      </c>
      <c r="D58" s="66">
        <f t="shared" si="7"/>
        <v>46874910978870</v>
      </c>
      <c r="E58" s="53">
        <f>1 / (1 - EXP((-$C$2*$D$58)/($A$2*E53)))</f>
        <v>1.0005287105763729</v>
      </c>
      <c r="F58" s="53">
        <f t="shared" ref="F58:W58" si="12">1 / (1 - EXP((-$C$2*$D$58)/($A$2*F53)))</f>
        <v>1.0036221610229139</v>
      </c>
      <c r="G58" s="53">
        <f t="shared" si="12"/>
        <v>1.0112401553878747</v>
      </c>
      <c r="H58" s="53">
        <f t="shared" si="12"/>
        <v>1.0240956622450552</v>
      </c>
      <c r="I58" s="53">
        <f t="shared" si="12"/>
        <v>1.0418838358806011</v>
      </c>
      <c r="J58" s="53">
        <f t="shared" si="12"/>
        <v>1.0639154531323176</v>
      </c>
      <c r="K58" s="53">
        <f t="shared" si="12"/>
        <v>1.0894558011038018</v>
      </c>
      <c r="L58" s="53">
        <f t="shared" si="12"/>
        <v>1.117853927861314</v>
      </c>
      <c r="M58" s="53">
        <f t="shared" si="12"/>
        <v>1.1485728518943821</v>
      </c>
      <c r="N58" s="53">
        <f t="shared" si="12"/>
        <v>1.1811824636768848</v>
      </c>
      <c r="O58" s="53">
        <f t="shared" si="12"/>
        <v>1.2153418599235966</v>
      </c>
      <c r="P58" s="53">
        <f t="shared" si="12"/>
        <v>1.250781158957452</v>
      </c>
      <c r="Q58" s="53">
        <f t="shared" si="12"/>
        <v>1.2872859316243981</v>
      </c>
      <c r="R58" s="53">
        <f t="shared" si="12"/>
        <v>1.3246847731863203</v>
      </c>
      <c r="S58" s="53">
        <f t="shared" si="12"/>
        <v>1.3628396766736051</v>
      </c>
      <c r="T58" s="53">
        <f t="shared" si="12"/>
        <v>1.401638666512723</v>
      </c>
      <c r="U58" s="53">
        <f t="shared" si="12"/>
        <v>1.4409901792490665</v>
      </c>
      <c r="V58" s="53">
        <f t="shared" si="12"/>
        <v>1.4808187693730692</v>
      </c>
      <c r="W58" s="65">
        <f t="shared" si="12"/>
        <v>1.5210618130197133</v>
      </c>
    </row>
    <row r="59" spans="1:23" x14ac:dyDescent="0.3">
      <c r="A59" s="35"/>
      <c r="B59" s="65">
        <f t="shared" si="6"/>
        <v>1.0000002503840861</v>
      </c>
      <c r="D59" s="66">
        <f t="shared" si="7"/>
        <v>91120034763810</v>
      </c>
      <c r="E59" s="53">
        <f>1 / (1 - EXP((-$C$2*$D$59)/($A$2*E53)))</f>
        <v>1.0000004264074047</v>
      </c>
      <c r="F59" s="53">
        <f t="shared" ref="F59:W59" si="13">1 / (1 - EXP((-$C$2*$D$59)/($A$2*F53)))</f>
        <v>1.0000178582225776</v>
      </c>
      <c r="G59" s="53">
        <f t="shared" si="13"/>
        <v>1.0001590499180619</v>
      </c>
      <c r="H59" s="53">
        <f t="shared" si="13"/>
        <v>1.0006836762068392</v>
      </c>
      <c r="I59" s="53">
        <f t="shared" si="13"/>
        <v>1.0019391062207925</v>
      </c>
      <c r="J59" s="53">
        <f t="shared" si="13"/>
        <v>1.0042437949818868</v>
      </c>
      <c r="K59" s="53">
        <f t="shared" si="13"/>
        <v>1.0078177982302099</v>
      </c>
      <c r="L59" s="53">
        <f t="shared" si="13"/>
        <v>1.0127715522446592</v>
      </c>
      <c r="M59" s="53">
        <f t="shared" si="13"/>
        <v>1.0191258487656918</v>
      </c>
      <c r="N59" s="53">
        <f t="shared" si="13"/>
        <v>1.0268398154478471</v>
      </c>
      <c r="O59" s="53">
        <f t="shared" si="13"/>
        <v>1.0358356781579894</v>
      </c>
      <c r="P59" s="53">
        <f t="shared" si="13"/>
        <v>1.0460170639063293</v>
      </c>
      <c r="Q59" s="53">
        <f t="shared" si="13"/>
        <v>1.0572811808349871</v>
      </c>
      <c r="R59" s="53">
        <f t="shared" si="13"/>
        <v>1.0695262947634903</v>
      </c>
      <c r="S59" s="53">
        <f t="shared" si="13"/>
        <v>1.082655947240688</v>
      </c>
      <c r="T59" s="53">
        <f t="shared" si="13"/>
        <v>1.0965810575179253</v>
      </c>
      <c r="U59" s="53">
        <f t="shared" si="13"/>
        <v>1.1112207176853877</v>
      </c>
      <c r="V59" s="53">
        <f t="shared" si="13"/>
        <v>1.1265022200146031</v>
      </c>
      <c r="W59" s="65">
        <f t="shared" si="13"/>
        <v>1.1423606612077182</v>
      </c>
    </row>
    <row r="60" spans="1:23" x14ac:dyDescent="0.3">
      <c r="A60" s="35"/>
      <c r="B60" s="65">
        <f t="shared" si="6"/>
        <v>1.0000002453939809</v>
      </c>
      <c r="D60" s="66">
        <f t="shared" si="7"/>
        <v>94427414096340</v>
      </c>
      <c r="E60" s="53">
        <f>1 / (1 - EXP((-$C$2*$D$60)/($A$2*E53)))</f>
        <v>1.0000002503840861</v>
      </c>
      <c r="F60" s="53">
        <f t="shared" ref="F60:W60" si="14">1 / (1 - EXP((-$C$2*$D$60)/($A$2*F53)))</f>
        <v>1.0000120085790141</v>
      </c>
      <c r="G60" s="53">
        <f t="shared" si="14"/>
        <v>1.0001157815619692</v>
      </c>
      <c r="H60" s="53">
        <f t="shared" si="14"/>
        <v>1.0005246689994494</v>
      </c>
      <c r="I60" s="53">
        <f t="shared" si="14"/>
        <v>1.0015450710084182</v>
      </c>
      <c r="J60" s="53">
        <f t="shared" si="14"/>
        <v>1.0034773690537642</v>
      </c>
      <c r="K60" s="53">
        <f t="shared" si="14"/>
        <v>1.0065454340576689</v>
      </c>
      <c r="L60" s="53">
        <f t="shared" si="14"/>
        <v>1.010876588564203</v>
      </c>
      <c r="M60" s="53">
        <f t="shared" si="14"/>
        <v>1.0165133588821385</v>
      </c>
      <c r="N60" s="53">
        <f t="shared" si="14"/>
        <v>1.0234363314665933</v>
      </c>
      <c r="O60" s="53">
        <f t="shared" si="14"/>
        <v>1.0315864970829689</v>
      </c>
      <c r="P60" s="53">
        <f t="shared" si="14"/>
        <v>1.040882816912821</v>
      </c>
      <c r="Q60" s="53">
        <f t="shared" si="14"/>
        <v>1.0512345179047358</v>
      </c>
      <c r="R60" s="53">
        <f t="shared" si="14"/>
        <v>1.0625490301892031</v>
      </c>
      <c r="S60" s="53">
        <f t="shared" si="14"/>
        <v>1.0747367475231346</v>
      </c>
      <c r="T60" s="53">
        <f t="shared" si="14"/>
        <v>1.0877136345100153</v>
      </c>
      <c r="U60" s="53">
        <f t="shared" si="14"/>
        <v>1.1014024476930322</v>
      </c>
      <c r="V60" s="53">
        <f t="shared" si="14"/>
        <v>1.1157331035882965</v>
      </c>
      <c r="W60" s="65">
        <f t="shared" si="14"/>
        <v>1.1306425472331854</v>
      </c>
    </row>
    <row r="61" spans="1:23" ht="15" thickBot="1" x14ac:dyDescent="0.35">
      <c r="A61" s="26"/>
      <c r="B61" s="67">
        <f t="shared" si="6"/>
        <v>1.0000002453937442</v>
      </c>
      <c r="D61" s="66">
        <f t="shared" si="7"/>
        <v>94552472746290</v>
      </c>
      <c r="E61" s="53">
        <f>1 / (1 - EXP((-$C$2*$D$61)/($A$2*E53)))</f>
        <v>1.0000002453939809</v>
      </c>
      <c r="F61" s="53">
        <f t="shared" ref="F61:W61" si="15">1 / (1 - EXP((-$C$2*$D$61)/($A$2*F53)))</f>
        <v>1.0000118297309437</v>
      </c>
      <c r="G61" s="53">
        <f t="shared" si="15"/>
        <v>1.0001143998523752</v>
      </c>
      <c r="H61" s="53">
        <f t="shared" si="15"/>
        <v>1.0005194439425016</v>
      </c>
      <c r="I61" s="53">
        <f t="shared" si="15"/>
        <v>1.0015318593799778</v>
      </c>
      <c r="J61" s="53">
        <f t="shared" si="15"/>
        <v>1.0034512876658976</v>
      </c>
      <c r="K61" s="53">
        <f t="shared" si="15"/>
        <v>1.0065016450763888</v>
      </c>
      <c r="L61" s="53">
        <f t="shared" si="15"/>
        <v>1.0108107982977073</v>
      </c>
      <c r="M61" s="53">
        <f t="shared" si="15"/>
        <v>1.0164220245104389</v>
      </c>
      <c r="N61" s="53">
        <f t="shared" si="15"/>
        <v>1.0233166754522913</v>
      </c>
      <c r="O61" s="53">
        <f t="shared" si="15"/>
        <v>1.0314364249160288</v>
      </c>
      <c r="P61" s="53">
        <f t="shared" si="15"/>
        <v>1.0407008008149699</v>
      </c>
      <c r="Q61" s="53">
        <f t="shared" si="15"/>
        <v>1.0510194798535253</v>
      </c>
      <c r="R61" s="53">
        <f t="shared" si="15"/>
        <v>1.0623002388243545</v>
      </c>
      <c r="S61" s="53">
        <f t="shared" si="15"/>
        <v>1.0744537332719222</v>
      </c>
      <c r="T61" s="53">
        <f t="shared" si="15"/>
        <v>1.0873961224224238</v>
      </c>
      <c r="U61" s="53">
        <f t="shared" si="15"/>
        <v>1.1010503055771759</v>
      </c>
      <c r="V61" s="53">
        <f t="shared" si="15"/>
        <v>1.1153463025895067</v>
      </c>
      <c r="W61" s="65">
        <f t="shared" si="15"/>
        <v>1.13022113218891</v>
      </c>
    </row>
    <row r="62" spans="1:23" ht="15" thickBot="1" x14ac:dyDescent="0.35">
      <c r="B62" s="53"/>
      <c r="D62" s="68">
        <f t="shared" si="7"/>
        <v>94552478742150</v>
      </c>
      <c r="E62" s="57">
        <f>1 / (1 - EXP((-$C$2*$D$62)/($A$2*E53)))</f>
        <v>1.0000002453937442</v>
      </c>
      <c r="F62" s="57">
        <f t="shared" ref="F62:W62" si="16">1 / (1 - EXP((-$C$2*$D$62)/($A$2*F53)))</f>
        <v>1.0000118297224332</v>
      </c>
      <c r="G62" s="57">
        <f t="shared" si="16"/>
        <v>1.0001143997865267</v>
      </c>
      <c r="H62" s="57">
        <f t="shared" si="16"/>
        <v>1.0005194436932416</v>
      </c>
      <c r="I62" s="57">
        <f t="shared" si="16"/>
        <v>1.0015318587492745</v>
      </c>
      <c r="J62" s="57">
        <f t="shared" si="16"/>
        <v>1.0034512864201592</v>
      </c>
      <c r="K62" s="57">
        <f t="shared" si="16"/>
        <v>1.0065016429840372</v>
      </c>
      <c r="L62" s="57">
        <f t="shared" si="16"/>
        <v>1.0108107951530949</v>
      </c>
      <c r="M62" s="57">
        <f t="shared" si="16"/>
        <v>1.0164220201437977</v>
      </c>
      <c r="N62" s="57">
        <f t="shared" si="16"/>
        <v>1.0233166697304623</v>
      </c>
      <c r="O62" s="57">
        <f t="shared" si="16"/>
        <v>1.0314364177385533</v>
      </c>
      <c r="P62" s="57">
        <f t="shared" si="16"/>
        <v>1.0407007921085367</v>
      </c>
      <c r="Q62" s="57">
        <f t="shared" si="16"/>
        <v>1.0510194695663773</v>
      </c>
      <c r="R62" s="57">
        <f t="shared" si="16"/>
        <v>1.0623002269213537</v>
      </c>
      <c r="S62" s="57">
        <f t="shared" si="16"/>
        <v>1.0744537197304858</v>
      </c>
      <c r="T62" s="57">
        <f t="shared" si="16"/>
        <v>1.0873961072293061</v>
      </c>
      <c r="U62" s="57">
        <f t="shared" si="16"/>
        <v>1.1010502887259825</v>
      </c>
      <c r="V62" s="57">
        <f t="shared" si="16"/>
        <v>1.1153462840788051</v>
      </c>
      <c r="W62" s="67">
        <f t="shared" si="16"/>
        <v>1.1302211120208066</v>
      </c>
    </row>
    <row r="63" spans="1:23" x14ac:dyDescent="0.3">
      <c r="B63" s="53"/>
      <c r="D63" s="69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</row>
    <row r="64" spans="1:23" ht="15" thickBot="1" x14ac:dyDescent="0.35">
      <c r="B64" s="53"/>
      <c r="D64" s="69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</row>
    <row r="65" spans="1:23" x14ac:dyDescent="0.3">
      <c r="B65" s="53"/>
      <c r="D65" s="70" t="s">
        <v>53</v>
      </c>
      <c r="E65" s="71">
        <v>298.14999999999998</v>
      </c>
      <c r="F65" s="71">
        <f>300+100</f>
        <v>400</v>
      </c>
      <c r="G65" s="71">
        <f t="shared" ref="G65:W65" si="17">F65+100</f>
        <v>500</v>
      </c>
      <c r="H65" s="71">
        <f t="shared" si="17"/>
        <v>600</v>
      </c>
      <c r="I65" s="71">
        <f t="shared" si="17"/>
        <v>700</v>
      </c>
      <c r="J65" s="71">
        <f t="shared" si="17"/>
        <v>800</v>
      </c>
      <c r="K65" s="71">
        <f t="shared" si="17"/>
        <v>900</v>
      </c>
      <c r="L65" s="71">
        <f t="shared" si="17"/>
        <v>1000</v>
      </c>
      <c r="M65" s="71">
        <f t="shared" si="17"/>
        <v>1100</v>
      </c>
      <c r="N65" s="71">
        <f t="shared" si="17"/>
        <v>1200</v>
      </c>
      <c r="O65" s="71">
        <f t="shared" si="17"/>
        <v>1300</v>
      </c>
      <c r="P65" s="71">
        <f t="shared" si="17"/>
        <v>1400</v>
      </c>
      <c r="Q65" s="71">
        <f t="shared" si="17"/>
        <v>1500</v>
      </c>
      <c r="R65" s="71">
        <f t="shared" si="17"/>
        <v>1600</v>
      </c>
      <c r="S65" s="71">
        <f t="shared" si="17"/>
        <v>1700</v>
      </c>
      <c r="T65" s="71">
        <f t="shared" si="17"/>
        <v>1800</v>
      </c>
      <c r="U65" s="71">
        <f t="shared" si="17"/>
        <v>1900</v>
      </c>
      <c r="V65" s="71">
        <f t="shared" si="17"/>
        <v>2000</v>
      </c>
      <c r="W65" s="72">
        <f t="shared" si="17"/>
        <v>2100</v>
      </c>
    </row>
    <row r="66" spans="1:23" ht="15" thickBot="1" x14ac:dyDescent="0.35">
      <c r="B66" s="53"/>
      <c r="D66" s="68" t="s">
        <v>54</v>
      </c>
      <c r="E66" s="57">
        <f>PRODUCT(E54:E62)</f>
        <v>1.0055875193645769</v>
      </c>
      <c r="F66" s="57">
        <f>PRODUCT(F54:F62)</f>
        <v>1.0314671721100162</v>
      </c>
      <c r="G66" s="57">
        <f t="shared" ref="G66:W66" si="18">PRODUCT(G54:G62)</f>
        <v>1.0894967525921082</v>
      </c>
      <c r="H66" s="57">
        <f t="shared" si="18"/>
        <v>1.1864366336720031</v>
      </c>
      <c r="I66" s="57">
        <f t="shared" si="18"/>
        <v>1.3271453858795728</v>
      </c>
      <c r="J66" s="57">
        <f t="shared" si="18"/>
        <v>1.5176522753867683</v>
      </c>
      <c r="K66" s="57">
        <f t="shared" si="18"/>
        <v>1.7662540977290904</v>
      </c>
      <c r="L66" s="57">
        <f t="shared" si="18"/>
        <v>2.0839639376626984</v>
      </c>
      <c r="M66" s="57">
        <f t="shared" si="18"/>
        <v>2.4848450236881789</v>
      </c>
      <c r="N66" s="57">
        <f t="shared" si="18"/>
        <v>2.9864004978270993</v>
      </c>
      <c r="O66" s="57">
        <f t="shared" si="18"/>
        <v>3.6100624469317393</v>
      </c>
      <c r="P66" s="57">
        <f t="shared" si="18"/>
        <v>4.3817890871021055</v>
      </c>
      <c r="Q66" s="57">
        <f t="shared" si="18"/>
        <v>5.3327729643224879</v>
      </c>
      <c r="R66" s="57">
        <f t="shared" si="18"/>
        <v>6.5002641888755202</v>
      </c>
      <c r="S66" s="57">
        <f t="shared" si="18"/>
        <v>7.928515060295882</v>
      </c>
      <c r="T66" s="57">
        <f t="shared" si="18"/>
        <v>9.6698545544902554</v>
      </c>
      <c r="U66" s="57">
        <f t="shared" si="18"/>
        <v>11.78590285634904</v>
      </c>
      <c r="V66" s="57">
        <f t="shared" si="18"/>
        <v>14.348937518986634</v>
      </c>
      <c r="W66" s="67">
        <f t="shared" si="18"/>
        <v>17.443424024912932</v>
      </c>
    </row>
    <row r="67" spans="1:23" x14ac:dyDescent="0.3">
      <c r="B67" s="53"/>
      <c r="D67" s="69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</row>
    <row r="68" spans="1:23" x14ac:dyDescent="0.3">
      <c r="B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</row>
    <row r="69" spans="1:23" x14ac:dyDescent="0.3">
      <c r="B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</row>
    <row r="70" spans="1:23" x14ac:dyDescent="0.3">
      <c r="B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</row>
    <row r="71" spans="1:23" ht="15" thickBot="1" x14ac:dyDescent="0.35"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</row>
    <row r="72" spans="1:23" x14ac:dyDescent="0.3">
      <c r="A72" s="17" t="s">
        <v>55</v>
      </c>
      <c r="B72" s="19">
        <f>COUNT(B53:B70)</f>
        <v>9</v>
      </c>
    </row>
    <row r="73" spans="1:23" ht="21" thickBot="1" x14ac:dyDescent="0.35">
      <c r="A73" s="73" t="s">
        <v>56</v>
      </c>
      <c r="B73" s="74">
        <f>PRODUCT(B53:B61)</f>
        <v>1.0055875193645769</v>
      </c>
    </row>
    <row r="76" spans="1:23" ht="15" thickBot="1" x14ac:dyDescent="0.35"/>
    <row r="77" spans="1:23" x14ac:dyDescent="0.3">
      <c r="A77" s="16" t="s">
        <v>57</v>
      </c>
    </row>
    <row r="78" spans="1:23" x14ac:dyDescent="0.3">
      <c r="A78" s="75">
        <v>1.00559</v>
      </c>
    </row>
    <row r="79" spans="1:23" x14ac:dyDescent="0.3">
      <c r="A79" s="76" t="s">
        <v>58</v>
      </c>
    </row>
    <row r="80" spans="1:23" ht="15" thickBot="1" x14ac:dyDescent="0.35">
      <c r="A80" s="77">
        <f>ABS(B73-A78)/B73</f>
        <v>2.46685184064527E-6</v>
      </c>
    </row>
    <row r="81" spans="2:10" ht="15" thickBot="1" x14ac:dyDescent="0.35"/>
    <row r="82" spans="2:10" ht="18" x14ac:dyDescent="0.3">
      <c r="D82" s="11" t="s">
        <v>47</v>
      </c>
      <c r="E82" s="60" t="s">
        <v>59</v>
      </c>
      <c r="F82" s="52" t="s">
        <v>9</v>
      </c>
    </row>
    <row r="83" spans="2:10" ht="18.600000000000001" thickBot="1" x14ac:dyDescent="0.35">
      <c r="B83" s="78"/>
      <c r="D83" s="35">
        <f>298.15</f>
        <v>298.14999999999998</v>
      </c>
      <c r="E83" s="65">
        <f xml:space="preserve"> ( (2*$B$2*$E$2*$A$2*D83)/($C$2*$C$2) )^(1.5) * ($A$2*D83) /$F$83</f>
        <v>2522718.5782193295</v>
      </c>
      <c r="F83" s="25">
        <v>101325</v>
      </c>
      <c r="H83" s="5" t="s">
        <v>60</v>
      </c>
    </row>
    <row r="84" spans="2:10" ht="15" thickBot="1" x14ac:dyDescent="0.35">
      <c r="D84" s="35">
        <f>300+100</f>
        <v>400</v>
      </c>
      <c r="E84" s="65">
        <f t="shared" ref="E84:E101" si="19" xml:space="preserve"> ( (2*$B$2*$E$2*$A$2*D84)/($C$2*$C$2) )^(1.5) * ($A$2*D84) /$F$83</f>
        <v>5259346.0807048045</v>
      </c>
    </row>
    <row r="85" spans="2:10" ht="15" thickBot="1" x14ac:dyDescent="0.35">
      <c r="D85" s="35">
        <f t="shared" ref="D85:D101" si="20">D84+100</f>
        <v>500</v>
      </c>
      <c r="E85" s="65">
        <f t="shared" si="19"/>
        <v>9187699.4950413574</v>
      </c>
      <c r="J85" s="16" t="s">
        <v>61</v>
      </c>
    </row>
    <row r="86" spans="2:10" x14ac:dyDescent="0.3">
      <c r="D86" s="35">
        <f t="shared" si="20"/>
        <v>600</v>
      </c>
      <c r="E86" s="65">
        <f t="shared" si="19"/>
        <v>14493053.563237401</v>
      </c>
      <c r="H86" s="79" t="s">
        <v>62</v>
      </c>
      <c r="I86" s="17" t="s">
        <v>63</v>
      </c>
      <c r="J86" s="80">
        <f xml:space="preserve"> ( (2*$B$2*$E$2*$A$2*298.15)/($C$2*$C$2) )^(1.5) * ($A$2*D83) /$F$83</f>
        <v>2522718.5782193295</v>
      </c>
    </row>
    <row r="87" spans="2:10" ht="15" thickBot="1" x14ac:dyDescent="0.35">
      <c r="D87" s="35">
        <f t="shared" si="20"/>
        <v>700</v>
      </c>
      <c r="E87" s="65">
        <f t="shared" si="19"/>
        <v>21307223.988437068</v>
      </c>
      <c r="H87" s="63" t="s">
        <v>64</v>
      </c>
      <c r="I87" s="26" t="s">
        <v>63</v>
      </c>
      <c r="J87" s="81">
        <v>2522950</v>
      </c>
    </row>
    <row r="88" spans="2:10" x14ac:dyDescent="0.3">
      <c r="D88" s="35">
        <f t="shared" si="20"/>
        <v>800</v>
      </c>
      <c r="E88" s="65">
        <f t="shared" si="19"/>
        <v>29751354.226185728</v>
      </c>
      <c r="J88" s="82" t="s">
        <v>58</v>
      </c>
    </row>
    <row r="89" spans="2:10" x14ac:dyDescent="0.3">
      <c r="D89" s="35">
        <f t="shared" si="20"/>
        <v>900</v>
      </c>
      <c r="E89" s="65">
        <f t="shared" si="19"/>
        <v>39938159.300351597</v>
      </c>
      <c r="J89" s="83">
        <f>ABS(J86-J87)/J87</f>
        <v>9.1726661515498665E-5</v>
      </c>
    </row>
    <row r="90" spans="2:10" x14ac:dyDescent="0.3">
      <c r="D90" s="35">
        <f t="shared" si="20"/>
        <v>1000</v>
      </c>
      <c r="E90" s="65">
        <f t="shared" si="19"/>
        <v>51973476.931583114</v>
      </c>
    </row>
    <row r="91" spans="2:10" x14ac:dyDescent="0.3">
      <c r="D91" s="35">
        <f t="shared" si="20"/>
        <v>1100</v>
      </c>
      <c r="E91" s="65">
        <f t="shared" si="19"/>
        <v>65957393.395975426</v>
      </c>
    </row>
    <row r="92" spans="2:10" x14ac:dyDescent="0.3">
      <c r="D92" s="35">
        <f t="shared" si="20"/>
        <v>1200</v>
      </c>
      <c r="E92" s="65">
        <f t="shared" si="19"/>
        <v>81985091.637320414</v>
      </c>
    </row>
    <row r="93" spans="2:10" x14ac:dyDescent="0.3">
      <c r="D93" s="35">
        <f t="shared" si="20"/>
        <v>1300</v>
      </c>
      <c r="E93" s="65">
        <f t="shared" si="19"/>
        <v>100147509.15084988</v>
      </c>
    </row>
    <row r="94" spans="2:10" x14ac:dyDescent="0.3">
      <c r="D94" s="35">
        <f t="shared" si="20"/>
        <v>1400</v>
      </c>
      <c r="E94" s="65">
        <f t="shared" si="19"/>
        <v>120531860.56387654</v>
      </c>
    </row>
    <row r="95" spans="2:10" x14ac:dyDescent="0.3">
      <c r="D95" s="35">
        <f t="shared" si="20"/>
        <v>1500</v>
      </c>
      <c r="E95" s="65">
        <f t="shared" si="19"/>
        <v>143222060.97077844</v>
      </c>
    </row>
    <row r="96" spans="2:10" x14ac:dyDescent="0.3">
      <c r="D96" s="35">
        <f t="shared" si="20"/>
        <v>1600</v>
      </c>
      <c r="E96" s="65">
        <f t="shared" si="19"/>
        <v>168299074.58255228</v>
      </c>
    </row>
    <row r="97" spans="1:10" x14ac:dyDescent="0.3">
      <c r="D97" s="35">
        <f t="shared" si="20"/>
        <v>1700</v>
      </c>
      <c r="E97" s="65">
        <f t="shared" si="19"/>
        <v>195841205.94345555</v>
      </c>
    </row>
    <row r="98" spans="1:10" x14ac:dyDescent="0.3">
      <c r="D98" s="35">
        <f t="shared" si="20"/>
        <v>1800</v>
      </c>
      <c r="E98" s="65">
        <f t="shared" si="19"/>
        <v>225924346.15509823</v>
      </c>
    </row>
    <row r="99" spans="1:10" x14ac:dyDescent="0.3">
      <c r="D99" s="35">
        <f t="shared" si="20"/>
        <v>1900</v>
      </c>
      <c r="E99" s="65">
        <f t="shared" si="19"/>
        <v>258622183.28245211</v>
      </c>
    </row>
    <row r="100" spans="1:10" x14ac:dyDescent="0.3">
      <c r="D100" s="35">
        <f t="shared" si="20"/>
        <v>2000</v>
      </c>
      <c r="E100" s="65">
        <f t="shared" si="19"/>
        <v>294006383.84132093</v>
      </c>
    </row>
    <row r="101" spans="1:10" ht="15" thickBot="1" x14ac:dyDescent="0.35">
      <c r="D101" s="26">
        <f t="shared" si="20"/>
        <v>2100</v>
      </c>
      <c r="E101" s="67">
        <f t="shared" si="19"/>
        <v>332146750.64600927</v>
      </c>
    </row>
    <row r="104" spans="1:10" ht="15" thickBot="1" x14ac:dyDescent="0.35"/>
    <row r="105" spans="1:10" ht="18" x14ac:dyDescent="0.3">
      <c r="D105" s="11" t="s">
        <v>47</v>
      </c>
      <c r="E105" s="60" t="s">
        <v>65</v>
      </c>
    </row>
    <row r="106" spans="1:10" x14ac:dyDescent="0.3">
      <c r="D106" s="35">
        <v>298.14999999999998</v>
      </c>
      <c r="E106" s="65">
        <f xml:space="preserve"> ( SQRT($B$2)/$B$6) * SQRT(  (D106*D106*D106) / ($E$11 * $F$11 * $G$11 ) )</f>
        <v>146.292747901534</v>
      </c>
    </row>
    <row r="107" spans="1:10" x14ac:dyDescent="0.3">
      <c r="D107" s="35">
        <f>300+100</f>
        <v>400</v>
      </c>
      <c r="E107" s="65">
        <f t="shared" ref="E107:E124" si="21" xml:space="preserve"> ( SQRT($B$2)/$B$6) * SQRT(  (D107*D107*D107) / ($E$11 * $F$11 * $G$11 ) )</f>
        <v>227.3319954531778</v>
      </c>
    </row>
    <row r="108" spans="1:10" x14ac:dyDescent="0.3">
      <c r="D108" s="35">
        <f t="shared" ref="D108:D124" si="22">D107+100</f>
        <v>500</v>
      </c>
      <c r="E108" s="65">
        <f t="shared" si="21"/>
        <v>317.7061220587367</v>
      </c>
      <c r="H108" s="5" t="s">
        <v>60</v>
      </c>
    </row>
    <row r="109" spans="1:10" ht="15" thickBot="1" x14ac:dyDescent="0.35">
      <c r="D109" s="35">
        <f t="shared" si="22"/>
        <v>600</v>
      </c>
      <c r="E109" s="65">
        <f t="shared" si="21"/>
        <v>417.63554330174333</v>
      </c>
    </row>
    <row r="110" spans="1:10" ht="18.600000000000001" thickBot="1" x14ac:dyDescent="0.35">
      <c r="A110" s="84"/>
      <c r="B110" s="78"/>
      <c r="D110" s="35">
        <f t="shared" si="22"/>
        <v>700</v>
      </c>
      <c r="E110" s="65">
        <f t="shared" si="21"/>
        <v>526.28093439002782</v>
      </c>
      <c r="J110" s="16" t="s">
        <v>61</v>
      </c>
    </row>
    <row r="111" spans="1:10" x14ac:dyDescent="0.3">
      <c r="D111" s="35">
        <f t="shared" si="22"/>
        <v>800</v>
      </c>
      <c r="E111" s="65">
        <f t="shared" si="21"/>
        <v>642.99198226244562</v>
      </c>
      <c r="H111" s="79" t="s">
        <v>62</v>
      </c>
      <c r="I111" s="17" t="s">
        <v>66</v>
      </c>
      <c r="J111" s="80">
        <f>E106</f>
        <v>146.292747901534</v>
      </c>
    </row>
    <row r="112" spans="1:10" ht="15" thickBot="1" x14ac:dyDescent="0.35">
      <c r="D112" s="35">
        <f t="shared" si="22"/>
        <v>900</v>
      </c>
      <c r="E112" s="65">
        <f t="shared" si="21"/>
        <v>767.24548465447515</v>
      </c>
      <c r="H112" s="63" t="s">
        <v>64</v>
      </c>
      <c r="I112" s="26" t="s">
        <v>66</v>
      </c>
      <c r="J112" s="81">
        <v>146.29300000000001</v>
      </c>
    </row>
    <row r="113" spans="4:10" x14ac:dyDescent="0.3">
      <c r="D113" s="35">
        <f t="shared" si="22"/>
        <v>1000</v>
      </c>
      <c r="E113" s="65">
        <f t="shared" si="21"/>
        <v>898.60861332885463</v>
      </c>
      <c r="J113" s="82" t="s">
        <v>58</v>
      </c>
    </row>
    <row r="114" spans="4:10" x14ac:dyDescent="0.3">
      <c r="D114" s="35">
        <f t="shared" si="22"/>
        <v>1100</v>
      </c>
      <c r="E114" s="65">
        <f t="shared" si="21"/>
        <v>1036.7155311713345</v>
      </c>
      <c r="J114" s="85">
        <f>ABS(J111-J112)/J112</f>
        <v>1.7232435318614053E-6</v>
      </c>
    </row>
    <row r="115" spans="4:10" x14ac:dyDescent="0.3">
      <c r="D115" s="35">
        <f t="shared" si="22"/>
        <v>1200</v>
      </c>
      <c r="E115" s="65">
        <f t="shared" si="21"/>
        <v>1181.2516989327628</v>
      </c>
    </row>
    <row r="116" spans="4:10" x14ac:dyDescent="0.3">
      <c r="D116" s="35">
        <f t="shared" si="22"/>
        <v>1300</v>
      </c>
      <c r="E116" s="65">
        <f t="shared" si="21"/>
        <v>1331.9428950099662</v>
      </c>
      <c r="H116" s="86"/>
    </row>
    <row r="117" spans="4:10" x14ac:dyDescent="0.3">
      <c r="D117" s="35">
        <f t="shared" si="22"/>
        <v>1400</v>
      </c>
      <c r="E117" s="65">
        <f t="shared" si="21"/>
        <v>1488.547270065525</v>
      </c>
    </row>
    <row r="118" spans="4:10" x14ac:dyDescent="0.3">
      <c r="D118" s="35">
        <f t="shared" si="22"/>
        <v>1500</v>
      </c>
      <c r="E118" s="65">
        <f t="shared" si="21"/>
        <v>1650.8494358442335</v>
      </c>
    </row>
    <row r="119" spans="4:10" x14ac:dyDescent="0.3">
      <c r="D119" s="35">
        <f t="shared" si="22"/>
        <v>1600</v>
      </c>
      <c r="E119" s="65">
        <f t="shared" si="21"/>
        <v>1818.6559636254224</v>
      </c>
    </row>
    <row r="120" spans="4:10" x14ac:dyDescent="0.3">
      <c r="D120" s="35">
        <f t="shared" si="22"/>
        <v>1700</v>
      </c>
      <c r="E120" s="65">
        <f t="shared" si="21"/>
        <v>1991.7918873387575</v>
      </c>
    </row>
    <row r="121" spans="4:10" x14ac:dyDescent="0.3">
      <c r="D121" s="35">
        <f t="shared" si="22"/>
        <v>1800</v>
      </c>
      <c r="E121" s="65">
        <f t="shared" si="21"/>
        <v>2170.097940135754</v>
      </c>
    </row>
    <row r="122" spans="4:10" x14ac:dyDescent="0.3">
      <c r="D122" s="35">
        <f t="shared" si="22"/>
        <v>1900</v>
      </c>
      <c r="E122" s="65">
        <f t="shared" si="21"/>
        <v>2353.4283376828935</v>
      </c>
    </row>
    <row r="123" spans="4:10" x14ac:dyDescent="0.3">
      <c r="D123" s="35">
        <f t="shared" si="22"/>
        <v>2000</v>
      </c>
      <c r="E123" s="65">
        <f t="shared" si="21"/>
        <v>2541.6489764698936</v>
      </c>
    </row>
    <row r="124" spans="4:10" ht="15" thickBot="1" x14ac:dyDescent="0.35">
      <c r="D124" s="26">
        <f t="shared" si="22"/>
        <v>2100</v>
      </c>
      <c r="E124" s="67">
        <f t="shared" si="21"/>
        <v>2734.6359522550533</v>
      </c>
    </row>
    <row r="126" spans="4:10" ht="15" thickBot="1" x14ac:dyDescent="0.35"/>
    <row r="127" spans="4:10" ht="18" x14ac:dyDescent="0.3">
      <c r="D127" s="11" t="s">
        <v>47</v>
      </c>
      <c r="E127" s="13" t="s">
        <v>67</v>
      </c>
      <c r="F127" s="52" t="s">
        <v>68</v>
      </c>
    </row>
    <row r="128" spans="4:10" ht="15.6" x14ac:dyDescent="0.3">
      <c r="D128" s="35">
        <v>298.14999999999998</v>
      </c>
      <c r="E128" s="87">
        <f>$B$135*EXP($B$134/($A$2*D128) )</f>
        <v>0</v>
      </c>
      <c r="F128" s="54">
        <f>$B$135</f>
        <v>1</v>
      </c>
      <c r="G128" s="5" t="s">
        <v>69</v>
      </c>
      <c r="H128" s="88">
        <f>$B$135*EXP($B$134/($A$2*298.15) )</f>
        <v>0</v>
      </c>
    </row>
    <row r="129" spans="1:10" ht="15.6" x14ac:dyDescent="0.2">
      <c r="A129" s="89"/>
      <c r="D129" s="35">
        <f>300+100</f>
        <v>400</v>
      </c>
      <c r="E129" s="87">
        <f t="shared" ref="E129:E146" si="23">$B$135*EXP($B$134/($A$2*D129) )</f>
        <v>0</v>
      </c>
      <c r="F129" s="54">
        <f t="shared" ref="F129:F146" si="24">$B$135</f>
        <v>1</v>
      </c>
    </row>
    <row r="130" spans="1:10" ht="16.2" thickBot="1" x14ac:dyDescent="0.35">
      <c r="D130" s="35">
        <f t="shared" ref="D130:D146" si="25">D129+100</f>
        <v>500</v>
      </c>
      <c r="E130" s="87">
        <f t="shared" si="23"/>
        <v>0</v>
      </c>
      <c r="F130" s="54">
        <f t="shared" si="24"/>
        <v>1</v>
      </c>
    </row>
    <row r="131" spans="1:10" ht="15.6" x14ac:dyDescent="0.3">
      <c r="A131" s="90" t="s">
        <v>70</v>
      </c>
      <c r="B131" s="91">
        <v>-40.526138247299997</v>
      </c>
      <c r="D131" s="35">
        <f t="shared" si="25"/>
        <v>600</v>
      </c>
      <c r="E131" s="87">
        <f t="shared" si="23"/>
        <v>0</v>
      </c>
      <c r="F131" s="54">
        <f t="shared" si="24"/>
        <v>1</v>
      </c>
      <c r="H131" s="17"/>
      <c r="I131" s="18" t="s">
        <v>171</v>
      </c>
      <c r="J131" s="19" t="s">
        <v>131</v>
      </c>
    </row>
    <row r="132" spans="1:10" ht="18.600000000000001" thickBot="1" x14ac:dyDescent="0.35">
      <c r="A132" s="90" t="s">
        <v>71</v>
      </c>
      <c r="B132" s="92">
        <f>B131/(229400000000000000)</f>
        <v>-1.7666145705013077E-16</v>
      </c>
      <c r="D132" s="35">
        <f t="shared" si="25"/>
        <v>700</v>
      </c>
      <c r="E132" s="87">
        <f t="shared" si="23"/>
        <v>0</v>
      </c>
      <c r="F132" s="54">
        <f t="shared" si="24"/>
        <v>1</v>
      </c>
      <c r="H132" s="196" t="s">
        <v>172</v>
      </c>
      <c r="I132" s="197">
        <f>$I$5+$B$131</f>
        <v>-40.481338247299995</v>
      </c>
      <c r="J132" s="28">
        <f>$I$132*627.503</f>
        <v>-25402.161194195491</v>
      </c>
    </row>
    <row r="133" spans="1:10" ht="15.6" x14ac:dyDescent="0.3">
      <c r="A133" s="90" t="s">
        <v>72</v>
      </c>
      <c r="B133" s="90">
        <f>3.25263E-19</f>
        <v>3.2526300000000002E-19</v>
      </c>
      <c r="D133" s="35">
        <f t="shared" si="25"/>
        <v>800</v>
      </c>
      <c r="E133" s="87">
        <f t="shared" si="23"/>
        <v>0</v>
      </c>
      <c r="F133" s="54">
        <f t="shared" si="24"/>
        <v>1</v>
      </c>
    </row>
    <row r="134" spans="1:10" ht="18" x14ac:dyDescent="0.3">
      <c r="A134" s="90" t="s">
        <v>73</v>
      </c>
      <c r="B134" s="92">
        <f>B132+B133</f>
        <v>-1.7633619405013078E-16</v>
      </c>
      <c r="D134" s="35">
        <f t="shared" si="25"/>
        <v>900</v>
      </c>
      <c r="E134" s="87">
        <f t="shared" si="23"/>
        <v>0</v>
      </c>
      <c r="F134" s="54">
        <f t="shared" si="24"/>
        <v>1</v>
      </c>
    </row>
    <row r="135" spans="1:10" ht="18" x14ac:dyDescent="0.3">
      <c r="A135" s="90" t="s">
        <v>74</v>
      </c>
      <c r="B135" s="90">
        <v>1</v>
      </c>
      <c r="D135" s="35">
        <f t="shared" si="25"/>
        <v>1000</v>
      </c>
      <c r="E135" s="87">
        <f t="shared" si="23"/>
        <v>0</v>
      </c>
      <c r="F135" s="54">
        <f t="shared" si="24"/>
        <v>1</v>
      </c>
    </row>
    <row r="136" spans="1:10" ht="15.6" x14ac:dyDescent="0.3">
      <c r="A136" s="5" t="s">
        <v>75</v>
      </c>
      <c r="B136" s="53">
        <f>A2*D128</f>
        <v>4.1162588999999997E-21</v>
      </c>
      <c r="D136" s="35">
        <f t="shared" si="25"/>
        <v>1100</v>
      </c>
      <c r="E136" s="87">
        <f t="shared" si="23"/>
        <v>0</v>
      </c>
      <c r="F136" s="54">
        <f t="shared" si="24"/>
        <v>1</v>
      </c>
    </row>
    <row r="137" spans="1:10" ht="15.6" x14ac:dyDescent="0.3">
      <c r="D137" s="35">
        <f t="shared" si="25"/>
        <v>1200</v>
      </c>
      <c r="E137" s="87">
        <f t="shared" si="23"/>
        <v>0</v>
      </c>
      <c r="F137" s="54">
        <f t="shared" si="24"/>
        <v>1</v>
      </c>
    </row>
    <row r="138" spans="1:10" ht="15.6" x14ac:dyDescent="0.3">
      <c r="D138" s="35">
        <f t="shared" si="25"/>
        <v>1300</v>
      </c>
      <c r="E138" s="87">
        <f t="shared" si="23"/>
        <v>0</v>
      </c>
      <c r="F138" s="54">
        <f t="shared" si="24"/>
        <v>1</v>
      </c>
    </row>
    <row r="139" spans="1:10" ht="15.6" x14ac:dyDescent="0.3">
      <c r="D139" s="35">
        <f t="shared" si="25"/>
        <v>1400</v>
      </c>
      <c r="E139" s="87">
        <f t="shared" si="23"/>
        <v>0</v>
      </c>
      <c r="F139" s="54">
        <f t="shared" si="24"/>
        <v>1</v>
      </c>
    </row>
    <row r="140" spans="1:10" ht="15.6" x14ac:dyDescent="0.3">
      <c r="D140" s="35">
        <f t="shared" si="25"/>
        <v>1500</v>
      </c>
      <c r="E140" s="87">
        <f t="shared" si="23"/>
        <v>0</v>
      </c>
      <c r="F140" s="54">
        <f t="shared" si="24"/>
        <v>1</v>
      </c>
    </row>
    <row r="141" spans="1:10" ht="15.6" x14ac:dyDescent="0.3">
      <c r="D141" s="35">
        <f t="shared" si="25"/>
        <v>1600</v>
      </c>
      <c r="E141" s="87">
        <f t="shared" si="23"/>
        <v>0</v>
      </c>
      <c r="F141" s="54">
        <f t="shared" si="24"/>
        <v>1</v>
      </c>
    </row>
    <row r="142" spans="1:10" ht="15.6" x14ac:dyDescent="0.3">
      <c r="D142" s="35">
        <f t="shared" si="25"/>
        <v>1700</v>
      </c>
      <c r="E142" s="87">
        <f t="shared" si="23"/>
        <v>0</v>
      </c>
      <c r="F142" s="54">
        <f t="shared" si="24"/>
        <v>1</v>
      </c>
    </row>
    <row r="143" spans="1:10" ht="15.6" x14ac:dyDescent="0.3">
      <c r="D143" s="35">
        <f t="shared" si="25"/>
        <v>1800</v>
      </c>
      <c r="E143" s="87">
        <f t="shared" si="23"/>
        <v>0</v>
      </c>
      <c r="F143" s="54">
        <f t="shared" si="24"/>
        <v>1</v>
      </c>
    </row>
    <row r="144" spans="1:10" ht="15.6" x14ac:dyDescent="0.3">
      <c r="D144" s="35">
        <f t="shared" si="25"/>
        <v>1900</v>
      </c>
      <c r="E144" s="87">
        <f t="shared" si="23"/>
        <v>0</v>
      </c>
      <c r="F144" s="54">
        <f t="shared" si="24"/>
        <v>1</v>
      </c>
    </row>
    <row r="145" spans="4:13" ht="15.6" x14ac:dyDescent="0.3">
      <c r="D145" s="35">
        <f t="shared" si="25"/>
        <v>2000</v>
      </c>
      <c r="E145" s="87">
        <f t="shared" si="23"/>
        <v>0</v>
      </c>
      <c r="F145" s="54">
        <f t="shared" si="24"/>
        <v>1</v>
      </c>
    </row>
    <row r="146" spans="4:13" ht="16.2" thickBot="1" x14ac:dyDescent="0.35">
      <c r="D146" s="26">
        <f t="shared" si="25"/>
        <v>2100</v>
      </c>
      <c r="E146" s="93">
        <f t="shared" si="23"/>
        <v>0</v>
      </c>
      <c r="F146" s="25">
        <f t="shared" si="24"/>
        <v>1</v>
      </c>
    </row>
    <row r="151" spans="4:13" ht="15" thickBot="1" x14ac:dyDescent="0.35">
      <c r="H151" s="5" t="s">
        <v>76</v>
      </c>
    </row>
    <row r="152" spans="4:13" ht="20.399999999999999" x14ac:dyDescent="0.3">
      <c r="D152" s="94" t="s">
        <v>47</v>
      </c>
      <c r="E152" s="95" t="s">
        <v>77</v>
      </c>
      <c r="F152" s="96" t="s">
        <v>78</v>
      </c>
      <c r="G152" s="96" t="s">
        <v>79</v>
      </c>
      <c r="H152" s="96" t="s">
        <v>80</v>
      </c>
      <c r="I152" s="97" t="s">
        <v>81</v>
      </c>
    </row>
    <row r="153" spans="4:13" ht="15.6" x14ac:dyDescent="0.3">
      <c r="D153" s="54">
        <v>298.14999999999998</v>
      </c>
      <c r="E153" s="98">
        <f xml:space="preserve"> ( SQRT($B$2)/$B$6) * SQRT(  (D153*D153*D153) / ($E$11 * $F$11 * $G$11 ) )</f>
        <v>146.292747901534</v>
      </c>
      <c r="F153" s="92">
        <v>1</v>
      </c>
      <c r="G153" s="53">
        <f xml:space="preserve"> ( (2*$B$2*$E$2*$A$2*D153)/($C$2*$C$2) )^(1.5) * ($A$2*D153) /$F$83</f>
        <v>2522718.5782193295</v>
      </c>
      <c r="H153" s="53">
        <f>PRODUCT(E54:E62)</f>
        <v>1.0055875193645769</v>
      </c>
      <c r="I153" s="99">
        <f>PRODUCT(E153:H153)</f>
        <v>371117537.36839032</v>
      </c>
      <c r="J153" s="63"/>
      <c r="K153" s="86"/>
      <c r="M153" s="53"/>
    </row>
    <row r="154" spans="4:13" ht="15.6" x14ac:dyDescent="0.3">
      <c r="D154" s="54">
        <f>300+100</f>
        <v>400</v>
      </c>
      <c r="E154" s="98">
        <f t="shared" ref="E154:E171" si="26" xml:space="preserve"> ( SQRT($B$2)/$B$6) * SQRT(  (D154*D154*D154) / ($E$11 * $F$11 * $G$11 ) )</f>
        <v>227.3319954531778</v>
      </c>
      <c r="F154" s="92">
        <v>1</v>
      </c>
      <c r="G154" s="53">
        <f t="shared" ref="G154:G171" si="27" xml:space="preserve"> ( (2*$B$2*$E$2*$A$2*D154)/($C$2*$C$2) )^(1.5) * ($A$2*D154) /$F$83</f>
        <v>5259346.0807048045</v>
      </c>
      <c r="H154" s="53">
        <f>PRODUCT(F54:F62)</f>
        <v>1.0314671721100162</v>
      </c>
      <c r="I154" s="65">
        <f>PRODUCT(E154:H154)</f>
        <v>1233240345.3392696</v>
      </c>
      <c r="M154" s="100"/>
    </row>
    <row r="155" spans="4:13" ht="15.6" x14ac:dyDescent="0.3">
      <c r="D155" s="54">
        <f t="shared" ref="D155:D171" si="28">D154+100</f>
        <v>500</v>
      </c>
      <c r="E155" s="98">
        <f t="shared" si="26"/>
        <v>317.7061220587367</v>
      </c>
      <c r="F155" s="92">
        <v>1</v>
      </c>
      <c r="G155" s="53">
        <f t="shared" si="27"/>
        <v>9187699.4950413574</v>
      </c>
      <c r="H155" s="53">
        <f>PRODUCT(G54:G62)</f>
        <v>1.0894967525921082</v>
      </c>
      <c r="I155" s="65">
        <f>PRODUCT(E155:H155)</f>
        <v>3180228357.8250594</v>
      </c>
      <c r="J155" s="5" t="s">
        <v>82</v>
      </c>
    </row>
    <row r="156" spans="4:13" ht="16.2" thickBot="1" x14ac:dyDescent="0.35">
      <c r="D156" s="54">
        <f t="shared" si="28"/>
        <v>600</v>
      </c>
      <c r="E156" s="98">
        <f t="shared" si="26"/>
        <v>417.63554330174333</v>
      </c>
      <c r="F156" s="92">
        <v>1</v>
      </c>
      <c r="G156" s="53">
        <f t="shared" si="27"/>
        <v>14493053.563237401</v>
      </c>
      <c r="H156" s="53">
        <f>PRODUCT(H54:H62)</f>
        <v>1.1864366336720031</v>
      </c>
      <c r="I156" s="65">
        <f t="shared" ref="I156:I171" si="29">PRODUCT(E156:H156)</f>
        <v>7181280621.1282463</v>
      </c>
    </row>
    <row r="157" spans="4:13" ht="16.2" thickBot="1" x14ac:dyDescent="0.35">
      <c r="D157" s="54">
        <f t="shared" si="28"/>
        <v>700</v>
      </c>
      <c r="E157" s="98">
        <f t="shared" si="26"/>
        <v>526.28093439002782</v>
      </c>
      <c r="F157" s="92">
        <v>1</v>
      </c>
      <c r="G157" s="53">
        <f t="shared" si="27"/>
        <v>21307223.988437068</v>
      </c>
      <c r="H157" s="53">
        <f>PRODUCT(I54:I62)</f>
        <v>1.3271453858795728</v>
      </c>
      <c r="I157" s="65">
        <f t="shared" si="29"/>
        <v>14882058587.13446</v>
      </c>
      <c r="L157" s="16" t="s">
        <v>61</v>
      </c>
    </row>
    <row r="158" spans="4:13" ht="15.6" x14ac:dyDescent="0.3">
      <c r="D158" s="54">
        <f t="shared" si="28"/>
        <v>800</v>
      </c>
      <c r="E158" s="98">
        <f t="shared" si="26"/>
        <v>642.99198226244562</v>
      </c>
      <c r="F158" s="92">
        <v>1</v>
      </c>
      <c r="G158" s="53">
        <f t="shared" si="27"/>
        <v>29751354.226185728</v>
      </c>
      <c r="H158" s="53">
        <f>PRODUCT(J54:J62)</f>
        <v>1.5176522753867683</v>
      </c>
      <c r="I158" s="65">
        <f t="shared" si="29"/>
        <v>29032509292.551785</v>
      </c>
      <c r="J158" s="79" t="s">
        <v>62</v>
      </c>
      <c r="K158" s="17" t="s">
        <v>83</v>
      </c>
      <c r="L158" s="80">
        <f>I153</f>
        <v>371117537.36839032</v>
      </c>
    </row>
    <row r="159" spans="4:13" ht="16.2" thickBot="1" x14ac:dyDescent="0.35">
      <c r="D159" s="54">
        <f t="shared" si="28"/>
        <v>900</v>
      </c>
      <c r="E159" s="98">
        <f t="shared" si="26"/>
        <v>767.24548465447515</v>
      </c>
      <c r="F159" s="92">
        <v>1</v>
      </c>
      <c r="G159" s="53">
        <f t="shared" si="27"/>
        <v>39938159.300351597</v>
      </c>
      <c r="H159" s="53">
        <f>PRODUCT(K54:K62)</f>
        <v>1.7662540977290904</v>
      </c>
      <c r="I159" s="65">
        <f t="shared" si="29"/>
        <v>54122215795.5159</v>
      </c>
      <c r="J159" s="63" t="s">
        <v>64</v>
      </c>
      <c r="K159" s="26" t="s">
        <v>83</v>
      </c>
      <c r="L159" s="81">
        <v>371152000</v>
      </c>
    </row>
    <row r="160" spans="4:13" ht="15.6" x14ac:dyDescent="0.3">
      <c r="D160" s="54">
        <f t="shared" si="28"/>
        <v>1000</v>
      </c>
      <c r="E160" s="98">
        <f t="shared" si="26"/>
        <v>898.60861332885463</v>
      </c>
      <c r="F160" s="92">
        <v>1</v>
      </c>
      <c r="G160" s="53">
        <f t="shared" si="27"/>
        <v>51973476.931583114</v>
      </c>
      <c r="H160" s="53">
        <f>PRODUCT(L54:L62)</f>
        <v>2.0839639376626984</v>
      </c>
      <c r="I160" s="65">
        <f t="shared" si="29"/>
        <v>97329064201.014221</v>
      </c>
      <c r="L160" s="82" t="s">
        <v>58</v>
      </c>
    </row>
    <row r="161" spans="1:12" ht="15.6" x14ac:dyDescent="0.3">
      <c r="D161" s="54">
        <f t="shared" si="28"/>
        <v>1100</v>
      </c>
      <c r="E161" s="98">
        <f t="shared" si="26"/>
        <v>1036.7155311713345</v>
      </c>
      <c r="F161" s="92">
        <v>1</v>
      </c>
      <c r="G161" s="53">
        <f t="shared" si="27"/>
        <v>65957393.395975426</v>
      </c>
      <c r="H161" s="53">
        <f>PRODUCT(M54:M62)</f>
        <v>2.4848450236881789</v>
      </c>
      <c r="I161" s="65">
        <f t="shared" si="29"/>
        <v>169911352377.4108</v>
      </c>
      <c r="L161" s="162">
        <f>ABS(L158-L159)/L159</f>
        <v>9.285314806246031E-5</v>
      </c>
    </row>
    <row r="162" spans="1:12" ht="15.6" x14ac:dyDescent="0.3">
      <c r="D162" s="54">
        <f t="shared" si="28"/>
        <v>1200</v>
      </c>
      <c r="E162" s="98">
        <f t="shared" si="26"/>
        <v>1181.2516989327628</v>
      </c>
      <c r="F162" s="92">
        <v>1</v>
      </c>
      <c r="G162" s="53">
        <f t="shared" si="27"/>
        <v>81985091.637320414</v>
      </c>
      <c r="H162" s="53">
        <f>PRODUCT(N54:N62)</f>
        <v>2.9864004978270993</v>
      </c>
      <c r="I162" s="65">
        <f t="shared" si="29"/>
        <v>289218042171.84979</v>
      </c>
    </row>
    <row r="163" spans="1:12" ht="15.6" x14ac:dyDescent="0.3">
      <c r="D163" s="54">
        <f t="shared" si="28"/>
        <v>1300</v>
      </c>
      <c r="E163" s="98">
        <f t="shared" si="26"/>
        <v>1331.9428950099662</v>
      </c>
      <c r="F163" s="92">
        <v>1</v>
      </c>
      <c r="G163" s="53">
        <f t="shared" si="27"/>
        <v>100147509.15084988</v>
      </c>
      <c r="H163" s="53">
        <f>PRODUCT(O54:O62)</f>
        <v>3.6100624469317393</v>
      </c>
      <c r="I163" s="65">
        <f t="shared" si="29"/>
        <v>481548985235.66473</v>
      </c>
      <c r="J163" s="86"/>
    </row>
    <row r="164" spans="1:12" ht="15.6" x14ac:dyDescent="0.3">
      <c r="D164" s="54">
        <f t="shared" si="28"/>
        <v>1400</v>
      </c>
      <c r="E164" s="98">
        <f t="shared" si="26"/>
        <v>1488.547270065525</v>
      </c>
      <c r="F164" s="92">
        <v>1</v>
      </c>
      <c r="G164" s="53">
        <f t="shared" si="27"/>
        <v>120531860.56387654</v>
      </c>
      <c r="H164" s="53">
        <f>PRODUCT(P54:P62)</f>
        <v>4.3817890871021055</v>
      </c>
      <c r="I164" s="65">
        <f t="shared" si="29"/>
        <v>786169082658.58875</v>
      </c>
    </row>
    <row r="165" spans="1:12" ht="15.6" x14ac:dyDescent="0.3">
      <c r="D165" s="54">
        <f t="shared" si="28"/>
        <v>1500</v>
      </c>
      <c r="E165" s="98">
        <f t="shared" si="26"/>
        <v>1650.8494358442335</v>
      </c>
      <c r="F165" s="92">
        <v>1</v>
      </c>
      <c r="G165" s="53">
        <f t="shared" si="27"/>
        <v>143222060.97077844</v>
      </c>
      <c r="H165" s="53">
        <f>PRODUCT(Q54:Q62)</f>
        <v>5.3327729643224879</v>
      </c>
      <c r="I165" s="65">
        <f t="shared" si="29"/>
        <v>1260870486393.978</v>
      </c>
    </row>
    <row r="166" spans="1:12" ht="15.6" x14ac:dyDescent="0.3">
      <c r="D166" s="54">
        <f t="shared" si="28"/>
        <v>1600</v>
      </c>
      <c r="E166" s="98">
        <f t="shared" si="26"/>
        <v>1818.6559636254224</v>
      </c>
      <c r="F166" s="92">
        <v>1</v>
      </c>
      <c r="G166" s="53">
        <f t="shared" si="27"/>
        <v>168299074.58255228</v>
      </c>
      <c r="H166" s="53">
        <f>PRODUCT(R54:R62)</f>
        <v>6.5002641888755202</v>
      </c>
      <c r="I166" s="65">
        <f t="shared" si="29"/>
        <v>1989588614237.4878</v>
      </c>
    </row>
    <row r="167" spans="1:12" ht="15.6" x14ac:dyDescent="0.3">
      <c r="D167" s="54">
        <f t="shared" si="28"/>
        <v>1700</v>
      </c>
      <c r="E167" s="98">
        <f t="shared" si="26"/>
        <v>1991.7918873387575</v>
      </c>
      <c r="F167" s="92">
        <v>1</v>
      </c>
      <c r="G167" s="53">
        <f t="shared" si="27"/>
        <v>195841205.94345555</v>
      </c>
      <c r="H167" s="53">
        <f>PRODUCT(S54:S62)</f>
        <v>7.928515060295882</v>
      </c>
      <c r="I167" s="65">
        <f t="shared" si="29"/>
        <v>3092714919130.1543</v>
      </c>
    </row>
    <row r="168" spans="1:12" ht="15.6" x14ac:dyDescent="0.3">
      <c r="D168" s="54">
        <f t="shared" si="28"/>
        <v>1800</v>
      </c>
      <c r="E168" s="98">
        <f t="shared" si="26"/>
        <v>2170.097940135754</v>
      </c>
      <c r="F168" s="92">
        <v>1</v>
      </c>
      <c r="G168" s="53">
        <f t="shared" si="27"/>
        <v>225924346.15509823</v>
      </c>
      <c r="H168" s="53">
        <f>PRODUCT(T54:T62)</f>
        <v>9.6698545544902554</v>
      </c>
      <c r="I168" s="65">
        <f t="shared" si="29"/>
        <v>4740916547237.5684</v>
      </c>
    </row>
    <row r="169" spans="1:12" ht="15.6" x14ac:dyDescent="0.3">
      <c r="D169" s="54">
        <f t="shared" si="28"/>
        <v>1900</v>
      </c>
      <c r="E169" s="98">
        <f t="shared" si="26"/>
        <v>2353.4283376828935</v>
      </c>
      <c r="F169" s="92">
        <v>1</v>
      </c>
      <c r="G169" s="53">
        <f t="shared" si="27"/>
        <v>258622183.28245211</v>
      </c>
      <c r="H169" s="53">
        <f>PRODUCT(U54:U62)</f>
        <v>11.78590285634904</v>
      </c>
      <c r="I169" s="65">
        <f>PRODUCT(E169:H169)</f>
        <v>7173475334493.4248</v>
      </c>
    </row>
    <row r="170" spans="1:12" ht="15.6" x14ac:dyDescent="0.3">
      <c r="D170" s="54">
        <f t="shared" si="28"/>
        <v>2000</v>
      </c>
      <c r="E170" s="98">
        <f t="shared" si="26"/>
        <v>2541.6489764698936</v>
      </c>
      <c r="F170" s="92">
        <v>1</v>
      </c>
      <c r="G170" s="53">
        <f t="shared" si="27"/>
        <v>294006383.84132093</v>
      </c>
      <c r="H170" s="53">
        <f>PRODUCT(V54:V62)</f>
        <v>14.348937518986634</v>
      </c>
      <c r="I170" s="65">
        <f t="shared" si="29"/>
        <v>10722401751870.15</v>
      </c>
    </row>
    <row r="171" spans="1:12" ht="16.2" thickBot="1" x14ac:dyDescent="0.35">
      <c r="D171" s="25">
        <f t="shared" si="28"/>
        <v>2100</v>
      </c>
      <c r="E171" s="102">
        <f t="shared" si="26"/>
        <v>2734.6359522550533</v>
      </c>
      <c r="F171" s="103">
        <v>1</v>
      </c>
      <c r="G171" s="57">
        <f t="shared" si="27"/>
        <v>332146750.64600927</v>
      </c>
      <c r="H171" s="57">
        <f>PRODUCT(W54:W62)</f>
        <v>17.443424024912932</v>
      </c>
      <c r="I171" s="67">
        <f t="shared" si="29"/>
        <v>15843869817082.416</v>
      </c>
    </row>
    <row r="174" spans="1:12" ht="15" thickBot="1" x14ac:dyDescent="0.35">
      <c r="A174" s="5" t="s">
        <v>85</v>
      </c>
      <c r="B174" s="208" t="s">
        <v>86</v>
      </c>
      <c r="C174" s="208"/>
      <c r="D174" s="208"/>
      <c r="E174" s="208"/>
      <c r="F174" s="208"/>
      <c r="G174" s="104"/>
      <c r="H174" s="208" t="s">
        <v>87</v>
      </c>
      <c r="I174" s="208"/>
      <c r="J174" s="208"/>
      <c r="K174" s="208"/>
    </row>
    <row r="175" spans="1:12" ht="18" x14ac:dyDescent="0.3">
      <c r="A175" s="5" t="s">
        <v>88</v>
      </c>
      <c r="B175" s="95" t="s">
        <v>47</v>
      </c>
      <c r="C175" s="16" t="s">
        <v>89</v>
      </c>
      <c r="D175" s="16" t="s">
        <v>37</v>
      </c>
      <c r="E175" s="16" t="s">
        <v>38</v>
      </c>
      <c r="F175" s="16" t="s">
        <v>90</v>
      </c>
      <c r="G175" s="104" t="s">
        <v>91</v>
      </c>
      <c r="H175" s="95" t="s">
        <v>47</v>
      </c>
      <c r="I175" s="16" t="s">
        <v>89</v>
      </c>
      <c r="J175" s="16" t="s">
        <v>37</v>
      </c>
      <c r="K175" s="16" t="s">
        <v>38</v>
      </c>
      <c r="L175" s="16" t="s">
        <v>90</v>
      </c>
    </row>
    <row r="176" spans="1:12" ht="15" thickBot="1" x14ac:dyDescent="0.35">
      <c r="B176" s="35">
        <f>298.15</f>
        <v>298.14999999999998</v>
      </c>
      <c r="C176" s="55">
        <f>3/2*$D$2*B176</f>
        <v>3718.4397401999995</v>
      </c>
      <c r="D176" s="55">
        <f t="shared" ref="D176:D194" si="30">3/2*$D$2*B176</f>
        <v>3718.4397401999995</v>
      </c>
      <c r="E176" s="55" cm="1">
        <f t="array" ref="E176">$D$2*SUM( ($B$12:$B$20)/(EXP($B$12:$B$20/B176)-1) + 0.5*$B$12:$B$20)</f>
        <v>117714.96913995044</v>
      </c>
      <c r="F176" s="58">
        <v>0</v>
      </c>
      <c r="H176" s="39">
        <f>298.15</f>
        <v>298.14999999999998</v>
      </c>
      <c r="I176" s="105">
        <f>3/2*$D$2*H176 /4184</f>
        <v>0.8887284273900572</v>
      </c>
      <c r="J176" s="105">
        <f>3/2*$D$2*H176 / 4184</f>
        <v>0.8887284273900572</v>
      </c>
      <c r="K176" s="105" cm="1">
        <f t="array" ref="K176">$D$2*SUM( ($B$12:$B$20)/(EXP($B$12:$B$20/B176)-1) + 0.5*$B$12:$B$20) / 4184</f>
        <v>28.134552853716645</v>
      </c>
      <c r="L176" s="106">
        <f xml:space="preserve"> F176/4184</f>
        <v>0</v>
      </c>
    </row>
    <row r="177" spans="2:14" x14ac:dyDescent="0.3">
      <c r="B177" s="35">
        <f>300+100</f>
        <v>400</v>
      </c>
      <c r="C177" s="55">
        <f t="shared" ref="C177:C194" si="31">3/2*$D$2*B177</f>
        <v>4988.6831999999995</v>
      </c>
      <c r="D177" s="55">
        <f t="shared" si="30"/>
        <v>4988.6831999999995</v>
      </c>
      <c r="E177" s="55" cm="1">
        <f t="array" ref="E177">$D$2*SUM( ($B$12:$B$20)/(EXP($B$12:$B$20/B177)-1) + 0.5*$B$12:$B$20)</f>
        <v>118143.28189955943</v>
      </c>
      <c r="H177" s="35">
        <f>300+100</f>
        <v>400</v>
      </c>
      <c r="I177" s="55">
        <f t="shared" ref="I177:I194" si="32">3/2*$D$2*H177 /4184</f>
        <v>1.1923239005736137</v>
      </c>
      <c r="J177" s="55">
        <f t="shared" ref="J177:J194" si="33">3/2*$D$2*H177 / 4184</f>
        <v>1.1923239005736137</v>
      </c>
      <c r="K177" s="55" cm="1">
        <f t="array" ref="K177">$D$2*SUM( ($B$12:$B$20)/(EXP($B$12:$B$20/H177)-1) + 0.5*$B$12:$B$20) / 4184</f>
        <v>28.236922060124147</v>
      </c>
      <c r="M177" s="212" t="s">
        <v>92</v>
      </c>
      <c r="N177" s="212"/>
    </row>
    <row r="178" spans="2:14" ht="18.600000000000001" thickBot="1" x14ac:dyDescent="0.35">
      <c r="B178" s="35">
        <f t="shared" ref="B178:B194" si="34">B177+100</f>
        <v>500</v>
      </c>
      <c r="C178" s="55">
        <f t="shared" si="31"/>
        <v>6235.8539999999994</v>
      </c>
      <c r="D178" s="55">
        <f t="shared" si="30"/>
        <v>6235.8539999999994</v>
      </c>
      <c r="E178" s="55" cm="1">
        <f t="array" ref="E178">$D$2*SUM( ($B$12:$B$20)/(EXP($B$12:$B$20/B178)-1) + 0.5*$B$12:$B$20)</f>
        <v>119085.32546860915</v>
      </c>
      <c r="H178" s="35">
        <f t="shared" ref="H178:H194" si="35">H177+100</f>
        <v>500</v>
      </c>
      <c r="I178" s="55">
        <f t="shared" si="32"/>
        <v>1.490404875717017</v>
      </c>
      <c r="J178" s="55">
        <f t="shared" si="33"/>
        <v>1.490404875717017</v>
      </c>
      <c r="K178" s="55" cm="1">
        <f t="array" ref="K178">$D$2*SUM( ($B$12:$B$20)/(EXP($B$12:$B$20/H178)-1) + 0.5*$B$12:$B$20) / 4184</f>
        <v>28.462075876818631</v>
      </c>
      <c r="M178" s="213" t="s">
        <v>93</v>
      </c>
      <c r="N178" s="213"/>
    </row>
    <row r="179" spans="2:14" x14ac:dyDescent="0.3">
      <c r="B179" s="35">
        <f t="shared" si="34"/>
        <v>600</v>
      </c>
      <c r="C179" s="55">
        <f t="shared" si="31"/>
        <v>7483.0248000000001</v>
      </c>
      <c r="D179" s="55">
        <f t="shared" si="30"/>
        <v>7483.0248000000001</v>
      </c>
      <c r="E179" s="55" cm="1">
        <f t="array" ref="E179">$D$2*SUM( ($B$12:$B$20)/(EXP($B$12:$B$20/B179)-1) + 0.5*$B$12:$B$20)</f>
        <v>120598.93735518583</v>
      </c>
      <c r="H179" s="35">
        <f t="shared" si="35"/>
        <v>600</v>
      </c>
      <c r="I179" s="55">
        <f t="shared" si="32"/>
        <v>1.7884858508604207</v>
      </c>
      <c r="J179" s="55">
        <f t="shared" si="33"/>
        <v>1.7884858508604207</v>
      </c>
      <c r="K179" s="55" cm="1">
        <f t="array" ref="K179">$D$2*SUM( ($B$12:$B$20)/(EXP($B$12:$B$20/H179)-1) + 0.5*$B$12:$B$20) / 4184</f>
        <v>28.823837799996614</v>
      </c>
      <c r="M179" s="38"/>
      <c r="N179" s="4" t="s">
        <v>28</v>
      </c>
    </row>
    <row r="180" spans="2:14" x14ac:dyDescent="0.3">
      <c r="B180" s="35">
        <f t="shared" si="34"/>
        <v>700</v>
      </c>
      <c r="C180" s="55">
        <f t="shared" si="31"/>
        <v>8730.1955999999991</v>
      </c>
      <c r="D180" s="55">
        <f t="shared" si="30"/>
        <v>8730.1955999999991</v>
      </c>
      <c r="E180" s="55" cm="1">
        <f t="array" ref="E180">$D$2*SUM( ($B$12:$B$20)/(EXP($B$12:$B$20/B180)-1) + 0.5*$B$12:$B$20)</f>
        <v>122670.6025324285</v>
      </c>
      <c r="H180" s="35">
        <f t="shared" si="35"/>
        <v>700</v>
      </c>
      <c r="I180" s="55">
        <f t="shared" si="32"/>
        <v>2.0865668260038239</v>
      </c>
      <c r="J180" s="55">
        <f t="shared" si="33"/>
        <v>2.0865668260038239</v>
      </c>
      <c r="K180" s="55" cm="1">
        <f t="array" ref="K180">$D$2*SUM( ($B$12:$B$20)/(EXP($B$12:$B$20/H180)-1) + 0.5*$B$12:$B$20) / 4184</f>
        <v>29.318977660714268</v>
      </c>
      <c r="M180" s="39"/>
      <c r="N180" s="41" t="s">
        <v>31</v>
      </c>
    </row>
    <row r="181" spans="2:14" x14ac:dyDescent="0.3">
      <c r="B181" s="35">
        <f t="shared" si="34"/>
        <v>800</v>
      </c>
      <c r="C181" s="55">
        <f t="shared" si="31"/>
        <v>9977.366399999999</v>
      </c>
      <c r="D181" s="55">
        <f t="shared" si="30"/>
        <v>9977.366399999999</v>
      </c>
      <c r="E181" s="55" cm="1">
        <f t="array" ref="E181">$D$2*SUM( ($B$12:$B$20)/(EXP($B$12:$B$20/B181)-1) + 0.5*$B$12:$B$20)</f>
        <v>125265.01221729745</v>
      </c>
      <c r="H181" s="35">
        <f t="shared" si="35"/>
        <v>800</v>
      </c>
      <c r="I181" s="55">
        <f t="shared" si="32"/>
        <v>2.3846478011472274</v>
      </c>
      <c r="J181" s="55">
        <f t="shared" si="33"/>
        <v>2.3846478011472274</v>
      </c>
      <c r="K181" s="55" cm="1">
        <f t="array" ref="K181">$D$2*SUM( ($B$12:$B$20)/(EXP($B$12:$B$20/H181)-1) + 0.5*$B$12:$B$20) / 4184</f>
        <v>29.939056457289066</v>
      </c>
      <c r="M181" s="39" t="s">
        <v>33</v>
      </c>
      <c r="N181" s="43">
        <v>29.911999999999999</v>
      </c>
    </row>
    <row r="182" spans="2:14" x14ac:dyDescent="0.3">
      <c r="B182" s="35">
        <f t="shared" si="34"/>
        <v>900</v>
      </c>
      <c r="C182" s="55">
        <f t="shared" si="31"/>
        <v>11224.537199999999</v>
      </c>
      <c r="D182" s="55">
        <f t="shared" si="30"/>
        <v>11224.537199999999</v>
      </c>
      <c r="E182" s="55" cm="1">
        <f t="array" ref="E182">$D$2*SUM( ($B$12:$B$20)/(EXP($B$12:$B$20/B182)-1) + 0.5*$B$12:$B$20)</f>
        <v>128340.56528211261</v>
      </c>
      <c r="H182" s="35">
        <f t="shared" si="35"/>
        <v>900</v>
      </c>
      <c r="I182" s="55">
        <f t="shared" si="32"/>
        <v>2.6827287762906309</v>
      </c>
      <c r="J182" s="55">
        <f t="shared" si="33"/>
        <v>2.6827287762906309</v>
      </c>
      <c r="K182" s="55" cm="1">
        <f t="array" ref="K182">$D$2*SUM( ($B$12:$B$20)/(EXP($B$12:$B$20/H182)-1) + 0.5*$B$12:$B$20) / 4184</f>
        <v>30.674131281575672</v>
      </c>
      <c r="M182" s="39" t="s">
        <v>34</v>
      </c>
      <c r="N182" s="43" t="s">
        <v>35</v>
      </c>
    </row>
    <row r="183" spans="2:14" x14ac:dyDescent="0.3">
      <c r="B183" s="35">
        <f t="shared" si="34"/>
        <v>1000</v>
      </c>
      <c r="C183" s="55">
        <f t="shared" si="31"/>
        <v>12471.707999999999</v>
      </c>
      <c r="D183" s="55">
        <f t="shared" si="30"/>
        <v>12471.707999999999</v>
      </c>
      <c r="E183" s="55" cm="1">
        <f t="array" ref="E183">$D$2*SUM( ($B$12:$B$20)/(EXP($B$12:$B$20/B183)-1) + 0.5*$B$12:$B$20)</f>
        <v>131853.81315167921</v>
      </c>
      <c r="H183" s="35">
        <f t="shared" si="35"/>
        <v>1000</v>
      </c>
      <c r="I183" s="55">
        <f t="shared" si="32"/>
        <v>2.9808097514340339</v>
      </c>
      <c r="J183" s="55">
        <f t="shared" si="33"/>
        <v>2.9808097514340339</v>
      </c>
      <c r="K183" s="55" cm="1">
        <f t="array" ref="K183">$D$2*SUM( ($B$12:$B$20)/(EXP($B$12:$B$20/H183)-1) + 0.5*$B$12:$B$20) / 4184</f>
        <v>31.513817674875526</v>
      </c>
      <c r="M183" s="39" t="s">
        <v>36</v>
      </c>
      <c r="N183" s="43">
        <v>0.88900000000000001</v>
      </c>
    </row>
    <row r="184" spans="2:14" x14ac:dyDescent="0.3">
      <c r="B184" s="35">
        <f t="shared" si="34"/>
        <v>1100</v>
      </c>
      <c r="C184" s="55">
        <f t="shared" si="31"/>
        <v>13718.8788</v>
      </c>
      <c r="D184" s="55">
        <f t="shared" si="30"/>
        <v>13718.8788</v>
      </c>
      <c r="E184" s="55" cm="1">
        <f t="array" ref="E184">$D$2*SUM( ($B$12:$B$20)/(EXP($B$12:$B$20/B184)-1) + 0.5*$B$12:$B$20)</f>
        <v>135761.4417137382</v>
      </c>
      <c r="H184" s="35">
        <f t="shared" si="35"/>
        <v>1100</v>
      </c>
      <c r="I184" s="55">
        <f t="shared" si="32"/>
        <v>3.2788907265774379</v>
      </c>
      <c r="J184" s="55">
        <f t="shared" si="33"/>
        <v>3.2788907265774379</v>
      </c>
      <c r="K184" s="55" cm="1">
        <f t="array" ref="K184">$D$2*SUM( ($B$12:$B$20)/(EXP($B$12:$B$20/H184)-1) + 0.5*$B$12:$B$20) / 4184</f>
        <v>32.447763315903011</v>
      </c>
      <c r="M184" s="39" t="s">
        <v>37</v>
      </c>
      <c r="N184" s="43">
        <v>0.88900000000000001</v>
      </c>
    </row>
    <row r="185" spans="2:14" ht="15" thickBot="1" x14ac:dyDescent="0.35">
      <c r="B185" s="35">
        <f t="shared" si="34"/>
        <v>1200</v>
      </c>
      <c r="C185" s="55">
        <f t="shared" si="31"/>
        <v>14966.0496</v>
      </c>
      <c r="D185" s="55">
        <f t="shared" si="30"/>
        <v>14966.0496</v>
      </c>
      <c r="E185" s="55" cm="1">
        <f t="array" ref="E185">$D$2*SUM( ($B$12:$B$20)/(EXP($B$12:$B$20/B185)-1) + 0.5*$B$12:$B$20)</f>
        <v>140021.73700681882</v>
      </c>
      <c r="H185" s="35">
        <f t="shared" si="35"/>
        <v>1200</v>
      </c>
      <c r="I185" s="55">
        <f t="shared" si="32"/>
        <v>3.5769717017208413</v>
      </c>
      <c r="J185" s="55">
        <f t="shared" si="33"/>
        <v>3.5769717017208413</v>
      </c>
      <c r="K185" s="55" cm="1">
        <f t="array" ref="K185">$D$2*SUM( ($B$12:$B$20)/(EXP($B$12:$B$20/H185)-1) + 0.5*$B$12:$B$20) / 4184</f>
        <v>33.465998328589585</v>
      </c>
      <c r="M185" s="44" t="s">
        <v>38</v>
      </c>
      <c r="N185" s="46">
        <v>28.135000000000002</v>
      </c>
    </row>
    <row r="186" spans="2:14" x14ac:dyDescent="0.3">
      <c r="B186" s="35">
        <f t="shared" si="34"/>
        <v>1300</v>
      </c>
      <c r="C186" s="55">
        <f t="shared" si="31"/>
        <v>16213.2204</v>
      </c>
      <c r="D186" s="55">
        <f t="shared" si="30"/>
        <v>16213.2204</v>
      </c>
      <c r="E186" s="55" cm="1">
        <f t="array" ref="E186">$D$2*SUM( ($B$12:$B$20)/(EXP($B$12:$B$20/B186)-1) + 0.5*$B$12:$B$20)</f>
        <v>144595.66972630969</v>
      </c>
      <c r="H186" s="35">
        <f t="shared" si="35"/>
        <v>1300</v>
      </c>
      <c r="I186" s="55">
        <f t="shared" si="32"/>
        <v>3.8750526768642448</v>
      </c>
      <c r="J186" s="55">
        <f t="shared" si="33"/>
        <v>3.8750526768642448</v>
      </c>
      <c r="K186" s="55" cm="1">
        <f t="array" ref="K186">$D$2*SUM( ($B$12:$B$20)/(EXP($B$12:$B$20/H186)-1) + 0.5*$B$12:$B$20) / 4184</f>
        <v>34.559194485255659</v>
      </c>
      <c r="N186" s="47"/>
    </row>
    <row r="187" spans="2:14" x14ac:dyDescent="0.3">
      <c r="B187" s="35">
        <f t="shared" si="34"/>
        <v>1400</v>
      </c>
      <c r="C187" s="55">
        <f t="shared" si="31"/>
        <v>17460.391199999998</v>
      </c>
      <c r="D187" s="55">
        <f t="shared" si="30"/>
        <v>17460.391199999998</v>
      </c>
      <c r="E187" s="55" cm="1">
        <f t="array" ref="E187">$D$2*SUM( ($B$12:$B$20)/(EXP($B$12:$B$20/B187)-1) + 0.5*$B$12:$B$20)</f>
        <v>149447.54951988708</v>
      </c>
      <c r="H187" s="35">
        <f t="shared" si="35"/>
        <v>1400</v>
      </c>
      <c r="I187" s="55">
        <f t="shared" si="32"/>
        <v>4.1731336520076479</v>
      </c>
      <c r="J187" s="55">
        <f t="shared" si="33"/>
        <v>4.1731336520076479</v>
      </c>
      <c r="K187" s="55" cm="1">
        <f t="array" ref="K187">$D$2*SUM( ($B$12:$B$20)/(EXP($B$12:$B$20/H187)-1) + 0.5*$B$12:$B$20) / 4184</f>
        <v>35.718821586971096</v>
      </c>
    </row>
    <row r="188" spans="2:14" ht="15" thickBot="1" x14ac:dyDescent="0.35">
      <c r="B188" s="35">
        <f t="shared" si="34"/>
        <v>1500</v>
      </c>
      <c r="C188" s="55">
        <f t="shared" si="31"/>
        <v>18707.561999999998</v>
      </c>
      <c r="D188" s="55">
        <f t="shared" si="30"/>
        <v>18707.561999999998</v>
      </c>
      <c r="E188" s="55" cm="1">
        <f t="array" ref="E188">$D$2*SUM( ($B$12:$B$20)/(EXP($B$12:$B$20/B188)-1) + 0.5*$B$12:$B$20)</f>
        <v>154545.29403174605</v>
      </c>
      <c r="H188" s="35">
        <f t="shared" si="35"/>
        <v>1500</v>
      </c>
      <c r="I188" s="55">
        <f t="shared" si="32"/>
        <v>4.4712146271510509</v>
      </c>
      <c r="J188" s="55">
        <f t="shared" si="33"/>
        <v>4.4712146271510509</v>
      </c>
      <c r="K188" s="55" cm="1">
        <f t="array" ref="K188">$D$2*SUM( ($B$12:$B$20)/(EXP($B$12:$B$20/H188)-1) + 0.5*$B$12:$B$20) / 4184</f>
        <v>36.937211766669705</v>
      </c>
    </row>
    <row r="189" spans="2:14" ht="15" thickBot="1" x14ac:dyDescent="0.35">
      <c r="B189" s="35">
        <f t="shared" si="34"/>
        <v>1600</v>
      </c>
      <c r="C189" s="55">
        <f t="shared" si="31"/>
        <v>19954.732799999998</v>
      </c>
      <c r="D189" s="55">
        <f t="shared" si="30"/>
        <v>19954.732799999998</v>
      </c>
      <c r="E189" s="55" cm="1">
        <f t="array" ref="E189">$D$2*SUM( ($B$12:$B$20)/(EXP($B$12:$B$20/B189)-1) + 0.5*$B$12:$B$20)</f>
        <v>159860.4144584701</v>
      </c>
      <c r="H189" s="35">
        <f t="shared" si="35"/>
        <v>1600</v>
      </c>
      <c r="I189" s="55">
        <f t="shared" si="32"/>
        <v>4.7692956022944548</v>
      </c>
      <c r="J189" s="55">
        <f t="shared" si="33"/>
        <v>4.7692956022944548</v>
      </c>
      <c r="K189" s="55" cm="1">
        <f t="array" ref="K189">$D$2*SUM( ($B$12:$B$20)/(EXP($B$12:$B$20/H189)-1) + 0.5*$B$12:$B$20) / 4184</f>
        <v>38.207556036919243</v>
      </c>
      <c r="M189" s="30" t="s">
        <v>94</v>
      </c>
      <c r="N189" s="107">
        <f>SUM(I176:L176)</f>
        <v>29.912009708496761</v>
      </c>
    </row>
    <row r="190" spans="2:14" x14ac:dyDescent="0.3">
      <c r="B190" s="35">
        <f t="shared" si="34"/>
        <v>1700</v>
      </c>
      <c r="C190" s="55">
        <f t="shared" si="31"/>
        <v>21201.903599999998</v>
      </c>
      <c r="D190" s="55">
        <f t="shared" si="30"/>
        <v>21201.903599999998</v>
      </c>
      <c r="E190" s="55" cm="1">
        <f t="array" ref="E190">$D$2*SUM( ($B$12:$B$20)/(EXP($B$12:$B$20/B190)-1) + 0.5*$B$12:$B$20)</f>
        <v>165367.822324129</v>
      </c>
      <c r="H190" s="35">
        <f t="shared" si="35"/>
        <v>1700</v>
      </c>
      <c r="I190" s="55">
        <f t="shared" si="32"/>
        <v>5.0673765774378579</v>
      </c>
      <c r="J190" s="55">
        <f t="shared" si="33"/>
        <v>5.0673765774378579</v>
      </c>
      <c r="K190" s="55" cm="1">
        <f t="array" ref="K190">$D$2*SUM( ($B$12:$B$20)/(EXP($B$12:$B$20/H190)-1) + 0.5*$B$12:$B$20) / 4184</f>
        <v>39.523858108061425</v>
      </c>
    </row>
    <row r="191" spans="2:14" x14ac:dyDescent="0.3">
      <c r="B191" s="35">
        <f t="shared" si="34"/>
        <v>1800</v>
      </c>
      <c r="C191" s="55">
        <f t="shared" si="31"/>
        <v>22449.074399999998</v>
      </c>
      <c r="D191" s="55">
        <f t="shared" si="30"/>
        <v>22449.074399999998</v>
      </c>
      <c r="E191" s="55" cm="1">
        <f t="array" ref="E191">$D$2*SUM( ($B$12:$B$20)/(EXP($B$12:$B$20/B191)-1) + 0.5*$B$12:$B$20)</f>
        <v>171045.54065451201</v>
      </c>
      <c r="H191" s="35">
        <f t="shared" si="35"/>
        <v>1800</v>
      </c>
      <c r="I191" s="55">
        <f t="shared" si="32"/>
        <v>5.3654575525812618</v>
      </c>
      <c r="J191" s="55">
        <f t="shared" si="33"/>
        <v>5.3654575525812618</v>
      </c>
      <c r="K191" s="55" cm="1">
        <f t="array" ref="K191">$D$2*SUM( ($B$12:$B$20)/(EXP($B$12:$B$20/H191)-1) + 0.5*$B$12:$B$20) / 4184</f>
        <v>40.880865357196939</v>
      </c>
    </row>
    <row r="192" spans="2:14" x14ac:dyDescent="0.3">
      <c r="B192" s="35">
        <f t="shared" si="34"/>
        <v>1900</v>
      </c>
      <c r="C192" s="55">
        <f t="shared" si="31"/>
        <v>23696.245199999998</v>
      </c>
      <c r="D192" s="55">
        <f t="shared" si="30"/>
        <v>23696.245199999998</v>
      </c>
      <c r="E192" s="55" cm="1">
        <f t="array" ref="E192">$D$2*SUM( ($B$12:$B$20)/(EXP($B$12:$B$20/B192)-1) + 0.5*$B$12:$B$20)</f>
        <v>176874.37697589083</v>
      </c>
      <c r="H192" s="35">
        <f t="shared" si="35"/>
        <v>1900</v>
      </c>
      <c r="I192" s="55">
        <f t="shared" si="32"/>
        <v>5.6635385277246648</v>
      </c>
      <c r="J192" s="55">
        <f t="shared" si="33"/>
        <v>5.6635385277246648</v>
      </c>
      <c r="K192" s="55" cm="1">
        <f t="array" ref="K192">$D$2*SUM( ($B$12:$B$20)/(EXP($B$12:$B$20/H192)-1) + 0.5*$B$12:$B$20) / 4184</f>
        <v>42.273990673014062</v>
      </c>
    </row>
    <row r="193" spans="1:15" x14ac:dyDescent="0.3">
      <c r="B193" s="35">
        <f t="shared" si="34"/>
        <v>2000</v>
      </c>
      <c r="C193" s="55">
        <f t="shared" si="31"/>
        <v>24943.415999999997</v>
      </c>
      <c r="D193" s="55">
        <f t="shared" si="30"/>
        <v>24943.415999999997</v>
      </c>
      <c r="E193" s="55" cm="1">
        <f t="array" ref="E193">$D$2*SUM( ($B$12:$B$20)/(EXP($B$12:$B$20/B193)-1) + 0.5*$B$12:$B$20)</f>
        <v>182837.59396477503</v>
      </c>
      <c r="H193" s="35">
        <f t="shared" si="35"/>
        <v>2000</v>
      </c>
      <c r="I193" s="55">
        <f t="shared" si="32"/>
        <v>5.9616195028680679</v>
      </c>
      <c r="J193" s="55">
        <f t="shared" si="33"/>
        <v>5.9616195028680679</v>
      </c>
      <c r="K193" s="55" cm="1">
        <f t="array" ref="K193">$D$2*SUM( ($B$12:$B$20)/(EXP($B$12:$B$20/H193)-1) + 0.5*$B$12:$B$20) / 4184</f>
        <v>43.699233739190973</v>
      </c>
    </row>
    <row r="194" spans="1:15" ht="15" thickBot="1" x14ac:dyDescent="0.35">
      <c r="B194" s="26">
        <f t="shared" si="34"/>
        <v>2100</v>
      </c>
      <c r="C194" s="58">
        <f t="shared" si="31"/>
        <v>26190.586799999997</v>
      </c>
      <c r="D194" s="58">
        <f t="shared" si="30"/>
        <v>26190.586799999997</v>
      </c>
      <c r="E194" s="58" cm="1">
        <f t="array" ref="E194">$D$2*SUM( ($B$12:$B$20)/(EXP($B$12:$B$20/B194)-1) + 0.5*$B$12:$B$20)</f>
        <v>188920.59799599141</v>
      </c>
      <c r="F194" s="53"/>
      <c r="H194" s="26">
        <f t="shared" si="35"/>
        <v>2100</v>
      </c>
      <c r="I194" s="58">
        <f t="shared" si="32"/>
        <v>6.2597004780114718</v>
      </c>
      <c r="J194" s="58">
        <f t="shared" si="33"/>
        <v>6.2597004780114718</v>
      </c>
      <c r="K194" s="58" cm="1">
        <f t="array" ref="K194">$D$2*SUM( ($B$12:$B$20)/(EXP($B$12:$B$20/H194)-1) + 0.5*$B$12:$B$20) / 4184</f>
        <v>45.153106595600242</v>
      </c>
      <c r="L194" s="53"/>
    </row>
    <row r="196" spans="1:15" ht="15" thickBot="1" x14ac:dyDescent="0.35"/>
    <row r="197" spans="1:15" ht="15" thickBot="1" x14ac:dyDescent="0.35">
      <c r="F197" s="17"/>
      <c r="G197" s="18"/>
      <c r="H197" s="18"/>
      <c r="I197" s="19"/>
      <c r="K197" s="52" t="s">
        <v>95</v>
      </c>
    </row>
    <row r="198" spans="1:15" ht="16.8" thickBot="1" x14ac:dyDescent="0.35">
      <c r="B198" s="108" t="s">
        <v>96</v>
      </c>
      <c r="C198" s="109">
        <f xml:space="preserve"> ($C$2*$C$2) /(8*$B$2*$B$2*$A$2*$H$198)</f>
        <v>1.222890457844473</v>
      </c>
      <c r="F198" s="35"/>
      <c r="H198" s="5">
        <f>SQRT(E6*E6+F6*F6+G6*G6)</f>
        <v>3.2935734495583509E-46</v>
      </c>
      <c r="I198" s="36" t="s">
        <v>97</v>
      </c>
      <c r="K198" s="25">
        <v>1</v>
      </c>
    </row>
    <row r="199" spans="1:15" ht="15" thickBot="1" x14ac:dyDescent="0.35">
      <c r="F199" s="26"/>
      <c r="G199" s="27"/>
      <c r="H199" s="27"/>
      <c r="I199" s="28"/>
    </row>
    <row r="200" spans="1:15" ht="15" thickBot="1" x14ac:dyDescent="0.35">
      <c r="A200" s="5" t="s">
        <v>98</v>
      </c>
      <c r="B200" s="208" t="s">
        <v>99</v>
      </c>
      <c r="C200" s="208"/>
      <c r="D200" s="208"/>
      <c r="E200" s="208"/>
      <c r="F200" s="208"/>
      <c r="H200" s="208" t="s">
        <v>100</v>
      </c>
      <c r="I200" s="208"/>
      <c r="J200" s="208"/>
      <c r="K200" s="208"/>
      <c r="L200" s="208"/>
    </row>
    <row r="201" spans="1:15" ht="18" x14ac:dyDescent="0.3">
      <c r="A201" s="5" t="s">
        <v>99</v>
      </c>
      <c r="B201" s="94" t="s">
        <v>47</v>
      </c>
      <c r="C201" s="16" t="s">
        <v>101</v>
      </c>
      <c r="D201" s="16" t="s">
        <v>89</v>
      </c>
      <c r="E201" s="16" t="s">
        <v>37</v>
      </c>
      <c r="F201" s="16" t="s">
        <v>38</v>
      </c>
      <c r="G201" s="16" t="s">
        <v>90</v>
      </c>
      <c r="H201" s="94" t="s">
        <v>47</v>
      </c>
      <c r="I201" s="16" t="s">
        <v>89</v>
      </c>
      <c r="J201" s="16" t="s">
        <v>37</v>
      </c>
      <c r="K201" s="16" t="s">
        <v>38</v>
      </c>
      <c r="L201" s="16" t="s">
        <v>90</v>
      </c>
      <c r="O201" s="82"/>
    </row>
    <row r="202" spans="1:15" ht="15" thickBot="1" x14ac:dyDescent="0.35">
      <c r="B202" s="54">
        <v>298.14999999999998</v>
      </c>
      <c r="C202" s="55">
        <f>($A$2*B202)/$J$2</f>
        <v>4.062431680236861E-26</v>
      </c>
      <c r="D202" s="110">
        <f xml:space="preserve"> $D$2 *( 5/2  +   LN(  ((2*$B$2*$E$2*$A$2*B202)/($C$2*$C$2) )^1.5  * ($D$2*B202 )/($F$2*$J$2)  ) )</f>
        <v>143.34884975463808</v>
      </c>
      <c r="E202" s="55">
        <f t="shared" ref="E202:E220" si="36">$D$2 *LN( (EXP(1)*B202) / ($B$6 * $C$198))</f>
        <v>44.879583769745544</v>
      </c>
      <c r="F202" s="55" cm="1">
        <f t="array" ref="F202">$D$2*SUM( (($B$12:$B$20)/B202)/(EXP($B$12:$B$20/B176)-1) - LN( 1 - EXP( (-1 * $B$12:$B$20)/B202 ) ) )</f>
        <v>0.35701628967636756</v>
      </c>
      <c r="G202" s="58">
        <f>$D$2*LN(K198)</f>
        <v>0</v>
      </c>
      <c r="H202" s="111">
        <v>298.14999999999998</v>
      </c>
      <c r="I202" s="105">
        <f xml:space="preserve"> $D$2 *( 5/2  +   LN(  ((2*$B$2*$E$2*$A$2*B202)/($C$2*$C$2) )^1.5  * ($D$2*B202 )/($F$2*$J$2)  ) ) / 4.184</f>
        <v>34.261197360095146</v>
      </c>
      <c r="J202" s="105">
        <f>$D$2 *LN( (EXP(1)*H202) / ($B$6 * $C$198)) / 4.184</f>
        <v>10.726477956440139</v>
      </c>
      <c r="K202" s="105" cm="1">
        <f t="array" ref="K202">$D$2*SUM( (($B$12:$B$20)/B202)/(EXP($B$12:$B$20/B176)-1) - LN( 1 - EXP( (-1 * $B$12:$B$20)/B202 ) ) ) / 4.184</f>
        <v>8.5328941127238891E-2</v>
      </c>
      <c r="L202" s="112">
        <f>$D$2*LN(K198)</f>
        <v>0</v>
      </c>
      <c r="O202" s="82"/>
    </row>
    <row r="203" spans="1:15" x14ac:dyDescent="0.3">
      <c r="B203" s="54">
        <f>300+100</f>
        <v>400</v>
      </c>
      <c r="C203" s="55">
        <f t="shared" ref="C203:C220" si="37">($A$2*B203)/$J$2</f>
        <v>5.4501850481125095E-26</v>
      </c>
      <c r="D203" s="110">
        <f t="shared" ref="D203:D220" si="38" xml:space="preserve"> $D$2 *( 5/2  +   LN(  ((2*$B$2*$E$2*$A$2*B203)/($C$2*$C$2) )^1.5  * ($D$2*B203 )/($F$2*$J$2)  ) )</f>
        <v>149.45723939721475</v>
      </c>
      <c r="E203" s="55">
        <f t="shared" si="36"/>
        <v>47.322939626776169</v>
      </c>
      <c r="F203" s="55" cm="1">
        <f t="array" ref="F203">$D$2*SUM( (($B$12:$B$20)/B203)/(EXP($B$12:$B$20/B177)-1) - LN( 1 - EXP( (-1 * $B$12:$B$20)/B203 ) ) )</f>
        <v>1.560004028961764</v>
      </c>
      <c r="H203" s="54">
        <f>300+100</f>
        <v>400</v>
      </c>
      <c r="I203" s="110">
        <f xml:space="preserve"> $D$2 *( 5/2  +   LN(  ((2*$B$2*$E$2*$A$2*B203)/($C$2*$C$2) )^1.5  * ($D$2*B203 )/($F$2*$J$2)  ) )/ 4.184</f>
        <v>35.72113752323488</v>
      </c>
      <c r="J203" s="55">
        <f t="shared" ref="J203:J220" si="39">$D$2 *LN( (EXP(1)*H203) / ($B$6 * $C$198)) / 4.184</f>
        <v>11.310454021696025</v>
      </c>
      <c r="K203" s="55" cm="1">
        <f t="array" ref="K203">$D$2*SUM( (($B$12:$B$20)/H203)/(EXP($B$12:$B$20/B176)-1) - LN( 1 - EXP( (-1 * $B$12:$B$20)/H203 ) ) ) / 4.184</f>
        <v>0.11692689530096986</v>
      </c>
      <c r="O203" s="47"/>
    </row>
    <row r="204" spans="1:15" ht="18" x14ac:dyDescent="0.3">
      <c r="B204" s="54">
        <f t="shared" ref="B204:B220" si="40">B203+100</f>
        <v>500</v>
      </c>
      <c r="C204" s="55">
        <f t="shared" si="37"/>
        <v>6.8127313101406362E-26</v>
      </c>
      <c r="D204" s="110">
        <f t="shared" si="38"/>
        <v>154.09554142067111</v>
      </c>
      <c r="E204" s="55">
        <f t="shared" si="36"/>
        <v>49.17826043615873</v>
      </c>
      <c r="F204" s="55" cm="1">
        <f t="array" ref="F204">$D$2*SUM( (($B$12:$B$20)/B204)/(EXP($B$12:$B$20/B178)-1) - LN( 1 - EXP( (-1 * $B$12:$B$20)/B204 ) ) )</f>
        <v>3.6387659068906228</v>
      </c>
      <c r="H204" s="54">
        <f t="shared" ref="H204:H220" si="41">H203+100</f>
        <v>500</v>
      </c>
      <c r="I204" s="110">
        <f t="shared" ref="I204:I220" si="42" xml:space="preserve"> $D$2 *( 5/2  +   LN(  ((2*$B$2*$E$2*$A$2*B204)/($C$2*$C$2) )^1.5  * ($D$2*B204 )/($F$2*$J$2)  ) )/ 4.184</f>
        <v>36.829718312779903</v>
      </c>
      <c r="J204" s="55">
        <f t="shared" si="39"/>
        <v>11.753886337514036</v>
      </c>
      <c r="K204" s="55" cm="1">
        <f t="array" ref="K204">$D$2*SUM( (($B$12:$B$20)/H204)/(EXP($B$12:$B$20/B177)-1) - LN( 1 - EXP( (-1 * $B$12:$B$20)/H204 ) ) ) / 4.184</f>
        <v>0.4193782908200705</v>
      </c>
      <c r="M204" s="214"/>
      <c r="N204" s="214"/>
      <c r="O204" s="47"/>
    </row>
    <row r="205" spans="1:15" ht="18.600000000000001" thickBot="1" x14ac:dyDescent="0.35">
      <c r="B205" s="54">
        <f t="shared" si="40"/>
        <v>600</v>
      </c>
      <c r="C205" s="55">
        <f t="shared" si="37"/>
        <v>8.175277572168763E-26</v>
      </c>
      <c r="D205" s="110">
        <f t="shared" si="38"/>
        <v>157.88531011807049</v>
      </c>
      <c r="E205" s="55">
        <f t="shared" si="36"/>
        <v>50.694167915118477</v>
      </c>
      <c r="F205" s="55" cm="1">
        <f t="array" ref="F205">$D$2*SUM( (($B$12:$B$20)/B205)/(EXP($B$12:$B$20/B179)-1) - LN( 1 - EXP( (-1 * $B$12:$B$20)/B205 ) ) )</f>
        <v>6.3825836837645937</v>
      </c>
      <c r="H205" s="54">
        <f t="shared" si="41"/>
        <v>600</v>
      </c>
      <c r="I205" s="110">
        <f t="shared" si="42"/>
        <v>37.735494770093325</v>
      </c>
      <c r="J205" s="55">
        <f t="shared" si="39"/>
        <v>12.116196920439407</v>
      </c>
      <c r="K205" s="55" cm="1">
        <f t="array" ref="K205">$D$2*SUM( (($B$12:$B$20)/H205)/(EXP($B$12:$B$20/B178)-1) - LN( 1 - EXP( (-1 * $B$12:$B$20)/H205 ) ) ) / 4.184</f>
        <v>0.92253757316845475</v>
      </c>
      <c r="M205" s="214" t="s">
        <v>93</v>
      </c>
      <c r="N205" s="214"/>
      <c r="O205" s="47"/>
    </row>
    <row r="206" spans="1:15" x14ac:dyDescent="0.3">
      <c r="B206" s="54">
        <f t="shared" si="40"/>
        <v>700</v>
      </c>
      <c r="C206" s="55">
        <f t="shared" si="37"/>
        <v>9.5378238341968898E-26</v>
      </c>
      <c r="D206" s="110">
        <f t="shared" si="38"/>
        <v>161.08951389608222</v>
      </c>
      <c r="E206" s="55">
        <f t="shared" si="36"/>
        <v>51.97584942632318</v>
      </c>
      <c r="F206" s="55" cm="1">
        <f t="array" ref="F206">$D$2*SUM( (($B$12:$B$20)/B206)/(EXP($B$12:$B$20/B180)-1) - LN( 1 - EXP( (-1 * $B$12:$B$20)/B206 ) ) )</f>
        <v>9.5653320981532737</v>
      </c>
      <c r="H206" s="54">
        <f t="shared" si="41"/>
        <v>700</v>
      </c>
      <c r="I206" s="110">
        <f t="shared" si="42"/>
        <v>38.50131785279212</v>
      </c>
      <c r="J206" s="55">
        <f t="shared" si="39"/>
        <v>12.422526153518923</v>
      </c>
      <c r="K206" s="55" cm="1">
        <f t="array" ref="K206">$D$2*SUM( (($B$12:$B$20)/H206)/(EXP($B$12:$B$20/B179)-1) - LN( 1 - EXP( (-1 * $B$12:$B$20)/H206 ) ) ) / 4.184</f>
        <v>1.5788265813522973</v>
      </c>
      <c r="M206" s="38"/>
      <c r="N206" s="4" t="s">
        <v>30</v>
      </c>
      <c r="O206" s="47"/>
    </row>
    <row r="207" spans="1:15" x14ac:dyDescent="0.3">
      <c r="B207" s="54">
        <f t="shared" si="40"/>
        <v>800</v>
      </c>
      <c r="C207" s="55">
        <f t="shared" si="37"/>
        <v>1.0900370096225019E-25</v>
      </c>
      <c r="D207" s="110">
        <f t="shared" si="38"/>
        <v>163.8651214588262</v>
      </c>
      <c r="E207" s="55">
        <f t="shared" si="36"/>
        <v>53.086092451420782</v>
      </c>
      <c r="F207" s="55" cm="1">
        <f t="array" ref="F207">$D$2*SUM( (($B$12:$B$20)/B207)/(EXP($B$12:$B$20/B181)-1) - LN( 1 - EXP( (-1 * $B$12:$B$20)/B207 ) ) )</f>
        <v>13.022216074356608</v>
      </c>
      <c r="H207" s="54">
        <f t="shared" si="41"/>
        <v>800</v>
      </c>
      <c r="I207" s="110">
        <f t="shared" si="42"/>
        <v>39.164703981555014</v>
      </c>
      <c r="J207" s="55">
        <f t="shared" si="39"/>
        <v>12.687880605024088</v>
      </c>
      <c r="K207" s="55" cm="1">
        <f t="array" ref="K207">$D$2*SUM( (($B$12:$B$20)/H207)/(EXP($B$12:$B$20/B180)-1) - LN( 1 - EXP( (-1 * $B$12:$B$20)/H207 ) ) ) / 4.184</f>
        <v>2.3372858432768746</v>
      </c>
      <c r="M207" s="39"/>
      <c r="N207" s="41" t="s">
        <v>32</v>
      </c>
      <c r="O207" s="47"/>
    </row>
    <row r="208" spans="1:15" x14ac:dyDescent="0.3">
      <c r="B208" s="54">
        <f t="shared" si="40"/>
        <v>900</v>
      </c>
      <c r="C208" s="55">
        <f t="shared" si="37"/>
        <v>1.2262916358253145E-25</v>
      </c>
      <c r="D208" s="110">
        <f t="shared" si="38"/>
        <v>166.31338083892618</v>
      </c>
      <c r="E208" s="55">
        <f t="shared" si="36"/>
        <v>54.065396203460779</v>
      </c>
      <c r="F208" s="55" cm="1">
        <f t="array" ref="F208">$D$2*SUM( (($B$12:$B$20)/B208)/(EXP($B$12:$B$20/B182)-1) - LN( 1 - EXP( (-1 * $B$12:$B$20)/B208 ) ) )</f>
        <v>16.639382401278986</v>
      </c>
      <c r="H208" s="54">
        <f t="shared" si="41"/>
        <v>900</v>
      </c>
      <c r="I208" s="110">
        <f t="shared" si="42"/>
        <v>39.749852016951763</v>
      </c>
      <c r="J208" s="55">
        <f t="shared" si="39"/>
        <v>12.921939819182786</v>
      </c>
      <c r="K208" s="55" cm="1">
        <f t="array" ref="K208">$D$2*SUM( (($B$12:$B$20)/H208)/(EXP($B$12:$B$20/B181)-1) - LN( 1 - EXP( (-1 * $B$12:$B$20)/H208 ) ) ) / 4.184</f>
        <v>3.1601580349309324</v>
      </c>
      <c r="M208" s="39" t="s">
        <v>33</v>
      </c>
      <c r="N208" s="43">
        <v>47.234999999999999</v>
      </c>
      <c r="O208" s="47"/>
    </row>
    <row r="209" spans="1:14" x14ac:dyDescent="0.3">
      <c r="B209" s="54">
        <f t="shared" si="40"/>
        <v>1000</v>
      </c>
      <c r="C209" s="55">
        <f t="shared" si="37"/>
        <v>1.3625462620281272E-25</v>
      </c>
      <c r="D209" s="110">
        <f t="shared" si="38"/>
        <v>168.50342348228253</v>
      </c>
      <c r="E209" s="55">
        <f t="shared" si="36"/>
        <v>54.941413260803344</v>
      </c>
      <c r="F209" s="55" cm="1">
        <f t="array" ref="F209">$D$2*SUM( (($B$12:$B$20)/B209)/(EXP($B$12:$B$20/B183)-1) - LN( 1 - EXP( (-1 * $B$12:$B$20)/B209 ) ) )</f>
        <v>20.337110722164862</v>
      </c>
      <c r="H209" s="54">
        <f t="shared" si="41"/>
        <v>1000</v>
      </c>
      <c r="I209" s="110">
        <f t="shared" si="42"/>
        <v>40.27328477110003</v>
      </c>
      <c r="J209" s="55">
        <f t="shared" si="39"/>
        <v>13.131312920842099</v>
      </c>
      <c r="K209" s="55" cm="1">
        <f t="array" ref="K209">$D$2*SUM( (($B$12:$B$20)/H209)/(EXP($B$12:$B$20/B182)-1) - LN( 1 - EXP( (-1 * $B$12:$B$20)/H209 ) ) ) / 4.184</f>
        <v>4.0209997257644039</v>
      </c>
      <c r="M209" s="39" t="s">
        <v>34</v>
      </c>
      <c r="N209" s="43" t="s">
        <v>35</v>
      </c>
    </row>
    <row r="210" spans="1:14" x14ac:dyDescent="0.3">
      <c r="B210" s="54">
        <f t="shared" si="40"/>
        <v>1100</v>
      </c>
      <c r="C210" s="55">
        <f t="shared" si="37"/>
        <v>1.4988008882309398E-25</v>
      </c>
      <c r="D210" s="110">
        <f t="shared" si="38"/>
        <v>170.48455803552775</v>
      </c>
      <c r="E210" s="55">
        <f t="shared" si="36"/>
        <v>55.733867082101362</v>
      </c>
      <c r="F210" s="55" cm="1">
        <f t="array" ref="F210">$D$2*SUM( (($B$12:$B$20)/B210)/(EXP($B$12:$B$20/B184)-1) - LN( 1 - EXP( (-1 * $B$12:$B$20)/B210 ) ) )</f>
        <v>24.058653463633391</v>
      </c>
      <c r="H210" s="54">
        <f t="shared" si="41"/>
        <v>1100</v>
      </c>
      <c r="I210" s="110">
        <f t="shared" si="42"/>
        <v>40.74678729338617</v>
      </c>
      <c r="J210" s="55">
        <f t="shared" si="39"/>
        <v>13.32071392975654</v>
      </c>
      <c r="K210" s="55" cm="1">
        <f t="array" ref="K210">$D$2*SUM( (($B$12:$B$20)/H210)/(EXP($B$12:$B$20/B183)-1) - LN( 1 - EXP( (-1 * $B$12:$B$20)/H210 ) ) ) / 4.184</f>
        <v>4.9011146897135784</v>
      </c>
      <c r="M210" s="39" t="s">
        <v>36</v>
      </c>
      <c r="N210" s="43">
        <v>34.261000000000003</v>
      </c>
    </row>
    <row r="211" spans="1:14" x14ac:dyDescent="0.3">
      <c r="A211" s="53"/>
      <c r="B211" s="54">
        <f t="shared" si="40"/>
        <v>1200</v>
      </c>
      <c r="C211" s="55">
        <f t="shared" si="37"/>
        <v>1.6350555144337526E-25</v>
      </c>
      <c r="D211" s="110">
        <f t="shared" si="38"/>
        <v>172.29319217968202</v>
      </c>
      <c r="E211" s="55">
        <f t="shared" si="36"/>
        <v>56.457320739763091</v>
      </c>
      <c r="F211" s="55" cm="1">
        <f t="array" ref="F211">$D$2*SUM( (($B$12:$B$20)/B211)/(EXP($B$12:$B$20/B185)-1) - LN( 1 - EXP( (-1 * $B$12:$B$20)/B211 ) ) )</f>
        <v>27.763496290890867</v>
      </c>
      <c r="H211" s="54">
        <f t="shared" si="41"/>
        <v>1200</v>
      </c>
      <c r="I211" s="110">
        <f t="shared" si="42"/>
        <v>41.179061228413481</v>
      </c>
      <c r="J211" s="55">
        <f t="shared" si="39"/>
        <v>13.493623503767468</v>
      </c>
      <c r="K211" s="55" cm="1">
        <f t="array" ref="K211">$D$2*SUM( (($B$12:$B$20)/H211)/(EXP($B$12:$B$20/B184)-1) - LN( 1 - EXP( (-1 * $B$12:$B$20)/H211 ) ) ) / 4.184</f>
        <v>5.7871056915209502</v>
      </c>
      <c r="M211" s="39" t="s">
        <v>37</v>
      </c>
      <c r="N211" s="43">
        <v>12.888</v>
      </c>
    </row>
    <row r="212" spans="1:14" ht="15" thickBot="1" x14ac:dyDescent="0.35">
      <c r="B212" s="54">
        <f t="shared" si="40"/>
        <v>1300</v>
      </c>
      <c r="C212" s="55">
        <f t="shared" si="37"/>
        <v>1.7713101406365654E-25</v>
      </c>
      <c r="D212" s="110">
        <f t="shared" si="38"/>
        <v>173.95697430907154</v>
      </c>
      <c r="E212" s="55">
        <f t="shared" si="36"/>
        <v>57.122833591518891</v>
      </c>
      <c r="F212" s="55" cm="1">
        <f t="array" ref="F212">$D$2*SUM( (($B$12:$B$20)/B212)/(EXP($B$12:$B$20/B186)-1) - LN( 1 - EXP( (-1 * $B$12:$B$20)/B212 ) ) )</f>
        <v>31.423019771331916</v>
      </c>
      <c r="H212" s="54">
        <f t="shared" si="41"/>
        <v>1300</v>
      </c>
      <c r="I212" s="110">
        <f t="shared" si="42"/>
        <v>41.576714701020919</v>
      </c>
      <c r="J212" s="55">
        <f t="shared" si="39"/>
        <v>13.652684892810441</v>
      </c>
      <c r="K212" s="55" cm="1">
        <f t="array" ref="K212">$D$2*SUM( (($B$12:$B$20)/H212)/(EXP($B$12:$B$20/B185)-1) - LN( 1 - EXP( (-1 * $B$12:$B$20)/H212 ) ) ) / 4.184</f>
        <v>6.6693618516032904</v>
      </c>
      <c r="M212" s="44" t="s">
        <v>38</v>
      </c>
      <c r="N212" s="46">
        <v>8.5000000000000006E-2</v>
      </c>
    </row>
    <row r="213" spans="1:14" x14ac:dyDescent="0.3">
      <c r="B213" s="54">
        <f t="shared" si="40"/>
        <v>1400</v>
      </c>
      <c r="C213" s="55">
        <f t="shared" si="37"/>
        <v>1.907564766839378E-25</v>
      </c>
      <c r="D213" s="110">
        <f t="shared" si="38"/>
        <v>175.49739595769375</v>
      </c>
      <c r="E213" s="55">
        <f t="shared" si="36"/>
        <v>57.739002250967793</v>
      </c>
      <c r="F213" s="55" cm="1">
        <f t="array" ref="F213">$D$2*SUM( (($B$12:$B$20)/B213)/(EXP($B$12:$B$20/B187)-1) - LN( 1 - EXP( (-1 * $B$12:$B$20)/B213 ) ) )</f>
        <v>35.017453651054119</v>
      </c>
      <c r="H213" s="54">
        <f t="shared" si="41"/>
        <v>1400</v>
      </c>
      <c r="I213" s="110">
        <f t="shared" si="42"/>
        <v>41.944884311112276</v>
      </c>
      <c r="J213" s="55">
        <f t="shared" si="39"/>
        <v>13.799952736846986</v>
      </c>
      <c r="K213" s="55" cm="1">
        <f t="array" ref="K213">$D$2*SUM( (($B$12:$B$20)/H213)/(EXP($B$12:$B$20/B186)-1) - LN( 1 - EXP( (-1 * $B$12:$B$20)/H213 ) ) ) / 4.184</f>
        <v>7.5410672148829549</v>
      </c>
    </row>
    <row r="214" spans="1:14" x14ac:dyDescent="0.3">
      <c r="B214" s="54">
        <f t="shared" si="40"/>
        <v>1500</v>
      </c>
      <c r="C214" s="55">
        <f t="shared" si="37"/>
        <v>2.0438193930421908E-25</v>
      </c>
      <c r="D214" s="110">
        <f t="shared" si="38"/>
        <v>176.93149420313833</v>
      </c>
      <c r="E214" s="55">
        <f t="shared" si="36"/>
        <v>58.312641549145646</v>
      </c>
      <c r="F214" s="55" cm="1">
        <f t="array" ref="F214">$D$2*SUM( (($B$12:$B$20)/B214)/(EXP($B$12:$B$20/B188)-1) - LN( 1 - EXP( (-1 * $B$12:$B$20)/B214 ) ) )</f>
        <v>38.533617582917216</v>
      </c>
      <c r="H214" s="54">
        <f t="shared" si="41"/>
        <v>1500</v>
      </c>
      <c r="I214" s="110">
        <f t="shared" si="42"/>
        <v>42.28764201795849</v>
      </c>
      <c r="J214" s="55">
        <f t="shared" si="39"/>
        <v>13.937055819585479</v>
      </c>
      <c r="K214" s="55" cm="1">
        <f t="array" ref="K214">$D$2*SUM( (($B$12:$B$20)/H214)/(EXP($B$12:$B$20/B187)-1) - LN( 1 - EXP( (-1 * $B$12:$B$20)/H214 ) ) ) / 4.184</f>
        <v>8.3974955166534162</v>
      </c>
    </row>
    <row r="215" spans="1:14" x14ac:dyDescent="0.3">
      <c r="B215" s="54">
        <f t="shared" si="40"/>
        <v>1600</v>
      </c>
      <c r="C215" s="55">
        <f t="shared" si="37"/>
        <v>2.1800740192450038E-25</v>
      </c>
      <c r="D215" s="110">
        <f t="shared" si="38"/>
        <v>178.27300352043773</v>
      </c>
      <c r="E215" s="55">
        <f t="shared" si="36"/>
        <v>58.849245276065389</v>
      </c>
      <c r="F215" s="55" cm="1">
        <f t="array" ref="F215">$D$2*SUM( (($B$12:$B$20)/B215)/(EXP($B$12:$B$20/B189)-1) - LN( 1 - EXP( (-1 * $B$12:$B$20)/B215 ) ) )</f>
        <v>41.96320867082553</v>
      </c>
      <c r="H215" s="54">
        <f t="shared" si="41"/>
        <v>1600</v>
      </c>
      <c r="I215" s="110">
        <f t="shared" si="42"/>
        <v>42.60827043987517</v>
      </c>
      <c r="J215" s="55">
        <f t="shared" si="39"/>
        <v>14.065307188352147</v>
      </c>
      <c r="K215" s="55" cm="1">
        <f t="array" ref="K215">$D$2*SUM( (($B$12:$B$20)/H215)/(EXP($B$12:$B$20/B188)-1) - LN( 1 - EXP( (-1 * $B$12:$B$20)/H215 ) ) ) / 4.184</f>
        <v>9.2354824101632431</v>
      </c>
      <c r="M215" s="5" t="s">
        <v>94</v>
      </c>
      <c r="N215" s="113">
        <f>SUM(I202:L202)</f>
        <v>45.073004257662525</v>
      </c>
    </row>
    <row r="216" spans="1:14" x14ac:dyDescent="0.3">
      <c r="B216" s="54">
        <f t="shared" si="40"/>
        <v>1700</v>
      </c>
      <c r="C216" s="55">
        <f t="shared" si="37"/>
        <v>2.3163286454478159E-25</v>
      </c>
      <c r="D216" s="110">
        <f t="shared" si="38"/>
        <v>179.53315782194613</v>
      </c>
      <c r="E216" s="55">
        <f t="shared" si="36"/>
        <v>59.353306996668728</v>
      </c>
      <c r="F216" s="55" cm="1">
        <f t="array" ref="F216">$D$2*SUM( (($B$12:$B$20)/B216)/(EXP($B$12:$B$20/B190)-1) - LN( 1 - EXP( (-1 * $B$12:$B$20)/B216 ) ) )</f>
        <v>45.301500136459033</v>
      </c>
      <c r="H216" s="54">
        <f t="shared" si="41"/>
        <v>1700</v>
      </c>
      <c r="I216" s="110">
        <f t="shared" si="42"/>
        <v>42.90945454635424</v>
      </c>
      <c r="J216" s="55">
        <f t="shared" si="39"/>
        <v>14.185780830943768</v>
      </c>
      <c r="K216" s="55" cm="1">
        <f t="array" ref="K216">$D$2*SUM( (($B$12:$B$20)/H216)/(EXP($B$12:$B$20/B189)-1) - LN( 1 - EXP( (-1 * $B$12:$B$20)/H216 ) ) ) / 4.184</f>
        <v>10.05302305228904</v>
      </c>
    </row>
    <row r="217" spans="1:14" x14ac:dyDescent="0.3">
      <c r="B217" s="54">
        <f t="shared" si="40"/>
        <v>1800</v>
      </c>
      <c r="C217" s="55">
        <f t="shared" si="37"/>
        <v>2.4525832716506289E-25</v>
      </c>
      <c r="D217" s="110">
        <f t="shared" si="38"/>
        <v>180.72126290053774</v>
      </c>
      <c r="E217" s="55">
        <f t="shared" si="36"/>
        <v>59.828549028105392</v>
      </c>
      <c r="F217" s="55" cm="1">
        <f t="array" ref="F217">$D$2*SUM( (($B$12:$B$20)/B217)/(EXP($B$12:$B$20/B191)-1) - LN( 1 - EXP( (-1 * $B$12:$B$20)/B217 ) ) )</f>
        <v>48.546357551577742</v>
      </c>
      <c r="H217" s="54">
        <f t="shared" si="41"/>
        <v>1800</v>
      </c>
      <c r="I217" s="110">
        <f t="shared" si="42"/>
        <v>43.193418475271926</v>
      </c>
      <c r="J217" s="55">
        <f t="shared" si="39"/>
        <v>14.299366402510849</v>
      </c>
      <c r="K217" s="55" cm="1">
        <f t="array" ref="K217">$D$2*SUM( (($B$12:$B$20)/H217)/(EXP($B$12:$B$20/B190)-1) - LN( 1 - EXP( (-1 * $B$12:$B$20)/H217 ) ) ) / 4.184</f>
        <v>10.848965007230843</v>
      </c>
    </row>
    <row r="218" spans="1:14" x14ac:dyDescent="0.3">
      <c r="B218" s="54">
        <f t="shared" si="40"/>
        <v>1900</v>
      </c>
      <c r="C218" s="55">
        <f t="shared" si="37"/>
        <v>2.5888378978534419E-25</v>
      </c>
      <c r="D218" s="110">
        <f t="shared" si="38"/>
        <v>181.84511389396152</v>
      </c>
      <c r="E218" s="55">
        <f t="shared" si="36"/>
        <v>60.278089425474903</v>
      </c>
      <c r="F218" s="55" cm="1">
        <f t="array" ref="F218">$D$2*SUM( (($B$12:$B$20)/B218)/(EXP($B$12:$B$20/B192)-1) - LN( 1 - EXP( (-1 * $B$12:$B$20)/B218 ) ) )</f>
        <v>51.697500606134867</v>
      </c>
      <c r="H218" s="54">
        <f t="shared" si="41"/>
        <v>1900</v>
      </c>
      <c r="I218" s="110">
        <f t="shared" si="42"/>
        <v>43.462025309264227</v>
      </c>
      <c r="J218" s="55">
        <f t="shared" si="39"/>
        <v>14.406809136107768</v>
      </c>
      <c r="K218" s="55" cm="1">
        <f t="array" ref="K218">$D$2*SUM( (($B$12:$B$20)/H218)/(EXP($B$12:$B$20/B191)-1) - LN( 1 - EXP( (-1 * $B$12:$B$20)/H218 ) ) ) / 4.184</f>
        <v>11.622775338416712</v>
      </c>
    </row>
    <row r="219" spans="1:14" x14ac:dyDescent="0.3">
      <c r="B219" s="54">
        <f t="shared" si="40"/>
        <v>2000</v>
      </c>
      <c r="C219" s="55">
        <f t="shared" si="37"/>
        <v>2.7250925240562545E-25</v>
      </c>
      <c r="D219" s="110">
        <f t="shared" si="38"/>
        <v>182.91130554389409</v>
      </c>
      <c r="E219" s="55">
        <f t="shared" si="36"/>
        <v>60.704566085447951</v>
      </c>
      <c r="F219" s="55" cm="1">
        <f t="array" ref="F219">$D$2*SUM( (($B$12:$B$20)/B219)/(EXP($B$12:$B$20/B193)-1) - LN( 1 - EXP( (-1 * $B$12:$B$20)/B219 ) ) )</f>
        <v>54.755953179360219</v>
      </c>
      <c r="H219" s="54">
        <f t="shared" si="41"/>
        <v>2000</v>
      </c>
      <c r="I219" s="110">
        <f t="shared" si="42"/>
        <v>43.716851229420193</v>
      </c>
      <c r="J219" s="55">
        <f t="shared" si="39"/>
        <v>14.50873950417016</v>
      </c>
      <c r="K219" s="55" cm="1">
        <f t="array" ref="K219">$D$2*SUM( (($B$12:$B$20)/H219)/(EXP($B$12:$B$20/B192)-1) - LN( 1 - EXP( (-1 * $B$12:$B$20)/H219 ) ) ) / 4.184</f>
        <v>12.374365364464172</v>
      </c>
    </row>
    <row r="220" spans="1:14" ht="15" thickBot="1" x14ac:dyDescent="0.35">
      <c r="B220" s="25">
        <f t="shared" si="40"/>
        <v>2100</v>
      </c>
      <c r="C220" s="58">
        <f t="shared" si="37"/>
        <v>2.8613471502590675E-25</v>
      </c>
      <c r="D220" s="114">
        <f t="shared" si="38"/>
        <v>183.9254666785495</v>
      </c>
      <c r="E220" s="58">
        <f t="shared" si="36"/>
        <v>61.110230539310102</v>
      </c>
      <c r="F220" s="58" cm="1">
        <f t="array" ref="F220">$D$2*SUM( (($B$12:$B$20)/B220)/(EXP($B$12:$B$20/B194)-1) - LN( 1 - EXP( (-1 * $B$12:$B$20)/B220 ) ) )</f>
        <v>57.723636433158404</v>
      </c>
      <c r="G220" s="53"/>
      <c r="H220" s="25">
        <f t="shared" si="41"/>
        <v>2100</v>
      </c>
      <c r="I220" s="110">
        <f t="shared" si="42"/>
        <v>43.959241557970721</v>
      </c>
      <c r="J220" s="58">
        <f t="shared" si="39"/>
        <v>14.605695635590369</v>
      </c>
      <c r="K220" s="58" cm="1">
        <f t="array" ref="K220">$D$2*SUM( (($B$12:$B$20)/H220)/(EXP($B$12:$B$20/B193)-1) - LN( 1 - EXP( (-1 * $B$12:$B$20)/H220 ) ) ) / 4.184</f>
        <v>13.103959810436152</v>
      </c>
      <c r="L220" s="53"/>
    </row>
    <row r="224" spans="1:14" ht="15" thickBot="1" x14ac:dyDescent="0.35">
      <c r="A224" s="5" t="s">
        <v>102</v>
      </c>
      <c r="B224" s="208" t="s">
        <v>103</v>
      </c>
      <c r="C224" s="208"/>
      <c r="D224" s="208"/>
      <c r="E224" s="208"/>
      <c r="F224" s="208"/>
      <c r="H224" s="208" t="s">
        <v>104</v>
      </c>
      <c r="I224" s="208"/>
      <c r="J224" s="208"/>
      <c r="K224" s="208"/>
      <c r="L224" s="208"/>
    </row>
    <row r="225" spans="1:15" ht="18" x14ac:dyDescent="0.3">
      <c r="A225" s="5" t="s">
        <v>99</v>
      </c>
      <c r="B225" s="94" t="s">
        <v>47</v>
      </c>
      <c r="C225" s="16" t="s">
        <v>89</v>
      </c>
      <c r="D225" s="16" t="s">
        <v>37</v>
      </c>
      <c r="E225" s="16" t="s">
        <v>38</v>
      </c>
      <c r="F225" s="16" t="s">
        <v>90</v>
      </c>
      <c r="H225" s="94" t="s">
        <v>47</v>
      </c>
      <c r="I225" s="16" t="s">
        <v>89</v>
      </c>
      <c r="J225" s="16" t="s">
        <v>37</v>
      </c>
      <c r="K225" s="16" t="s">
        <v>38</v>
      </c>
      <c r="L225" s="16" t="s">
        <v>90</v>
      </c>
    </row>
    <row r="226" spans="1:15" ht="15" thickBot="1" x14ac:dyDescent="0.35">
      <c r="B226" s="54">
        <f>298.15</f>
        <v>298.14999999999998</v>
      </c>
      <c r="C226" s="55">
        <f>3/2*$D$2</f>
        <v>12.471708</v>
      </c>
      <c r="D226" s="55">
        <f>3/2*$D$2</f>
        <v>12.471708</v>
      </c>
      <c r="E226" s="55" cm="1">
        <f t="array" ref="E226">$D$2*SUM( ( ($B$12:$B$20) * ($B$12:$B$20)* EXP($B$12:$B$20/B226) ) / ( B226*B226* ( EXP(( $B$12:$B$20)/B226 )  -1)^2 ) )</f>
        <v>2.0925965860595666</v>
      </c>
      <c r="F226" s="58">
        <v>0</v>
      </c>
      <c r="H226" s="54">
        <f>298.15</f>
        <v>298.14999999999998</v>
      </c>
      <c r="I226" s="105">
        <f>3/2*$D$2 / 4.184</f>
        <v>2.9808097514340344</v>
      </c>
      <c r="J226" s="105">
        <f>3/2*$D$2 / 4.184</f>
        <v>2.9808097514340344</v>
      </c>
      <c r="K226" s="105" cm="1">
        <f t="array" ref="K226">$D$2*SUM( ( ($B$12:$B$20) * ($B$12:$B$20)* EXP($B$12:$B$20/B226) ) / ( B226*B226* ( EXP(( $B$12:$B$20)/B226 )  -1)^2 ) ) / 4.184</f>
        <v>0.50014258749033613</v>
      </c>
      <c r="L226" s="112">
        <v>0</v>
      </c>
    </row>
    <row r="227" spans="1:15" x14ac:dyDescent="0.3">
      <c r="B227" s="54">
        <f>300+100</f>
        <v>400</v>
      </c>
      <c r="C227" s="55">
        <f t="shared" ref="C227:D244" si="43">3/2*$D$2</f>
        <v>12.471708</v>
      </c>
      <c r="D227" s="55">
        <f t="shared" si="43"/>
        <v>12.471708</v>
      </c>
      <c r="E227" s="55" cm="1">
        <f t="array" ref="E227">$D$2*SUM( ( ($B$12:$B$20) * ($B$12:$B$20)* EXP($B$12:$B$20/B227) ) / ( B227*B227* ( EXP(( $B$12:$B$20)/B227 )  -1)^2 ) )</f>
        <v>6.649112547912619</v>
      </c>
      <c r="H227" s="54">
        <f>300+100</f>
        <v>400</v>
      </c>
      <c r="I227" s="55">
        <f t="shared" ref="I227:J244" si="44">3/2*$D$2 / 4.184</f>
        <v>2.9808097514340344</v>
      </c>
      <c r="J227" s="55">
        <f t="shared" si="44"/>
        <v>2.9808097514340344</v>
      </c>
      <c r="K227" s="55" cm="1">
        <f t="array" ref="K227">$D$2*SUM( ( ($B$12:$B$20) * ($B$12:$B$20)* EXP($B$12:$B$20/H227) ) / (H227*H227* ( EXP(( $B$12:$B$20)/H227 )  -1)^2 ) ) / 4.184</f>
        <v>1.5891760391760561</v>
      </c>
    </row>
    <row r="228" spans="1:15" ht="18.600000000000001" thickBot="1" x14ac:dyDescent="0.35">
      <c r="B228" s="54">
        <f t="shared" ref="B228:B244" si="45">B227+100</f>
        <v>500</v>
      </c>
      <c r="C228" s="55">
        <f t="shared" si="43"/>
        <v>12.471708</v>
      </c>
      <c r="D228" s="55">
        <f t="shared" si="43"/>
        <v>12.471708</v>
      </c>
      <c r="E228" s="55" cm="1">
        <f t="array" ref="E228">$D$2*SUM( ( ($B$12:$B$20) * ($B$12:$B$20)* EXP($B$12:$B$20/B228) ) / ( B228*B228* ( EXP(( $B$12:$B$20)/B228 )  -1)^2 ) )</f>
        <v>12.266943077216947</v>
      </c>
      <c r="H228" s="54">
        <f t="shared" ref="H228:H244" si="46">H227+100</f>
        <v>500</v>
      </c>
      <c r="I228" s="55">
        <f t="shared" si="44"/>
        <v>2.9808097514340344</v>
      </c>
      <c r="J228" s="55">
        <f t="shared" si="44"/>
        <v>2.9808097514340344</v>
      </c>
      <c r="K228" s="55" cm="1">
        <f t="array" ref="K228">$D$2*SUM( ( ($B$12:$B$20) * ($B$12:$B$20)* EXP($B$12:$B$20/H228) ) / (H228*H228* ( EXP(( $B$12:$B$20)/H228 )  -1)^2 ) ) / 4.184</f>
        <v>2.9318697603290982</v>
      </c>
      <c r="M228" s="214" t="s">
        <v>93</v>
      </c>
      <c r="N228" s="214"/>
    </row>
    <row r="229" spans="1:15" x14ac:dyDescent="0.3">
      <c r="B229" s="54">
        <f t="shared" si="45"/>
        <v>600</v>
      </c>
      <c r="C229" s="55">
        <f t="shared" si="43"/>
        <v>12.471708</v>
      </c>
      <c r="D229" s="55">
        <f t="shared" si="43"/>
        <v>12.471708</v>
      </c>
      <c r="E229" s="55" cm="1">
        <f t="array" ref="E229">$D$2*SUM( ( ($B$12:$B$20) * ($B$12:$B$20)* EXP($B$12:$B$20/B229) ) / ( B229*B229* ( EXP(( $B$12:$B$20)/B229 )  -1)^2 ) )</f>
        <v>17.97559717841181</v>
      </c>
      <c r="H229" s="54">
        <f t="shared" si="46"/>
        <v>600</v>
      </c>
      <c r="I229" s="55">
        <f t="shared" si="44"/>
        <v>2.9808097514340344</v>
      </c>
      <c r="J229" s="55">
        <f t="shared" si="44"/>
        <v>2.9808097514340344</v>
      </c>
      <c r="K229" s="55" cm="1">
        <f t="array" ref="K229">$D$2*SUM( ( ($B$12:$B$20) * ($B$12:$B$20)* EXP($B$12:$B$20/H229) ) / (H229*H229* ( EXP(( $B$12:$B$20)/H229 )  -1)^2 ) ) / 4.184</f>
        <v>4.29627083614049</v>
      </c>
      <c r="M229" s="38"/>
      <c r="N229" s="4" t="s">
        <v>29</v>
      </c>
      <c r="O229" s="82"/>
    </row>
    <row r="230" spans="1:15" x14ac:dyDescent="0.3">
      <c r="B230" s="54">
        <f t="shared" si="45"/>
        <v>700</v>
      </c>
      <c r="C230" s="55">
        <f t="shared" si="43"/>
        <v>12.471708</v>
      </c>
      <c r="D230" s="55">
        <f t="shared" si="43"/>
        <v>12.471708</v>
      </c>
      <c r="E230" s="55" cm="1">
        <f t="array" ref="E230">$D$2*SUM( ( ($B$12:$B$20) * ($B$12:$B$20)* EXP($B$12:$B$20/B230) ) / ( B230*B230* ( EXP(( $B$12:$B$20)/B230 )  -1)^2 ) )</f>
        <v>23.396792972577316</v>
      </c>
      <c r="H230" s="54">
        <f t="shared" si="46"/>
        <v>700</v>
      </c>
      <c r="I230" s="55">
        <f t="shared" si="44"/>
        <v>2.9808097514340344</v>
      </c>
      <c r="J230" s="55">
        <f t="shared" si="44"/>
        <v>2.9808097514340344</v>
      </c>
      <c r="K230" s="55" cm="1">
        <f t="array" ref="K230">$D$2*SUM( ( ($B$12:$B$20) * ($B$12:$B$20)* EXP($B$12:$B$20/H230) ) / (H230*H230* ( EXP(( $B$12:$B$20)/H230 )  -1)^2 ) ) / 4.184</f>
        <v>5.5919677276714426</v>
      </c>
      <c r="M230" s="39"/>
      <c r="N230" s="41" t="s">
        <v>32</v>
      </c>
      <c r="O230" s="82"/>
    </row>
    <row r="231" spans="1:15" x14ac:dyDescent="0.3">
      <c r="B231" s="54">
        <f t="shared" si="45"/>
        <v>800</v>
      </c>
      <c r="C231" s="55">
        <f t="shared" si="43"/>
        <v>12.471708</v>
      </c>
      <c r="D231" s="55">
        <f t="shared" si="43"/>
        <v>12.471708</v>
      </c>
      <c r="E231" s="55" cm="1">
        <f t="array" ref="E231">$D$2*SUM( ( ($B$12:$B$20) * ($B$12:$B$20)* EXP($B$12:$B$20/B231) ) / ( B231*B231* ( EXP(( $B$12:$B$20)/B231 )  -1)^2 ) )</f>
        <v>28.421493574067181</v>
      </c>
      <c r="H231" s="54">
        <f t="shared" si="46"/>
        <v>800</v>
      </c>
      <c r="I231" s="55">
        <f t="shared" si="44"/>
        <v>2.9808097514340344</v>
      </c>
      <c r="J231" s="55">
        <f t="shared" si="44"/>
        <v>2.9808097514340344</v>
      </c>
      <c r="K231" s="55" cm="1">
        <f t="array" ref="K231">$D$2*SUM( ( ($B$12:$B$20) * ($B$12:$B$20)* EXP($B$12:$B$20/H231) ) / (H231*H231* ( EXP(( $B$12:$B$20)/H231 )  -1)^2 ) ) / 4.184</f>
        <v>6.7928999938019077</v>
      </c>
      <c r="M231" s="39" t="s">
        <v>33</v>
      </c>
      <c r="N231" s="43">
        <v>6.4619999999999997</v>
      </c>
      <c r="O231" s="47"/>
    </row>
    <row r="232" spans="1:15" x14ac:dyDescent="0.3">
      <c r="B232" s="54">
        <f t="shared" si="45"/>
        <v>900</v>
      </c>
      <c r="C232" s="55">
        <f t="shared" si="43"/>
        <v>12.471708</v>
      </c>
      <c r="D232" s="55">
        <f t="shared" si="43"/>
        <v>12.471708</v>
      </c>
      <c r="E232" s="55" cm="1">
        <f t="array" ref="E232">$D$2*SUM( ( ($B$12:$B$20) * ($B$12:$B$20)* EXP($B$12:$B$20/B232) ) / ( B232*B232* ( EXP(( $B$12:$B$20)/B232 )  -1)^2 ) )</f>
        <v>33.016851112390171</v>
      </c>
      <c r="H232" s="54">
        <f t="shared" si="46"/>
        <v>900</v>
      </c>
      <c r="I232" s="55">
        <f t="shared" si="44"/>
        <v>2.9808097514340344</v>
      </c>
      <c r="J232" s="55">
        <f t="shared" si="44"/>
        <v>2.9808097514340344</v>
      </c>
      <c r="K232" s="55" cm="1">
        <f t="array" ref="K232">$D$2*SUM( ( ($B$12:$B$20) * ($B$12:$B$20)* EXP($B$12:$B$20/H232) ) / (H232*H232* ( EXP(( $B$12:$B$20)/H232 )  -1)^2 ) ) / 4.184</f>
        <v>7.8912168050645723</v>
      </c>
      <c r="M232" s="39" t="s">
        <v>34</v>
      </c>
      <c r="N232" s="43" t="s">
        <v>35</v>
      </c>
      <c r="O232" s="47"/>
    </row>
    <row r="233" spans="1:15" x14ac:dyDescent="0.3">
      <c r="B233" s="54">
        <f t="shared" si="45"/>
        <v>1000</v>
      </c>
      <c r="C233" s="55">
        <f t="shared" si="43"/>
        <v>12.471708</v>
      </c>
      <c r="D233" s="55">
        <f t="shared" si="43"/>
        <v>12.471708</v>
      </c>
      <c r="E233" s="55" cm="1">
        <f t="array" ref="E233">$D$2*SUM( ( ($B$12:$B$20) * ($B$12:$B$20)* EXP($B$12:$B$20/B233) ) / ( B233*B233* ( EXP(( $B$12:$B$20)/B233 )  -1)^2 ) )</f>
        <v>37.175670256191985</v>
      </c>
      <c r="H233" s="54">
        <f t="shared" si="46"/>
        <v>1000</v>
      </c>
      <c r="I233" s="55">
        <f t="shared" si="44"/>
        <v>2.9808097514340344</v>
      </c>
      <c r="J233" s="55">
        <f t="shared" si="44"/>
        <v>2.9808097514340344</v>
      </c>
      <c r="K233" s="55" cm="1">
        <f t="array" ref="K233">$D$2*SUM( ( ($B$12:$B$20) * ($B$12:$B$20)* EXP($B$12:$B$20/H233) ) / (H233*H233* ( EXP(( $B$12:$B$20)/H233 )  -1)^2 ) ) / 4.184</f>
        <v>8.885198435992347</v>
      </c>
      <c r="M233" s="39" t="s">
        <v>36</v>
      </c>
      <c r="N233" s="43">
        <v>2.9809999999999999</v>
      </c>
      <c r="O233" s="47"/>
    </row>
    <row r="234" spans="1:15" x14ac:dyDescent="0.3">
      <c r="B234" s="54">
        <f t="shared" si="45"/>
        <v>1100</v>
      </c>
      <c r="C234" s="55">
        <f t="shared" si="43"/>
        <v>12.471708</v>
      </c>
      <c r="D234" s="55">
        <f t="shared" si="43"/>
        <v>12.471708</v>
      </c>
      <c r="E234" s="55" cm="1">
        <f t="array" ref="E234">$D$2*SUM( ( ($B$12:$B$20) * ($B$12:$B$20)* EXP($B$12:$B$20/B234) ) / ( B234*B234* ( EXP(( $B$12:$B$20)/B234 )  -1)^2 ) )</f>
        <v>40.907195329620258</v>
      </c>
      <c r="H234" s="54">
        <f t="shared" si="46"/>
        <v>1100</v>
      </c>
      <c r="I234" s="55">
        <f t="shared" si="44"/>
        <v>2.9808097514340344</v>
      </c>
      <c r="J234" s="55">
        <f t="shared" si="44"/>
        <v>2.9808097514340344</v>
      </c>
      <c r="K234" s="55" cm="1">
        <f t="array" ref="K234">$D$2*SUM( ( ($B$12:$B$20) * ($B$12:$B$20)* EXP($B$12:$B$20/H234) ) / (H234*H234* ( EXP(( $B$12:$B$20)/H234 )  -1)^2 ) ) / 4.184</f>
        <v>9.7770543330832353</v>
      </c>
      <c r="M234" s="39" t="s">
        <v>37</v>
      </c>
      <c r="N234" s="43">
        <v>2.9809999999999999</v>
      </c>
      <c r="O234" s="47"/>
    </row>
    <row r="235" spans="1:15" ht="15" thickBot="1" x14ac:dyDescent="0.35">
      <c r="B235" s="54">
        <f t="shared" si="45"/>
        <v>1200</v>
      </c>
      <c r="C235" s="55">
        <f t="shared" si="43"/>
        <v>12.471708</v>
      </c>
      <c r="D235" s="55">
        <f t="shared" si="43"/>
        <v>12.471708</v>
      </c>
      <c r="E235" s="55" cm="1">
        <f t="array" ref="E235">$D$2*SUM( ( ($B$12:$B$20) * ($B$12:$B$20)* EXP($B$12:$B$20/B235) ) / ( B235*B235* ( EXP(( $B$12:$B$20)/B235 )  -1)^2 ) )</f>
        <v>44.233554008077235</v>
      </c>
      <c r="H235" s="54">
        <f t="shared" si="46"/>
        <v>1200</v>
      </c>
      <c r="I235" s="55">
        <f t="shared" si="44"/>
        <v>2.9808097514340344</v>
      </c>
      <c r="J235" s="55">
        <f t="shared" si="44"/>
        <v>2.9808097514340344</v>
      </c>
      <c r="K235" s="55" cm="1">
        <f t="array" ref="K235">$D$2*SUM( ( ($B$12:$B$20) * ($B$12:$B$20)* EXP($B$12:$B$20/H235) ) / (H235*H235* ( EXP(( $B$12:$B$20)/H235 )  -1)^2 ) ) / 4.184</f>
        <v>10.572073137685763</v>
      </c>
      <c r="M235" s="44" t="s">
        <v>38</v>
      </c>
      <c r="N235" s="46">
        <v>0.5</v>
      </c>
      <c r="O235" s="47"/>
    </row>
    <row r="236" spans="1:15" x14ac:dyDescent="0.3">
      <c r="B236" s="54">
        <f t="shared" si="45"/>
        <v>1300</v>
      </c>
      <c r="C236" s="55">
        <f t="shared" si="43"/>
        <v>12.471708</v>
      </c>
      <c r="D236" s="55">
        <f t="shared" si="43"/>
        <v>12.471708</v>
      </c>
      <c r="E236" s="55" cm="1">
        <f t="array" ref="E236">$D$2*SUM( ( ($B$12:$B$20) * ($B$12:$B$20)* EXP($B$12:$B$20/B236) ) / ( B236*B236* ( EXP(( $B$12:$B$20)/B236 )  -1)^2 ) )</f>
        <v>47.185574268735088</v>
      </c>
      <c r="H236" s="54">
        <f t="shared" si="46"/>
        <v>1300</v>
      </c>
      <c r="I236" s="55">
        <f t="shared" si="44"/>
        <v>2.9808097514340344</v>
      </c>
      <c r="J236" s="55">
        <f t="shared" si="44"/>
        <v>2.9808097514340344</v>
      </c>
      <c r="K236" s="55" cm="1">
        <f t="array" ref="K236">$D$2*SUM( ( ($B$12:$B$20) * ($B$12:$B$20)* EXP($B$12:$B$20/H236) ) / (H236*H236* ( EXP(( $B$12:$B$20)/H236 )  -1)^2 ) ) / 4.184</f>
        <v>11.277622913177602</v>
      </c>
      <c r="N236" s="47"/>
      <c r="O236" s="47"/>
    </row>
    <row r="237" spans="1:15" x14ac:dyDescent="0.3">
      <c r="B237" s="54">
        <f t="shared" si="45"/>
        <v>1400</v>
      </c>
      <c r="C237" s="55">
        <f t="shared" si="43"/>
        <v>12.471708</v>
      </c>
      <c r="D237" s="55">
        <f t="shared" si="43"/>
        <v>12.471708</v>
      </c>
      <c r="E237" s="55" cm="1">
        <f t="array" ref="E237">$D$2*SUM( ( ($B$12:$B$20) * ($B$12:$B$20)* EXP($B$12:$B$20/B237) ) / ( B237*B237* ( EXP(( $B$12:$B$20)/B237 )  -1)^2 ) )</f>
        <v>49.798555995901076</v>
      </c>
      <c r="H237" s="54">
        <f t="shared" si="46"/>
        <v>1400</v>
      </c>
      <c r="I237" s="55">
        <f t="shared" si="44"/>
        <v>2.9808097514340344</v>
      </c>
      <c r="J237" s="55">
        <f t="shared" si="44"/>
        <v>2.9808097514340344</v>
      </c>
      <c r="K237" s="55" cm="1">
        <f t="array" ref="K237">$D$2*SUM( ( ($B$12:$B$20) * ($B$12:$B$20)* EXP($B$12:$B$20/H237) ) / (H237*H237* ( EXP(( $B$12:$B$20)/H237 )  -1)^2 ) ) / 4.184</f>
        <v>11.902140534393181</v>
      </c>
    </row>
    <row r="238" spans="1:15" x14ac:dyDescent="0.3">
      <c r="B238" s="54">
        <f t="shared" si="45"/>
        <v>1500</v>
      </c>
      <c r="C238" s="55">
        <f t="shared" si="43"/>
        <v>12.471708</v>
      </c>
      <c r="D238" s="55">
        <f t="shared" si="43"/>
        <v>12.471708</v>
      </c>
      <c r="E238" s="55" cm="1">
        <f t="array" ref="E238">$D$2*SUM( ( ($B$12:$B$20) * ($B$12:$B$20)* EXP($B$12:$B$20/B238) ) / ( B238*B238* ( EXP(( $B$12:$B$20)/B238 )  -1)^2 ) )</f>
        <v>52.10888709469971</v>
      </c>
      <c r="H238" s="54">
        <f t="shared" si="46"/>
        <v>1500</v>
      </c>
      <c r="I238" s="55">
        <f t="shared" si="44"/>
        <v>2.9808097514340344</v>
      </c>
      <c r="J238" s="55">
        <f t="shared" si="44"/>
        <v>2.9808097514340344</v>
      </c>
      <c r="K238" s="55" cm="1">
        <f t="array" ref="K238">$D$2*SUM( ( ($B$12:$B$20) * ($B$12:$B$20)* EXP($B$12:$B$20/H238) ) / (H238*H238* ( EXP(( $B$12:$B$20)/H238 )  -1)^2 ) ) / 4.184</f>
        <v>12.454322919383296</v>
      </c>
    </row>
    <row r="239" spans="1:15" x14ac:dyDescent="0.3">
      <c r="B239" s="54">
        <f t="shared" si="45"/>
        <v>1600</v>
      </c>
      <c r="C239" s="55">
        <f t="shared" si="43"/>
        <v>12.471708</v>
      </c>
      <c r="D239" s="55">
        <f t="shared" si="43"/>
        <v>12.471708</v>
      </c>
      <c r="E239" s="55" cm="1">
        <f t="array" ref="E239">$D$2*SUM( ( ($B$12:$B$20) * ($B$12:$B$20)* EXP($B$12:$B$20/B239) ) / ( B239*B239* ( EXP(( $B$12:$B$20)/B239 )  -1)^2 ) )</f>
        <v>54.151756797291121</v>
      </c>
      <c r="H239" s="54">
        <f t="shared" si="46"/>
        <v>1600</v>
      </c>
      <c r="I239" s="55">
        <f t="shared" si="44"/>
        <v>2.9808097514340344</v>
      </c>
      <c r="J239" s="55">
        <f t="shared" si="44"/>
        <v>2.9808097514340344</v>
      </c>
      <c r="K239" s="55" cm="1">
        <f t="array" ref="K239">$D$2*SUM( ( ($B$12:$B$20) * ($B$12:$B$20)* EXP($B$12:$B$20/H239) ) / (H239*H239* ( EXP(( $B$12:$B$20)/H239 )  -1)^2 ) ) / 4.184</f>
        <v>12.942580496484492</v>
      </c>
      <c r="M239" s="5" t="s">
        <v>94</v>
      </c>
      <c r="N239" s="115">
        <f>SUM(I226:L226)</f>
        <v>6.4617620903584045</v>
      </c>
    </row>
    <row r="240" spans="1:15" x14ac:dyDescent="0.3">
      <c r="B240" s="54">
        <f t="shared" si="45"/>
        <v>1700</v>
      </c>
      <c r="C240" s="55">
        <f t="shared" si="43"/>
        <v>12.471708</v>
      </c>
      <c r="D240" s="55">
        <f t="shared" si="43"/>
        <v>12.471708</v>
      </c>
      <c r="E240" s="55" cm="1">
        <f t="array" ref="E240">$D$2*SUM( ( ($B$12:$B$20) * ($B$12:$B$20)* EXP($B$12:$B$20/B240) ) / ( B240*B240* ( EXP(( $B$12:$B$20)/B240 )  -1)^2 ) )</f>
        <v>55.959827553294531</v>
      </c>
      <c r="H240" s="54">
        <f t="shared" si="46"/>
        <v>1700</v>
      </c>
      <c r="I240" s="55">
        <f t="shared" si="44"/>
        <v>2.9808097514340344</v>
      </c>
      <c r="J240" s="55">
        <f t="shared" si="44"/>
        <v>2.9808097514340344</v>
      </c>
      <c r="K240" s="55" cm="1">
        <f t="array" ref="K240">$D$2*SUM( ( ($B$12:$B$20) * ($B$12:$B$20)* EXP($B$12:$B$20/H240) ) / (H240*H240* ( EXP(( $B$12:$B$20)/H240 )  -1)^2 ) ) / 4.184</f>
        <v>13.374719778512077</v>
      </c>
    </row>
    <row r="241" spans="1:12" x14ac:dyDescent="0.3">
      <c r="B241" s="54">
        <f t="shared" si="45"/>
        <v>1800</v>
      </c>
      <c r="C241" s="55">
        <f t="shared" si="43"/>
        <v>12.471708</v>
      </c>
      <c r="D241" s="55">
        <f t="shared" si="43"/>
        <v>12.471708</v>
      </c>
      <c r="E241" s="55" cm="1">
        <f t="array" ref="E241">$D$2*SUM( ( ($B$12:$B$20) * ($B$12:$B$20)* EXP($B$12:$B$20/B241) ) / ( B241*B241* ( EXP(( $B$12:$B$20)/B241 )  -1)^2 ) )</f>
        <v>57.562606950583245</v>
      </c>
      <c r="H241" s="54">
        <f t="shared" si="46"/>
        <v>1800</v>
      </c>
      <c r="I241" s="55">
        <f t="shared" si="44"/>
        <v>2.9808097514340344</v>
      </c>
      <c r="J241" s="55">
        <f t="shared" si="44"/>
        <v>2.9808097514340344</v>
      </c>
      <c r="K241" s="55" cm="1">
        <f t="array" ref="K241">$D$2*SUM( ( ($B$12:$B$20) * ($B$12:$B$20)* EXP($B$12:$B$20/H241) ) / (H241*H241* ( EXP(( $B$12:$B$20)/H241 )  -1)^2 ) ) / 4.184</f>
        <v>13.757793248227353</v>
      </c>
    </row>
    <row r="242" spans="1:12" x14ac:dyDescent="0.3">
      <c r="B242" s="54">
        <f t="shared" si="45"/>
        <v>1900</v>
      </c>
      <c r="C242" s="55">
        <f t="shared" si="43"/>
        <v>12.471708</v>
      </c>
      <c r="D242" s="55">
        <f t="shared" si="43"/>
        <v>12.471708</v>
      </c>
      <c r="E242" s="55" cm="1">
        <f t="array" ref="E242">$D$2*SUM( ( ($B$12:$B$20) * ($B$12:$B$20)* EXP($B$12:$B$20/B242) ) / ( B242*B242* ( EXP(( $B$12:$B$20)/B242 )  -1)^2 ) )</f>
        <v>58.986276068410397</v>
      </c>
      <c r="H242" s="54">
        <f t="shared" si="46"/>
        <v>1900</v>
      </c>
      <c r="I242" s="55">
        <f t="shared" si="44"/>
        <v>2.9808097514340344</v>
      </c>
      <c r="J242" s="55">
        <f t="shared" si="44"/>
        <v>2.9808097514340344</v>
      </c>
      <c r="K242" s="55" cm="1">
        <f t="array" ref="K242">$D$2*SUM( ( ($B$12:$B$20) * ($B$12:$B$20)* EXP($B$12:$B$20/H242) ) / (H242*H242* ( EXP(( $B$12:$B$20)/H242 )  -1)^2 ) ) / 4.184</f>
        <v>14.098058333750094</v>
      </c>
    </row>
    <row r="243" spans="1:12" x14ac:dyDescent="0.3">
      <c r="B243" s="54">
        <f t="shared" si="45"/>
        <v>2000</v>
      </c>
      <c r="C243" s="55">
        <f t="shared" si="43"/>
        <v>12.471708</v>
      </c>
      <c r="D243" s="55">
        <f t="shared" si="43"/>
        <v>12.471708</v>
      </c>
      <c r="E243" s="55" cm="1">
        <f t="array" ref="E243">$D$2*SUM( ( ($B$12:$B$20) * ($B$12:$B$20)* EXP($B$12:$B$20/B243) ) / ( B243*B243* ( EXP(( $B$12:$B$20)/B243 )  -1)^2 ) )</f>
        <v>60.253788340549107</v>
      </c>
      <c r="H243" s="54">
        <f t="shared" si="46"/>
        <v>2000</v>
      </c>
      <c r="I243" s="55">
        <f t="shared" si="44"/>
        <v>2.9808097514340344</v>
      </c>
      <c r="J243" s="55">
        <f t="shared" si="44"/>
        <v>2.9808097514340344</v>
      </c>
      <c r="K243" s="55" cm="1">
        <f t="array" ref="K243">$D$2*SUM( ( ($B$12:$B$20) * ($B$12:$B$20)* EXP($B$12:$B$20/H243) ) / (H243*H243* ( EXP(( $B$12:$B$20)/H243 )  -1)^2 ) ) / 4.184</f>
        <v>14.401001037416133</v>
      </c>
    </row>
    <row r="244" spans="1:12" ht="15" thickBot="1" x14ac:dyDescent="0.35">
      <c r="B244" s="25">
        <f t="shared" si="45"/>
        <v>2100</v>
      </c>
      <c r="C244" s="58">
        <f t="shared" si="43"/>
        <v>12.471708</v>
      </c>
      <c r="D244" s="58">
        <f t="shared" si="43"/>
        <v>12.471708</v>
      </c>
      <c r="E244" s="55" cm="1">
        <f t="array" ref="E244">$D$2*SUM( ( ($B$12:$B$20) * ($B$12:$B$20)* EXP($B$12:$B$20/B244) ) / ( B244*B244* ( EXP(( $B$12:$B$20)/B244 )  -1)^2 ) )</f>
        <v>61.385111774140846</v>
      </c>
      <c r="F244" s="53"/>
      <c r="H244" s="25">
        <f t="shared" si="46"/>
        <v>2100</v>
      </c>
      <c r="I244" s="58">
        <f t="shared" si="44"/>
        <v>2.9808097514340344</v>
      </c>
      <c r="J244" s="58">
        <f t="shared" si="44"/>
        <v>2.9808097514340344</v>
      </c>
      <c r="K244" s="58" cm="1">
        <f t="array" ref="K244">$D$2*SUM( ( ($B$12:$B$20) * ($B$12:$B$20)* EXP($B$12:$B$20/H244) ) / (H244*H244* ( EXP(( $B$12:$B$20)/H244 )  -1)^2 ) ) / 4.184</f>
        <v>14.671393827471521</v>
      </c>
      <c r="L244" s="53"/>
    </row>
    <row r="247" spans="1:12" ht="15" thickBot="1" x14ac:dyDescent="0.35">
      <c r="A247" s="5" t="s">
        <v>105</v>
      </c>
    </row>
    <row r="248" spans="1:12" ht="18" x14ac:dyDescent="0.3">
      <c r="A248" s="5" t="s">
        <v>88</v>
      </c>
      <c r="B248" s="94" t="s">
        <v>47</v>
      </c>
      <c r="C248" s="16" t="s">
        <v>89</v>
      </c>
      <c r="D248" s="16" t="s">
        <v>37</v>
      </c>
      <c r="E248" s="16" t="s">
        <v>38</v>
      </c>
      <c r="F248" s="16" t="s">
        <v>90</v>
      </c>
    </row>
    <row r="249" spans="1:12" ht="15" thickBot="1" x14ac:dyDescent="0.35">
      <c r="B249" s="54">
        <f>298.15</f>
        <v>298.14999999999998</v>
      </c>
      <c r="C249" s="55">
        <f xml:space="preserve"> -1 * $D$2 * LN( (($A$2 *B249) / $F$83 ) /$F$2 * EXP(1) * $G$2 )</f>
        <v>324.38124515608746</v>
      </c>
      <c r="D249" s="55">
        <f>$D$2 * B249*LN( (B249) / ($B$6 * $C$198))</f>
        <v>10901.888074149634</v>
      </c>
      <c r="E249" s="55" cm="1">
        <f t="array" ref="E249">$D$2*SUM( ( 0.5 * ($B$12:$B$20)  - B249 * LN( 1 - EXP( - ($B$12:$B$20) / B249 ) ) ) )</f>
        <v>117636.1573516166</v>
      </c>
      <c r="F249" s="58">
        <f>$F$2*$B$134 + 0.5*$D$2*SUM(B12:B29)</f>
        <v>-106074515.8242138</v>
      </c>
    </row>
    <row r="250" spans="1:12" x14ac:dyDescent="0.3">
      <c r="B250" s="54">
        <f>300+100</f>
        <v>400</v>
      </c>
      <c r="C250" s="55">
        <f t="shared" ref="C250:C267" si="47" xml:space="preserve"> -1 * $D$2 * LN( (($A$2 *B250) / $F$83 ) /$F$2 * EXP(1) * $G$2 )</f>
        <v>321.93788929905679</v>
      </c>
      <c r="D250" s="55">
        <f t="shared" ref="D250:D267" si="48">$D$2 * B250*LN( (B250) / ($B$6 * $C$198))</f>
        <v>15603.387050710469</v>
      </c>
      <c r="E250" s="55" cm="1">
        <f t="array" ref="E250">$D$2*SUM( ( 0.5 * ($B$12:$B$20)  - B250 * LN( 1 - EXP( - ($B$12:$B$20) / B250 ) ) ) )</f>
        <v>117725.40179682529</v>
      </c>
    </row>
    <row r="251" spans="1:12" x14ac:dyDescent="0.3">
      <c r="B251" s="54">
        <f t="shared" ref="B251:B267" si="49">B250+100</f>
        <v>500</v>
      </c>
      <c r="C251" s="55">
        <f t="shared" si="47"/>
        <v>320.08256848967426</v>
      </c>
      <c r="D251" s="55">
        <f t="shared" si="48"/>
        <v>20431.894218079364</v>
      </c>
      <c r="E251" s="55" cm="1">
        <f t="array" ref="E251">$D$2*SUM( ( 0.5 * ($B$12:$B$20)  - B251 * LN( 1 - EXP( - ($B$12:$B$20) / B251 ) ) ) )</f>
        <v>117978.73956963618</v>
      </c>
    </row>
    <row r="252" spans="1:12" x14ac:dyDescent="0.3">
      <c r="B252" s="54">
        <f t="shared" si="49"/>
        <v>600</v>
      </c>
      <c r="C252" s="55">
        <f t="shared" si="47"/>
        <v>318.56666101071448</v>
      </c>
      <c r="D252" s="55">
        <f t="shared" si="48"/>
        <v>25427.817549071089</v>
      </c>
      <c r="E252" s="55" cm="1">
        <f t="array" ref="E252">$D$2*SUM( ( 0.5 * ($B$12:$B$20)  - B252 * LN( 1 - EXP( - ($B$12:$B$20) / B252 ) ) ) )</f>
        <v>118475.29493987294</v>
      </c>
    </row>
    <row r="253" spans="1:12" x14ac:dyDescent="0.3">
      <c r="B253" s="54">
        <f t="shared" si="49"/>
        <v>700</v>
      </c>
      <c r="C253" s="55">
        <f t="shared" si="47"/>
        <v>317.2849794995098</v>
      </c>
      <c r="D253" s="55">
        <f t="shared" si="48"/>
        <v>30562.964198426223</v>
      </c>
      <c r="E253" s="55" cm="1">
        <f t="array" ref="E253">$D$2*SUM( ( 0.5 * ($B$12:$B$20)  - B253 * LN( 1 - EXP( - ($B$12:$B$20) / B253 ) ) ) )</f>
        <v>119269.81202107879</v>
      </c>
    </row>
    <row r="254" spans="1:12" x14ac:dyDescent="0.3">
      <c r="B254" s="54">
        <f t="shared" si="49"/>
        <v>800</v>
      </c>
      <c r="C254" s="55">
        <f t="shared" si="47"/>
        <v>316.17473647441221</v>
      </c>
      <c r="D254" s="55">
        <f t="shared" si="48"/>
        <v>35817.296361136629</v>
      </c>
      <c r="E254" s="55" cm="1">
        <f t="array" ref="E254">$D$2*SUM( ( 0.5 * ($B$12:$B$20)  - B254 * LN( 1 - EXP( - ($B$12:$B$20) / B254 ) ) ) )</f>
        <v>120397.44272698785</v>
      </c>
    </row>
    <row r="255" spans="1:12" x14ac:dyDescent="0.3">
      <c r="B255" s="54">
        <f t="shared" si="49"/>
        <v>900</v>
      </c>
      <c r="C255" s="55">
        <f t="shared" si="47"/>
        <v>315.19543272237223</v>
      </c>
      <c r="D255" s="55">
        <f t="shared" si="48"/>
        <v>41175.831783114707</v>
      </c>
      <c r="E255" s="55" cm="1">
        <f t="array" ref="E255">$D$2*SUM( ( 0.5 * ($B$12:$B$20)  - B255 * LN( 1 - EXP( - ($B$12:$B$20) / B255 ) ) ) )</f>
        <v>121879.56096383849</v>
      </c>
    </row>
    <row r="256" spans="1:12" x14ac:dyDescent="0.3">
      <c r="B256" s="54">
        <f t="shared" si="49"/>
        <v>1000</v>
      </c>
      <c r="C256" s="55">
        <f t="shared" si="47"/>
        <v>314.31941566502962</v>
      </c>
      <c r="D256" s="55">
        <f t="shared" si="48"/>
        <v>46626.941260803338</v>
      </c>
      <c r="E256" s="55" cm="1">
        <f t="array" ref="E256">$D$2*SUM( ( 0.5 * ($B$12:$B$20)  - B256 * LN( 1 - EXP( - ($B$12:$B$20) / B256 ) ) ) )</f>
        <v>123727.97965528566</v>
      </c>
    </row>
    <row r="257" spans="1:12" x14ac:dyDescent="0.3">
      <c r="B257" s="54">
        <f t="shared" si="49"/>
        <v>1100</v>
      </c>
      <c r="C257" s="55">
        <f t="shared" si="47"/>
        <v>313.52696184373161</v>
      </c>
      <c r="D257" s="55">
        <f t="shared" si="48"/>
        <v>52161.334590311504</v>
      </c>
      <c r="E257" s="55" cm="1">
        <f t="array" ref="E257">$D$2*SUM( ( 0.5 * ($B$12:$B$20)  - B257 * LN( 1 - EXP( - ($B$12:$B$20) / B257 ) ) ) )</f>
        <v>125947.75918105859</v>
      </c>
    </row>
    <row r="258" spans="1:12" x14ac:dyDescent="0.3">
      <c r="B258" s="54">
        <f t="shared" si="49"/>
        <v>1200</v>
      </c>
      <c r="C258" s="55">
        <f t="shared" si="47"/>
        <v>312.80350818606991</v>
      </c>
      <c r="D258" s="55">
        <f t="shared" si="48"/>
        <v>57771.418487715709</v>
      </c>
      <c r="E258" s="55" cm="1">
        <f t="array" ref="E258">$D$2*SUM( ( 0.5 * ($B$12:$B$20)  - B258 * LN( 1 - EXP( - ($B$12:$B$20) / B258 ) ) ) )</f>
        <v>128539.14062705025</v>
      </c>
    </row>
    <row r="259" spans="1:12" x14ac:dyDescent="0.3">
      <c r="B259" s="54">
        <f t="shared" si="49"/>
        <v>1300</v>
      </c>
      <c r="C259" s="55">
        <f t="shared" si="47"/>
        <v>312.1379953343141</v>
      </c>
      <c r="D259" s="55">
        <f t="shared" si="48"/>
        <v>63450.870068974553</v>
      </c>
      <c r="E259" s="55" cm="1">
        <f t="array" ref="E259">$D$2*SUM( ( 0.5 * ($B$12:$B$20)  - B259 * LN( 1 - EXP( - ($B$12:$B$20) / B259 ) ) ) )</f>
        <v>131498.93806122182</v>
      </c>
    </row>
    <row r="260" spans="1:12" x14ac:dyDescent="0.3">
      <c r="B260" s="54">
        <f t="shared" si="49"/>
        <v>1400</v>
      </c>
      <c r="C260" s="55">
        <f t="shared" si="47"/>
        <v>311.52182667486522</v>
      </c>
      <c r="D260" s="55">
        <f t="shared" si="48"/>
        <v>69194.342351354906</v>
      </c>
      <c r="E260" s="55" cm="1">
        <f t="array" ref="E260">$D$2*SUM( ( 0.5 * ($B$12:$B$20)  - B260 * LN( 1 - EXP( - ($B$12:$B$20) / B260 ) ) ) )</f>
        <v>134821.56767638872</v>
      </c>
    </row>
    <row r="261" spans="1:12" x14ac:dyDescent="0.3">
      <c r="B261" s="54">
        <f t="shared" si="49"/>
        <v>1500</v>
      </c>
      <c r="C261" s="55">
        <f t="shared" si="47"/>
        <v>310.94818737668737</v>
      </c>
      <c r="D261" s="55">
        <f t="shared" si="48"/>
        <v>74997.254323718473</v>
      </c>
      <c r="E261" s="55" cm="1">
        <f t="array" ref="E261">$D$2*SUM( ( 0.5 * ($B$12:$B$20)  - B261 * LN( 1 - EXP( - ($B$12:$B$20) / B261 ) ) ) )</f>
        <v>138499.81442742978</v>
      </c>
    </row>
    <row r="262" spans="1:12" x14ac:dyDescent="0.3">
      <c r="B262" s="54">
        <f t="shared" si="49"/>
        <v>1600</v>
      </c>
      <c r="C262" s="55">
        <f t="shared" si="47"/>
        <v>310.41158364976764</v>
      </c>
      <c r="D262" s="55">
        <f t="shared" si="48"/>
        <v>80855.637241704622</v>
      </c>
      <c r="E262" s="55" cm="1">
        <f t="array" ref="E262">$D$2*SUM( ( 0.5 * ($B$12:$B$20)  - B262 * LN( 1 - EXP( - ($B$12:$B$20) / B262 ) ) ) )</f>
        <v>142525.40149965076</v>
      </c>
    </row>
    <row r="263" spans="1:12" x14ac:dyDescent="0.3">
      <c r="B263" s="54">
        <f t="shared" si="49"/>
        <v>1700</v>
      </c>
      <c r="C263" s="55">
        <f t="shared" si="47"/>
        <v>309.90752192916426</v>
      </c>
      <c r="D263" s="55">
        <f t="shared" si="48"/>
        <v>86766.019494336826</v>
      </c>
      <c r="E263" s="55" cm="1">
        <f t="array" ref="E263">$D$2*SUM( ( 0.5 * ($B$12:$B$20)  - B263 * LN( 1 - EXP( - ($B$12:$B$20) / B263 ) ) ) )</f>
        <v>146889.4099926514</v>
      </c>
    </row>
    <row r="264" spans="1:12" x14ac:dyDescent="0.3">
      <c r="B264" s="54">
        <f t="shared" si="49"/>
        <v>1800</v>
      </c>
      <c r="C264" s="55">
        <f t="shared" si="47"/>
        <v>309.4322798977276</v>
      </c>
      <c r="D264" s="55">
        <f t="shared" si="48"/>
        <v>92725.338650589707</v>
      </c>
      <c r="E264" s="55" cm="1">
        <f t="array" ref="E264">$D$2*SUM( ( 0.5 * ($B$12:$B$20)  - B264 * LN( 1 - EXP( - ($B$12:$B$20) / B264 ) ) ) )</f>
        <v>151582.58502312796</v>
      </c>
    </row>
    <row r="265" spans="1:12" x14ac:dyDescent="0.3">
      <c r="B265" s="54">
        <f t="shared" si="49"/>
        <v>1900</v>
      </c>
      <c r="C265" s="55">
        <f t="shared" si="47"/>
        <v>308.98273950035809</v>
      </c>
      <c r="D265" s="55">
        <f t="shared" si="48"/>
        <v>98730.873108402317</v>
      </c>
      <c r="E265" s="55" cm="1">
        <f t="array" ref="E265">$D$2*SUM( ( 0.5 * ($B$12:$B$20)  - B265 * LN( 1 - EXP( - ($B$12:$B$20) / B265 ) ) ) )</f>
        <v>156595.5562605655</v>
      </c>
    </row>
    <row r="266" spans="1:12" x14ac:dyDescent="0.3">
      <c r="B266" s="54">
        <f t="shared" si="49"/>
        <v>2000</v>
      </c>
      <c r="C266" s="55">
        <f t="shared" si="47"/>
        <v>308.55626284038505</v>
      </c>
      <c r="D266" s="55">
        <f t="shared" si="48"/>
        <v>104780.1881708959</v>
      </c>
      <c r="E266" s="55" cm="1">
        <f t="array" ref="E266">$D$2*SUM( ( 0.5 * ($B$12:$B$20)  - B266 * LN( 1 - EXP( - ($B$12:$B$20) / B266 ) ) ) )</f>
        <v>161918.99447874542</v>
      </c>
    </row>
    <row r="267" spans="1:12" ht="15" thickBot="1" x14ac:dyDescent="0.35">
      <c r="B267" s="25">
        <f t="shared" si="49"/>
        <v>2100</v>
      </c>
      <c r="C267" s="58">
        <f t="shared" si="47"/>
        <v>308.15059838652286</v>
      </c>
      <c r="D267" s="58">
        <f t="shared" si="48"/>
        <v>110871.09293255121</v>
      </c>
      <c r="E267" s="58" cm="1">
        <f t="array" ref="E267">$D$2*SUM( ( 0.5 * ($B$12:$B$20)  - B267 * LN( 1 - EXP( - ($B$12:$B$20) / B267 ) ) ) )</f>
        <v>167543.7205984412</v>
      </c>
      <c r="F267" s="53"/>
    </row>
    <row r="272" spans="1:12" ht="15" thickBot="1" x14ac:dyDescent="0.35">
      <c r="A272" s="5" t="s">
        <v>106</v>
      </c>
      <c r="B272" s="208" t="s">
        <v>103</v>
      </c>
      <c r="C272" s="208"/>
      <c r="D272" s="208"/>
      <c r="E272" s="208"/>
      <c r="F272" s="208"/>
      <c r="H272" s="208" t="s">
        <v>104</v>
      </c>
      <c r="I272" s="208"/>
      <c r="J272" s="208"/>
      <c r="K272" s="208"/>
      <c r="L272" s="208"/>
    </row>
    <row r="273" spans="1:12" ht="18" x14ac:dyDescent="0.3">
      <c r="A273" s="5" t="s">
        <v>99</v>
      </c>
      <c r="B273" s="94" t="s">
        <v>47</v>
      </c>
      <c r="C273" s="16" t="s">
        <v>89</v>
      </c>
      <c r="D273" s="16" t="s">
        <v>37</v>
      </c>
      <c r="E273" s="16" t="s">
        <v>38</v>
      </c>
      <c r="F273" s="16" t="s">
        <v>90</v>
      </c>
      <c r="H273" s="94" t="s">
        <v>47</v>
      </c>
      <c r="I273" s="116" t="s">
        <v>89</v>
      </c>
      <c r="J273" s="116" t="s">
        <v>37</v>
      </c>
      <c r="K273" s="116" t="s">
        <v>38</v>
      </c>
      <c r="L273" s="16" t="s">
        <v>90</v>
      </c>
    </row>
    <row r="274" spans="1:12" ht="15" thickBot="1" x14ac:dyDescent="0.35">
      <c r="B274" s="54">
        <f>298.15</f>
        <v>298.14999999999998</v>
      </c>
      <c r="C274" s="55">
        <f>3/2*$D$2 + $D$2</f>
        <v>20.786180000000002</v>
      </c>
      <c r="D274" s="55">
        <f>3/2*$D$2  + $D$2</f>
        <v>20.786180000000002</v>
      </c>
      <c r="E274" s="55" cm="1">
        <f t="array" ref="E274">$D$2*SUM( ( ($B$12:$B$20) * ($B$12:$B$20)* EXP($B$12:$B$20/B274) ) / ( B274*B274* ( EXP(( $B$12:$B$20)/B274 )  -1)^2 ) ) +   $D$2</f>
        <v>10.407068586059566</v>
      </c>
      <c r="F274" s="58" t="s">
        <v>107</v>
      </c>
      <c r="H274" s="54">
        <f>298.15</f>
        <v>298.14999999999998</v>
      </c>
      <c r="I274" s="105">
        <f>(3/2*$D$2  + $D$2)/ 4.184</f>
        <v>4.9680162523900577</v>
      </c>
      <c r="J274" s="105">
        <f>(3/2*$D$2 + $D$2) / 4.184</f>
        <v>4.9680162523900577</v>
      </c>
      <c r="K274" s="105" cm="1">
        <f t="array" ref="K274" xml:space="preserve"> ($D$2*SUM( ( ($B$12:$B$20) * ($B$12:$B$20)* EXP($B$12:$B$20/B274) ) / ( B274*B274* ( EXP(( $B$12:$B$20)/B274 )  -1)^2 ) ) +   $D$2 ) / 4.184</f>
        <v>2.4873490884463587</v>
      </c>
      <c r="L274" s="117" t="s">
        <v>107</v>
      </c>
    </row>
    <row r="275" spans="1:12" x14ac:dyDescent="0.3">
      <c r="B275" s="54">
        <f>300+100</f>
        <v>400</v>
      </c>
      <c r="C275" s="55">
        <f t="shared" ref="C275:C292" si="50">3/2*$D$2 + $D$2</f>
        <v>20.786180000000002</v>
      </c>
      <c r="D275" s="55">
        <f t="shared" ref="D275:D292" si="51">3/2*$D$2  + $D$2</f>
        <v>20.786180000000002</v>
      </c>
      <c r="E275" s="55" cm="1">
        <f t="array" ref="E275">$D$2*SUM( ( ($B$12:$B$20) * ($B$12:$B$20)* EXP($B$12:$B$20/B275) ) / ( B275*B275* ( EXP(( $B$12:$B$20)/B275 )  -1)^2 ) ) +   $D$2</f>
        <v>14.963584547912619</v>
      </c>
      <c r="H275" s="54">
        <f>300+100</f>
        <v>400</v>
      </c>
      <c r="I275" s="55">
        <f t="shared" ref="I275:I292" si="52">(3/2*$D$2  + $D$2)/ 4.184</f>
        <v>4.9680162523900577</v>
      </c>
      <c r="J275" s="55">
        <f t="shared" ref="J275:J292" si="53">(3/2*$D$2 + $D$2) / 4.184</f>
        <v>4.9680162523900577</v>
      </c>
      <c r="K275" s="55" cm="1">
        <f t="array" ref="K275" xml:space="preserve"> ($D$2*SUM( ( ($B$12:$B$20) * ($B$12:$B$20)* EXP($B$12:$B$20/B275) ) / ( B275*B275* ( EXP(( $B$12:$B$20)/B275)  -1)^2 ) ) +   $D$2 ) / 4.184</f>
        <v>3.5763825401320792</v>
      </c>
    </row>
    <row r="276" spans="1:12" x14ac:dyDescent="0.3">
      <c r="B276" s="54">
        <f t="shared" ref="B276:B292" si="54">B275+100</f>
        <v>500</v>
      </c>
      <c r="C276" s="55">
        <f t="shared" si="50"/>
        <v>20.786180000000002</v>
      </c>
      <c r="D276" s="55">
        <f t="shared" si="51"/>
        <v>20.786180000000002</v>
      </c>
      <c r="E276" s="55" cm="1">
        <f t="array" ref="E276">$D$2*SUM( ( ($B$12:$B$20) * ($B$12:$B$20)* EXP($B$12:$B$20/B276) ) / ( B276*B276* ( EXP(( $B$12:$B$20)/B276 )  -1)^2 ) ) +   $D$2</f>
        <v>20.581415077216946</v>
      </c>
      <c r="H276" s="54">
        <f t="shared" ref="H276:H292" si="55">H275+100</f>
        <v>500</v>
      </c>
      <c r="I276" s="55">
        <f t="shared" si="52"/>
        <v>4.9680162523900577</v>
      </c>
      <c r="J276" s="55">
        <f t="shared" si="53"/>
        <v>4.9680162523900577</v>
      </c>
      <c r="K276" s="55" cm="1">
        <f t="array" ref="K276" xml:space="preserve"> ($D$2*SUM( ( ($B$12:$B$20) * ($B$12:$B$20)* EXP($B$12:$B$20/B276) ) / ( B276*B276* ( EXP(( $B$12:$B$20)/B276)  -1)^2 ) ) +   $D$2 ) / 4.184</f>
        <v>4.9190762612851202</v>
      </c>
    </row>
    <row r="277" spans="1:12" x14ac:dyDescent="0.3">
      <c r="B277" s="54">
        <f t="shared" si="54"/>
        <v>600</v>
      </c>
      <c r="C277" s="55">
        <f t="shared" si="50"/>
        <v>20.786180000000002</v>
      </c>
      <c r="D277" s="55">
        <f t="shared" si="51"/>
        <v>20.786180000000002</v>
      </c>
      <c r="E277" s="55" cm="1">
        <f t="array" ref="E277">$D$2*SUM( ( ($B$12:$B$20) * ($B$12:$B$20)* EXP($B$12:$B$20/B277) ) / ( B277*B277* ( EXP(( $B$12:$B$20)/B277 )  -1)^2 ) ) +   $D$2</f>
        <v>26.290069178411812</v>
      </c>
      <c r="H277" s="54">
        <f t="shared" si="55"/>
        <v>600</v>
      </c>
      <c r="I277" s="55">
        <f t="shared" si="52"/>
        <v>4.9680162523900577</v>
      </c>
      <c r="J277" s="55">
        <f t="shared" si="53"/>
        <v>4.9680162523900577</v>
      </c>
      <c r="K277" s="55" cm="1">
        <f t="array" ref="K277" xml:space="preserve"> ($D$2*SUM( ( ($B$12:$B$20) * ($B$12:$B$20)* EXP($B$12:$B$20/B277) ) / ( B277*B277* ( EXP(( $B$12:$B$20)/B277)  -1)^2 ) ) +   $D$2 ) / 4.184</f>
        <v>6.2834773370965129</v>
      </c>
    </row>
    <row r="278" spans="1:12" x14ac:dyDescent="0.3">
      <c r="B278" s="54">
        <f t="shared" si="54"/>
        <v>700</v>
      </c>
      <c r="C278" s="55">
        <f t="shared" si="50"/>
        <v>20.786180000000002</v>
      </c>
      <c r="D278" s="55">
        <f t="shared" si="51"/>
        <v>20.786180000000002</v>
      </c>
      <c r="E278" s="55" cm="1">
        <f t="array" ref="E278">$D$2*SUM( ( ($B$12:$B$20) * ($B$12:$B$20)* EXP($B$12:$B$20/B278) ) / ( B278*B278* ( EXP(( $B$12:$B$20)/B278 )  -1)^2 ) ) +   $D$2</f>
        <v>31.711264972577318</v>
      </c>
      <c r="H278" s="54">
        <f t="shared" si="55"/>
        <v>700</v>
      </c>
      <c r="I278" s="55">
        <f t="shared" si="52"/>
        <v>4.9680162523900577</v>
      </c>
      <c r="J278" s="55">
        <f t="shared" si="53"/>
        <v>4.9680162523900577</v>
      </c>
      <c r="K278" s="55" cm="1">
        <f t="array" ref="K278" xml:space="preserve"> ($D$2*SUM( ( ($B$12:$B$20) * ($B$12:$B$20)* EXP($B$12:$B$20/B278) ) / ( B278*B278* ( EXP(( $B$12:$B$20)/B278)  -1)^2 ) ) +   $D$2 ) / 4.184</f>
        <v>7.5791742286274655</v>
      </c>
    </row>
    <row r="279" spans="1:12" x14ac:dyDescent="0.3">
      <c r="B279" s="54">
        <f t="shared" si="54"/>
        <v>800</v>
      </c>
      <c r="C279" s="55">
        <f t="shared" si="50"/>
        <v>20.786180000000002</v>
      </c>
      <c r="D279" s="55">
        <f t="shared" si="51"/>
        <v>20.786180000000002</v>
      </c>
      <c r="E279" s="55" cm="1">
        <f t="array" ref="E279">$D$2*SUM( ( ($B$12:$B$20) * ($B$12:$B$20)* EXP($B$12:$B$20/B279) ) / ( B279*B279* ( EXP(( $B$12:$B$20)/B279 )  -1)^2 ) ) +   $D$2</f>
        <v>36.73596557406718</v>
      </c>
      <c r="H279" s="54">
        <f t="shared" si="55"/>
        <v>800</v>
      </c>
      <c r="I279" s="55">
        <f t="shared" si="52"/>
        <v>4.9680162523900577</v>
      </c>
      <c r="J279" s="55">
        <f t="shared" si="53"/>
        <v>4.9680162523900577</v>
      </c>
      <c r="K279" s="55" cm="1">
        <f t="array" ref="K279" xml:space="preserve"> ($D$2*SUM( ( ($B$12:$B$20) * ($B$12:$B$20)* EXP($B$12:$B$20/B279) ) / ( B279*B279* ( EXP(( $B$12:$B$20)/B279)  -1)^2 ) ) +   $D$2 ) / 4.184</f>
        <v>8.7801064947579306</v>
      </c>
    </row>
    <row r="280" spans="1:12" x14ac:dyDescent="0.3">
      <c r="B280" s="54">
        <f t="shared" si="54"/>
        <v>900</v>
      </c>
      <c r="C280" s="55">
        <f t="shared" si="50"/>
        <v>20.786180000000002</v>
      </c>
      <c r="D280" s="55">
        <f t="shared" si="51"/>
        <v>20.786180000000002</v>
      </c>
      <c r="E280" s="55" cm="1">
        <f t="array" ref="E280">$D$2*SUM( ( ($B$12:$B$20) * ($B$12:$B$20)* EXP($B$12:$B$20/B280) ) / ( B280*B280* ( EXP(( $B$12:$B$20)/B280 )  -1)^2 ) ) +   $D$2</f>
        <v>41.331323112390173</v>
      </c>
      <c r="H280" s="54">
        <f t="shared" si="55"/>
        <v>900</v>
      </c>
      <c r="I280" s="55">
        <f t="shared" si="52"/>
        <v>4.9680162523900577</v>
      </c>
      <c r="J280" s="55">
        <f t="shared" si="53"/>
        <v>4.9680162523900577</v>
      </c>
      <c r="K280" s="55" cm="1">
        <f t="array" ref="K280" xml:space="preserve"> ($D$2*SUM( ( ($B$12:$B$20) * ($B$12:$B$20)* EXP($B$12:$B$20/B280) ) / ( B280*B280* ( EXP(( $B$12:$B$20)/B280)  -1)^2 ) ) +   $D$2 ) / 4.184</f>
        <v>9.8784233060205953</v>
      </c>
    </row>
    <row r="281" spans="1:12" x14ac:dyDescent="0.3">
      <c r="B281" s="54">
        <f t="shared" si="54"/>
        <v>1000</v>
      </c>
      <c r="C281" s="55">
        <f t="shared" si="50"/>
        <v>20.786180000000002</v>
      </c>
      <c r="D281" s="55">
        <f t="shared" si="51"/>
        <v>20.786180000000002</v>
      </c>
      <c r="E281" s="55" cm="1">
        <f t="array" ref="E281">$D$2*SUM( ( ($B$12:$B$20) * ($B$12:$B$20)* EXP($B$12:$B$20/B281) ) / ( B281*B281* ( EXP(( $B$12:$B$20)/B281 )  -1)^2 ) ) +   $D$2</f>
        <v>45.490142256191987</v>
      </c>
      <c r="H281" s="54">
        <f t="shared" si="55"/>
        <v>1000</v>
      </c>
      <c r="I281" s="55">
        <f t="shared" si="52"/>
        <v>4.9680162523900577</v>
      </c>
      <c r="J281" s="55">
        <f t="shared" si="53"/>
        <v>4.9680162523900577</v>
      </c>
      <c r="K281" s="55" cm="1">
        <f t="array" ref="K281" xml:space="preserve"> ($D$2*SUM( ( ($B$12:$B$20) * ($B$12:$B$20)* EXP($B$12:$B$20/B281) ) / ( B281*B281* ( EXP(( $B$12:$B$20)/B281)  -1)^2 ) ) +   $D$2 ) / 4.184</f>
        <v>10.872404936948371</v>
      </c>
    </row>
    <row r="282" spans="1:12" x14ac:dyDescent="0.3">
      <c r="B282" s="54">
        <f t="shared" si="54"/>
        <v>1100</v>
      </c>
      <c r="C282" s="55">
        <f t="shared" si="50"/>
        <v>20.786180000000002</v>
      </c>
      <c r="D282" s="55">
        <f t="shared" si="51"/>
        <v>20.786180000000002</v>
      </c>
      <c r="E282" s="55" cm="1">
        <f t="array" ref="E282">$D$2*SUM( ( ($B$12:$B$20) * ($B$12:$B$20)* EXP($B$12:$B$20/B282) ) / ( B282*B282* ( EXP(( $B$12:$B$20)/B282 )  -1)^2 ) ) +   $D$2</f>
        <v>49.22166732962026</v>
      </c>
      <c r="H282" s="54">
        <f t="shared" si="55"/>
        <v>1100</v>
      </c>
      <c r="I282" s="55">
        <f t="shared" si="52"/>
        <v>4.9680162523900577</v>
      </c>
      <c r="J282" s="55">
        <f t="shared" si="53"/>
        <v>4.9680162523900577</v>
      </c>
      <c r="K282" s="55" cm="1">
        <f t="array" ref="K282" xml:space="preserve"> ($D$2*SUM( ( ($B$12:$B$20) * ($B$12:$B$20)* EXP($B$12:$B$20/B282) ) / ( B282*B282* ( EXP(( $B$12:$B$20)/B282)  -1)^2 ) ) +   $D$2 ) / 4.184</f>
        <v>11.764260834039259</v>
      </c>
    </row>
    <row r="283" spans="1:12" x14ac:dyDescent="0.3">
      <c r="B283" s="54">
        <f t="shared" si="54"/>
        <v>1200</v>
      </c>
      <c r="C283" s="55">
        <f t="shared" si="50"/>
        <v>20.786180000000002</v>
      </c>
      <c r="D283" s="55">
        <f t="shared" si="51"/>
        <v>20.786180000000002</v>
      </c>
      <c r="E283" s="55" cm="1">
        <f t="array" ref="E283">$D$2*SUM( ( ($B$12:$B$20) * ($B$12:$B$20)* EXP($B$12:$B$20/B283) ) / ( B283*B283* ( EXP(( $B$12:$B$20)/B283 )  -1)^2 ) ) +   $D$2</f>
        <v>52.548026008077237</v>
      </c>
      <c r="H283" s="54">
        <f t="shared" si="55"/>
        <v>1200</v>
      </c>
      <c r="I283" s="55">
        <f t="shared" si="52"/>
        <v>4.9680162523900577</v>
      </c>
      <c r="J283" s="55">
        <f t="shared" si="53"/>
        <v>4.9680162523900577</v>
      </c>
      <c r="K283" s="55" cm="1">
        <f t="array" ref="K283" xml:space="preserve"> ($D$2*SUM( ( ($B$12:$B$20) * ($B$12:$B$20)* EXP($B$12:$B$20/B283) ) / ( B283*B283* ( EXP(( $B$12:$B$20)/B283)  -1)^2 ) ) +   $D$2 ) / 4.184</f>
        <v>12.559279638641787</v>
      </c>
    </row>
    <row r="284" spans="1:12" x14ac:dyDescent="0.3">
      <c r="B284" s="54">
        <f t="shared" si="54"/>
        <v>1300</v>
      </c>
      <c r="C284" s="55">
        <f t="shared" si="50"/>
        <v>20.786180000000002</v>
      </c>
      <c r="D284" s="55">
        <f t="shared" si="51"/>
        <v>20.786180000000002</v>
      </c>
      <c r="E284" s="55" cm="1">
        <f t="array" ref="E284">$D$2*SUM( ( ($B$12:$B$20) * ($B$12:$B$20)* EXP($B$12:$B$20/B284) ) / ( B284*B284* ( EXP(( $B$12:$B$20)/B284 )  -1)^2 ) ) +   $D$2</f>
        <v>55.50004626873509</v>
      </c>
      <c r="H284" s="54">
        <f t="shared" si="55"/>
        <v>1300</v>
      </c>
      <c r="I284" s="55">
        <f t="shared" si="52"/>
        <v>4.9680162523900577</v>
      </c>
      <c r="J284" s="55">
        <f t="shared" si="53"/>
        <v>4.9680162523900577</v>
      </c>
      <c r="K284" s="55" cm="1">
        <f t="array" ref="K284" xml:space="preserve"> ($D$2*SUM( ( ($B$12:$B$20) * ($B$12:$B$20)* EXP($B$12:$B$20/B284) ) / ( B284*B284* ( EXP(( $B$12:$B$20)/B284)  -1)^2 ) ) +   $D$2 ) / 4.184</f>
        <v>13.264829414133626</v>
      </c>
    </row>
    <row r="285" spans="1:12" x14ac:dyDescent="0.3">
      <c r="B285" s="54">
        <f t="shared" si="54"/>
        <v>1400</v>
      </c>
      <c r="C285" s="55">
        <f t="shared" si="50"/>
        <v>20.786180000000002</v>
      </c>
      <c r="D285" s="55">
        <f t="shared" si="51"/>
        <v>20.786180000000002</v>
      </c>
      <c r="E285" s="55" cm="1">
        <f t="array" ref="E285">$D$2*SUM( ( ($B$12:$B$20) * ($B$12:$B$20)* EXP($B$12:$B$20/B285) ) / ( B285*B285* ( EXP(( $B$12:$B$20)/B285 )  -1)^2 ) ) +   $D$2</f>
        <v>58.113027995901078</v>
      </c>
      <c r="H285" s="54">
        <f t="shared" si="55"/>
        <v>1400</v>
      </c>
      <c r="I285" s="55">
        <f t="shared" si="52"/>
        <v>4.9680162523900577</v>
      </c>
      <c r="J285" s="55">
        <f t="shared" si="53"/>
        <v>4.9680162523900577</v>
      </c>
      <c r="K285" s="55" cm="1">
        <f t="array" ref="K285" xml:space="preserve"> ($D$2*SUM( ( ($B$12:$B$20) * ($B$12:$B$20)* EXP($B$12:$B$20/B285) ) / ( B285*B285* ( EXP(( $B$12:$B$20)/B285)  -1)^2 ) ) +   $D$2 ) / 4.184</f>
        <v>13.889347035349205</v>
      </c>
    </row>
    <row r="286" spans="1:12" x14ac:dyDescent="0.3">
      <c r="B286" s="54">
        <f t="shared" si="54"/>
        <v>1500</v>
      </c>
      <c r="C286" s="55">
        <f t="shared" si="50"/>
        <v>20.786180000000002</v>
      </c>
      <c r="D286" s="55">
        <f t="shared" si="51"/>
        <v>20.786180000000002</v>
      </c>
      <c r="E286" s="55" cm="1">
        <f t="array" ref="E286">$D$2*SUM( ( ($B$12:$B$20) * ($B$12:$B$20)* EXP($B$12:$B$20/B286) ) / ( B286*B286* ( EXP(( $B$12:$B$20)/B286 )  -1)^2 ) ) +   $D$2</f>
        <v>60.423359094699713</v>
      </c>
      <c r="H286" s="54">
        <f t="shared" si="55"/>
        <v>1500</v>
      </c>
      <c r="I286" s="55">
        <f t="shared" si="52"/>
        <v>4.9680162523900577</v>
      </c>
      <c r="J286" s="55">
        <f t="shared" si="53"/>
        <v>4.9680162523900577</v>
      </c>
      <c r="K286" s="55" cm="1">
        <f t="array" ref="K286" xml:space="preserve"> ($D$2*SUM( ( ($B$12:$B$20) * ($B$12:$B$20)* EXP($B$12:$B$20/B286) ) / ( B286*B286* ( EXP(( $B$12:$B$20)/B286)  -1)^2 ) ) +   $D$2 ) / 4.184</f>
        <v>14.441529420339318</v>
      </c>
    </row>
    <row r="287" spans="1:12" x14ac:dyDescent="0.3">
      <c r="B287" s="54">
        <f t="shared" si="54"/>
        <v>1600</v>
      </c>
      <c r="C287" s="55">
        <f t="shared" si="50"/>
        <v>20.786180000000002</v>
      </c>
      <c r="D287" s="55">
        <f t="shared" si="51"/>
        <v>20.786180000000002</v>
      </c>
      <c r="E287" s="55" cm="1">
        <f t="array" ref="E287">$D$2*SUM( ( ($B$12:$B$20) * ($B$12:$B$20)* EXP($B$12:$B$20/B287) ) / ( B287*B287* ( EXP(( $B$12:$B$20)/B287 )  -1)^2 ) ) +   $D$2</f>
        <v>62.466228797291123</v>
      </c>
      <c r="H287" s="54">
        <f t="shared" si="55"/>
        <v>1600</v>
      </c>
      <c r="I287" s="55">
        <f t="shared" si="52"/>
        <v>4.9680162523900577</v>
      </c>
      <c r="J287" s="55">
        <f t="shared" si="53"/>
        <v>4.9680162523900577</v>
      </c>
      <c r="K287" s="55" cm="1">
        <f t="array" ref="K287" xml:space="preserve"> ($D$2*SUM( ( ($B$12:$B$20) * ($B$12:$B$20)* EXP($B$12:$B$20/B287) ) / ( B287*B287* ( EXP(( $B$12:$B$20)/B287)  -1)^2 ) ) +   $D$2 ) / 4.184</f>
        <v>14.929786997440516</v>
      </c>
    </row>
    <row r="288" spans="1:12" x14ac:dyDescent="0.3">
      <c r="B288" s="54">
        <f t="shared" si="54"/>
        <v>1700</v>
      </c>
      <c r="C288" s="55">
        <f t="shared" si="50"/>
        <v>20.786180000000002</v>
      </c>
      <c r="D288" s="55">
        <f t="shared" si="51"/>
        <v>20.786180000000002</v>
      </c>
      <c r="E288" s="55" cm="1">
        <f t="array" ref="E288">$D$2*SUM( ( ($B$12:$B$20) * ($B$12:$B$20)* EXP($B$12:$B$20/B288) ) / ( B288*B288* ( EXP(( $B$12:$B$20)/B288 )  -1)^2 ) ) +   $D$2</f>
        <v>64.274299553294526</v>
      </c>
      <c r="H288" s="54">
        <f t="shared" si="55"/>
        <v>1700</v>
      </c>
      <c r="I288" s="55">
        <f t="shared" si="52"/>
        <v>4.9680162523900577</v>
      </c>
      <c r="J288" s="55">
        <f t="shared" si="53"/>
        <v>4.9680162523900577</v>
      </c>
      <c r="K288" s="55" cm="1">
        <f t="array" ref="K288" xml:space="preserve"> ($D$2*SUM( ( ($B$12:$B$20) * ($B$12:$B$20)* EXP($B$12:$B$20/B288) ) / ( B288*B288* ( EXP(( $B$12:$B$20)/B288)  -1)^2 ) ) +   $D$2 ) / 4.184</f>
        <v>15.361926279468099</v>
      </c>
    </row>
    <row r="289" spans="2:12" x14ac:dyDescent="0.3">
      <c r="B289" s="54">
        <f t="shared" si="54"/>
        <v>1800</v>
      </c>
      <c r="C289" s="55">
        <f t="shared" si="50"/>
        <v>20.786180000000002</v>
      </c>
      <c r="D289" s="55">
        <f t="shared" si="51"/>
        <v>20.786180000000002</v>
      </c>
      <c r="E289" s="55" cm="1">
        <f t="array" ref="E289">$D$2*SUM( ( ($B$12:$B$20) * ($B$12:$B$20)* EXP($B$12:$B$20/B289) ) / ( B289*B289* ( EXP(( $B$12:$B$20)/B289 )  -1)^2 ) ) +   $D$2</f>
        <v>65.87707895058324</v>
      </c>
      <c r="H289" s="54">
        <f t="shared" si="55"/>
        <v>1800</v>
      </c>
      <c r="I289" s="55">
        <f t="shared" si="52"/>
        <v>4.9680162523900577</v>
      </c>
      <c r="J289" s="55">
        <f t="shared" si="53"/>
        <v>4.9680162523900577</v>
      </c>
      <c r="K289" s="55" cm="1">
        <f t="array" ref="K289" xml:space="preserve"> ($D$2*SUM( ( ($B$12:$B$20) * ($B$12:$B$20)* EXP($B$12:$B$20/B289) ) / ( B289*B289* ( EXP(( $B$12:$B$20)/B289)  -1)^2 ) ) +   $D$2 ) / 4.184</f>
        <v>15.744999749183375</v>
      </c>
    </row>
    <row r="290" spans="2:12" x14ac:dyDescent="0.3">
      <c r="B290" s="54">
        <f t="shared" si="54"/>
        <v>1900</v>
      </c>
      <c r="C290" s="55">
        <f t="shared" si="50"/>
        <v>20.786180000000002</v>
      </c>
      <c r="D290" s="55">
        <f t="shared" si="51"/>
        <v>20.786180000000002</v>
      </c>
      <c r="E290" s="55" cm="1">
        <f t="array" ref="E290">$D$2*SUM( ( ($B$12:$B$20) * ($B$12:$B$20)* EXP($B$12:$B$20/B290) ) / ( B290*B290* ( EXP(( $B$12:$B$20)/B290 )  -1)^2 ) ) +   $D$2</f>
        <v>67.3007480684104</v>
      </c>
      <c r="H290" s="54">
        <f t="shared" si="55"/>
        <v>1900</v>
      </c>
      <c r="I290" s="55">
        <f t="shared" si="52"/>
        <v>4.9680162523900577</v>
      </c>
      <c r="J290" s="55">
        <f t="shared" si="53"/>
        <v>4.9680162523900577</v>
      </c>
      <c r="K290" s="55" cm="1">
        <f t="array" ref="K290" xml:space="preserve"> ($D$2*SUM( ( ($B$12:$B$20) * ($B$12:$B$20)* EXP($B$12:$B$20/B290) ) / ( B290*B290* ( EXP(( $B$12:$B$20)/B290)  -1)^2 ) ) +   $D$2 ) / 4.184</f>
        <v>16.085264834706116</v>
      </c>
    </row>
    <row r="291" spans="2:12" x14ac:dyDescent="0.3">
      <c r="B291" s="54">
        <f t="shared" si="54"/>
        <v>2000</v>
      </c>
      <c r="C291" s="55">
        <f t="shared" si="50"/>
        <v>20.786180000000002</v>
      </c>
      <c r="D291" s="55">
        <f t="shared" si="51"/>
        <v>20.786180000000002</v>
      </c>
      <c r="E291" s="55" cm="1">
        <f t="array" ref="E291">$D$2*SUM( ( ($B$12:$B$20) * ($B$12:$B$20)* EXP($B$12:$B$20/B291) ) / ( B291*B291* ( EXP(( $B$12:$B$20)/B291 )  -1)^2 ) ) +   $D$2</f>
        <v>68.568260340549102</v>
      </c>
      <c r="H291" s="54">
        <f t="shared" si="55"/>
        <v>2000</v>
      </c>
      <c r="I291" s="55">
        <f t="shared" si="52"/>
        <v>4.9680162523900577</v>
      </c>
      <c r="J291" s="55">
        <f t="shared" si="53"/>
        <v>4.9680162523900577</v>
      </c>
      <c r="K291" s="55" cm="1">
        <f t="array" ref="K291" xml:space="preserve"> ($D$2*SUM( ( ($B$12:$B$20) * ($B$12:$B$20)* EXP($B$12:$B$20/B291) ) / ( B291*B291* ( EXP(( $B$12:$B$20)/B291)  -1)^2 ) ) +   $D$2 ) / 4.184</f>
        <v>16.388207538372157</v>
      </c>
    </row>
    <row r="292" spans="2:12" ht="15" thickBot="1" x14ac:dyDescent="0.35">
      <c r="B292" s="25">
        <f t="shared" si="54"/>
        <v>2100</v>
      </c>
      <c r="C292" s="58">
        <f t="shared" si="50"/>
        <v>20.786180000000002</v>
      </c>
      <c r="D292" s="58">
        <f t="shared" si="51"/>
        <v>20.786180000000002</v>
      </c>
      <c r="E292" s="58" cm="1">
        <f t="array" ref="E292">$D$2*SUM( ( ($B$12:$B$20) * ($B$12:$B$20)* EXP($B$12:$B$20/B292) ) / ( B292*B292* ( EXP(( $B$12:$B$20)/B292 )  -1)^2 ) ) +   $D$2</f>
        <v>69.699583774140848</v>
      </c>
      <c r="F292" s="53"/>
      <c r="H292" s="25">
        <f t="shared" si="55"/>
        <v>2100</v>
      </c>
      <c r="I292" s="58">
        <f t="shared" si="52"/>
        <v>4.9680162523900577</v>
      </c>
      <c r="J292" s="58">
        <f t="shared" si="53"/>
        <v>4.9680162523900577</v>
      </c>
      <c r="K292" s="58" cm="1">
        <f t="array" ref="K292" xml:space="preserve"> ($D$2*SUM( ( ($B$12:$B$20) * ($B$12:$B$20)* EXP($B$12:$B$20/B292) ) / ( B292*B292* ( EXP(( $B$12:$B$20)/B292)  -1)^2 ) ) +   $D$2 ) / 4.184</f>
        <v>16.658600328427543</v>
      </c>
      <c r="L292" s="53"/>
    </row>
  </sheetData>
  <mergeCells count="14">
    <mergeCell ref="B272:F272"/>
    <mergeCell ref="H272:L272"/>
    <mergeCell ref="D52:W52"/>
    <mergeCell ref="B174:F174"/>
    <mergeCell ref="H174:K174"/>
    <mergeCell ref="M177:N177"/>
    <mergeCell ref="M178:N178"/>
    <mergeCell ref="B200:F200"/>
    <mergeCell ref="H200:L200"/>
    <mergeCell ref="M204:N204"/>
    <mergeCell ref="M205:N205"/>
    <mergeCell ref="B224:F224"/>
    <mergeCell ref="H224:L224"/>
    <mergeCell ref="M228:N2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4600A-D801-4153-A00E-D38092A5FAA0}">
  <dimension ref="A1:W292"/>
  <sheetViews>
    <sheetView workbookViewId="0">
      <selection activeCell="B131" sqref="B131"/>
    </sheetView>
  </sheetViews>
  <sheetFormatPr defaultRowHeight="14.4" x14ac:dyDescent="0.3"/>
  <cols>
    <col min="1" max="1" width="29.88671875" style="5" bestFit="1" customWidth="1"/>
    <col min="2" max="2" width="16.5546875" style="5" bestFit="1" customWidth="1"/>
    <col min="3" max="3" width="14.6640625" style="5" bestFit="1" customWidth="1"/>
    <col min="4" max="4" width="29.88671875" style="5" bestFit="1" customWidth="1"/>
    <col min="5" max="5" width="14.6640625" style="5" bestFit="1" customWidth="1"/>
    <col min="6" max="6" width="19.44140625" style="5" bestFit="1" customWidth="1"/>
    <col min="7" max="7" width="16" style="5" bestFit="1" customWidth="1"/>
    <col min="8" max="8" width="19.21875" style="5" bestFit="1" customWidth="1"/>
    <col min="9" max="9" width="16.77734375" style="5" bestFit="1" customWidth="1"/>
    <col min="10" max="10" width="20.33203125" style="5" bestFit="1" customWidth="1"/>
    <col min="11" max="11" width="21.109375" style="5" bestFit="1" customWidth="1"/>
    <col min="12" max="12" width="15.21875" style="5" bestFit="1" customWidth="1"/>
    <col min="13" max="14" width="20.33203125" style="5" bestFit="1" customWidth="1"/>
    <col min="15" max="15" width="14.77734375" style="5" bestFit="1" customWidth="1"/>
    <col min="16" max="16" width="8.88671875" style="5"/>
    <col min="17" max="17" width="12.33203125" style="5" customWidth="1"/>
    <col min="18" max="18" width="12.77734375" style="5" bestFit="1" customWidth="1"/>
    <col min="19" max="19" width="16" style="5" bestFit="1" customWidth="1"/>
    <col min="20" max="16384" width="8.88671875" style="5"/>
  </cols>
  <sheetData>
    <row r="1" spans="1:2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4" t="s">
        <v>11</v>
      </c>
    </row>
    <row r="2" spans="1:21" ht="15" thickBot="1" x14ac:dyDescent="0.35">
      <c r="A2" s="6">
        <v>1.3805999999999999E-23</v>
      </c>
      <c r="B2" s="7">
        <v>3.1415899999999999</v>
      </c>
      <c r="C2" s="7">
        <v>6.626068E-34</v>
      </c>
      <c r="D2" s="7">
        <v>8.3144720000000003</v>
      </c>
      <c r="E2" s="8">
        <f>15.02348*1.66E-27</f>
        <v>2.4938976799999998E-26</v>
      </c>
      <c r="F2" s="7">
        <v>6.0221407599999999E+23</v>
      </c>
      <c r="G2" s="7">
        <f>((2*$E$2*$B$2*$A$2*$H$2)/($C$2*$C$2))^1.5</f>
        <v>5.6308448049818318E+31</v>
      </c>
      <c r="H2" s="8">
        <f>298.15</f>
        <v>298.14999999999998</v>
      </c>
      <c r="I2" s="9">
        <v>29979300000</v>
      </c>
      <c r="J2" s="10">
        <v>101325</v>
      </c>
      <c r="K2" s="9">
        <f>(E2*1000)/15.02348</f>
        <v>1.6600000000000001E-24</v>
      </c>
      <c r="L2" s="10">
        <f>F2*K2</f>
        <v>0.99967536616000008</v>
      </c>
    </row>
    <row r="3" spans="1:21" ht="15" thickBot="1" x14ac:dyDescent="0.35"/>
    <row r="4" spans="1:21" ht="15" thickBot="1" x14ac:dyDescent="0.35">
      <c r="E4" s="11" t="s">
        <v>12</v>
      </c>
      <c r="F4" s="12" t="s">
        <v>13</v>
      </c>
      <c r="G4" s="13" t="s">
        <v>14</v>
      </c>
      <c r="I4" s="11" t="s">
        <v>15</v>
      </c>
      <c r="J4" s="12" t="s">
        <v>16</v>
      </c>
      <c r="K4" s="12" t="s">
        <v>17</v>
      </c>
      <c r="L4" s="14" t="s">
        <v>18</v>
      </c>
    </row>
    <row r="5" spans="1:21" ht="16.8" thickBot="1" x14ac:dyDescent="0.35">
      <c r="B5" s="15" t="s">
        <v>19</v>
      </c>
      <c r="D5" s="16" t="s">
        <v>20</v>
      </c>
      <c r="E5" s="17">
        <v>6.3258400000000004</v>
      </c>
      <c r="F5" s="18">
        <v>6.3322599999999998</v>
      </c>
      <c r="G5" s="19">
        <v>12.65809</v>
      </c>
      <c r="I5" s="20">
        <v>2.9814E-2</v>
      </c>
      <c r="J5" s="21">
        <f>I5*627.509474</f>
        <v>18.708567457835997</v>
      </c>
      <c r="K5" s="21">
        <f>I5*4.35974E-18</f>
        <v>1.2998128835999999E-19</v>
      </c>
      <c r="L5" s="22">
        <f>(2*K5)/(C2)</f>
        <v>392333095162923.13</v>
      </c>
    </row>
    <row r="6" spans="1:21" ht="16.8" thickBot="1" x14ac:dyDescent="0.35">
      <c r="A6" s="23" t="s">
        <v>21</v>
      </c>
      <c r="B6" s="24">
        <v>6</v>
      </c>
      <c r="D6" s="25" t="s">
        <v>22</v>
      </c>
      <c r="E6" s="26">
        <f>E5*1.66E-47</f>
        <v>1.0500894400000001E-46</v>
      </c>
      <c r="F6" s="27">
        <f t="shared" ref="F6:G6" si="0">F5*1.66E-47</f>
        <v>1.05115516E-46</v>
      </c>
      <c r="G6" s="28">
        <f t="shared" si="0"/>
        <v>2.1012429399999999E-46</v>
      </c>
      <c r="U6" s="29"/>
    </row>
    <row r="7" spans="1:21" ht="15" thickBot="1" x14ac:dyDescent="0.35">
      <c r="U7" s="29"/>
    </row>
    <row r="8" spans="1:21" ht="15" thickBot="1" x14ac:dyDescent="0.35">
      <c r="A8" s="5" t="s">
        <v>23</v>
      </c>
      <c r="D8" s="23" t="s">
        <v>24</v>
      </c>
      <c r="E8" s="17">
        <v>285.29685000000001</v>
      </c>
      <c r="F8" s="18">
        <v>285.00763000000001</v>
      </c>
      <c r="G8" s="19">
        <v>142.5761</v>
      </c>
      <c r="I8" s="29"/>
      <c r="U8" s="29"/>
    </row>
    <row r="9" spans="1:21" ht="15" thickBot="1" x14ac:dyDescent="0.35">
      <c r="E9" s="26">
        <f>E8*1000000000</f>
        <v>285296850000</v>
      </c>
      <c r="F9" s="27">
        <f>F8*1000000000</f>
        <v>285007630000</v>
      </c>
      <c r="G9" s="28">
        <f>G8*1000000000</f>
        <v>142576100000</v>
      </c>
    </row>
    <row r="10" spans="1:21" ht="15" customHeight="1" thickBot="1" x14ac:dyDescent="0.35"/>
    <row r="11" spans="1:21" ht="15" customHeight="1" thickBot="1" x14ac:dyDescent="0.35">
      <c r="D11" s="30" t="s">
        <v>25</v>
      </c>
      <c r="E11" s="31">
        <v>13.692069999999999</v>
      </c>
      <c r="F11" s="31">
        <v>13.678190000000001</v>
      </c>
      <c r="G11" s="32">
        <v>6.8425700000000003</v>
      </c>
    </row>
    <row r="12" spans="1:21" ht="27" customHeight="1" x14ac:dyDescent="0.3">
      <c r="A12" s="33" t="s">
        <v>26</v>
      </c>
      <c r="B12" s="34">
        <v>757.54</v>
      </c>
    </row>
    <row r="13" spans="1:21" ht="15" thickBot="1" x14ac:dyDescent="0.35">
      <c r="A13" s="35"/>
      <c r="B13" s="36">
        <v>2032.42</v>
      </c>
      <c r="S13" s="29"/>
      <c r="T13" s="29"/>
    </row>
    <row r="14" spans="1:21" ht="15.6" x14ac:dyDescent="0.3">
      <c r="A14" s="35"/>
      <c r="B14" s="36">
        <v>2032.7</v>
      </c>
      <c r="D14" s="37" t="s">
        <v>27</v>
      </c>
      <c r="E14" s="118"/>
      <c r="F14" s="119" t="s">
        <v>28</v>
      </c>
      <c r="G14" s="119" t="s">
        <v>29</v>
      </c>
      <c r="H14" s="120" t="s">
        <v>30</v>
      </c>
    </row>
    <row r="15" spans="1:21" x14ac:dyDescent="0.3">
      <c r="A15" s="35"/>
      <c r="B15" s="36">
        <v>4495.1099999999997</v>
      </c>
      <c r="E15" s="121"/>
      <c r="F15" s="122" t="s">
        <v>31</v>
      </c>
      <c r="G15" s="122" t="s">
        <v>32</v>
      </c>
      <c r="H15" s="123" t="s">
        <v>32</v>
      </c>
    </row>
    <row r="16" spans="1:21" x14ac:dyDescent="0.3">
      <c r="A16" s="35"/>
      <c r="B16" s="36">
        <v>4754.21</v>
      </c>
      <c r="E16" s="121" t="s">
        <v>33</v>
      </c>
      <c r="F16" s="124">
        <v>20.623999999999999</v>
      </c>
      <c r="G16" s="124">
        <v>7.3559999999999999</v>
      </c>
      <c r="H16" s="125">
        <v>50.066000000000003</v>
      </c>
    </row>
    <row r="17" spans="1:10" ht="15" thickBot="1" x14ac:dyDescent="0.35">
      <c r="A17" s="26"/>
      <c r="B17" s="28">
        <v>4757.18</v>
      </c>
      <c r="E17" s="121" t="s">
        <v>34</v>
      </c>
      <c r="F17" s="124">
        <v>0</v>
      </c>
      <c r="G17" s="124">
        <v>0</v>
      </c>
      <c r="H17" s="125">
        <v>1.377</v>
      </c>
    </row>
    <row r="18" spans="1:10" x14ac:dyDescent="0.3">
      <c r="E18" s="121" t="s">
        <v>36</v>
      </c>
      <c r="F18" s="124">
        <v>0.88900000000000001</v>
      </c>
      <c r="G18" s="124">
        <v>2.9809999999999999</v>
      </c>
      <c r="H18" s="125">
        <v>34.067999999999998</v>
      </c>
    </row>
    <row r="19" spans="1:10" x14ac:dyDescent="0.3">
      <c r="A19" s="29"/>
      <c r="E19" s="121" t="s">
        <v>37</v>
      </c>
      <c r="F19" s="124">
        <v>0.88900000000000001</v>
      </c>
      <c r="G19" s="124">
        <v>2.9809999999999999</v>
      </c>
      <c r="H19" s="125">
        <v>13.992000000000001</v>
      </c>
    </row>
    <row r="20" spans="1:10" x14ac:dyDescent="0.3">
      <c r="E20" s="121" t="s">
        <v>38</v>
      </c>
      <c r="F20" s="124">
        <v>18.846</v>
      </c>
      <c r="G20" s="124">
        <v>1.3939999999999999</v>
      </c>
      <c r="H20" s="125">
        <v>0.629</v>
      </c>
    </row>
    <row r="21" spans="1:10" ht="15" thickBot="1" x14ac:dyDescent="0.35">
      <c r="E21" s="126" t="s">
        <v>108</v>
      </c>
      <c r="F21" s="127">
        <v>0.88100000000000001</v>
      </c>
      <c r="G21" s="127">
        <v>1.1910000000000001</v>
      </c>
      <c r="H21" s="128">
        <v>0.59499999999999997</v>
      </c>
    </row>
    <row r="22" spans="1:10" x14ac:dyDescent="0.3">
      <c r="G22" s="121"/>
      <c r="H22" s="123" t="s">
        <v>39</v>
      </c>
    </row>
    <row r="23" spans="1:10" x14ac:dyDescent="0.3">
      <c r="G23" s="121" t="s">
        <v>109</v>
      </c>
      <c r="H23" s="129">
        <v>2.45499E-5</v>
      </c>
      <c r="J23"/>
    </row>
    <row r="24" spans="1:10" x14ac:dyDescent="0.3">
      <c r="G24" s="121" t="s">
        <v>110</v>
      </c>
      <c r="H24" s="129">
        <v>1269430000</v>
      </c>
    </row>
    <row r="25" spans="1:10" x14ac:dyDescent="0.3">
      <c r="G25" s="121" t="s">
        <v>111</v>
      </c>
      <c r="H25" s="129">
        <v>2.1039700000000001E-14</v>
      </c>
    </row>
    <row r="26" spans="1:10" x14ac:dyDescent="0.3">
      <c r="G26" s="121" t="s">
        <v>112</v>
      </c>
      <c r="H26" s="129">
        <v>0.30473299999999998</v>
      </c>
      <c r="I26" s="5" t="s">
        <v>44</v>
      </c>
    </row>
    <row r="27" spans="1:10" x14ac:dyDescent="0.3">
      <c r="G27" s="121" t="s">
        <v>113</v>
      </c>
      <c r="H27" s="129">
        <v>1.0879300000000001</v>
      </c>
      <c r="I27" s="50"/>
    </row>
    <row r="28" spans="1:10" x14ac:dyDescent="0.3">
      <c r="G28" s="121" t="s">
        <v>114</v>
      </c>
      <c r="H28" s="129">
        <v>1.0855399999999999</v>
      </c>
      <c r="I28" s="50"/>
    </row>
    <row r="29" spans="1:10" x14ac:dyDescent="0.3">
      <c r="G29" s="121" t="s">
        <v>115</v>
      </c>
      <c r="H29" s="129">
        <v>2</v>
      </c>
      <c r="I29" s="50"/>
    </row>
    <row r="30" spans="1:10" ht="15" thickBot="1" x14ac:dyDescent="0.35">
      <c r="G30" s="121" t="s">
        <v>116</v>
      </c>
      <c r="H30" s="129">
        <v>2288820</v>
      </c>
    </row>
    <row r="31" spans="1:10" ht="16.8" thickBot="1" x14ac:dyDescent="0.35">
      <c r="A31" s="17" t="s">
        <v>45</v>
      </c>
      <c r="B31" s="18" t="s">
        <v>46</v>
      </c>
      <c r="C31" s="52" t="s">
        <v>47</v>
      </c>
      <c r="D31" s="52" t="s">
        <v>48</v>
      </c>
      <c r="E31" s="16" t="s">
        <v>49</v>
      </c>
      <c r="G31" s="126" t="s">
        <v>117</v>
      </c>
      <c r="H31" s="130">
        <v>254.899</v>
      </c>
    </row>
    <row r="32" spans="1:10" ht="15" x14ac:dyDescent="0.35">
      <c r="A32" s="35">
        <v>526.5172</v>
      </c>
      <c r="B32" s="53">
        <f t="shared" ref="B32:B37" si="1">A32*$I$2</f>
        <v>15784617093960</v>
      </c>
      <c r="C32" s="54">
        <f>298.15</f>
        <v>298.14999999999998</v>
      </c>
      <c r="D32" s="55">
        <f>($A$2*C32)/$J$2</f>
        <v>4.062431680236861E-26</v>
      </c>
      <c r="E32" s="56">
        <f>$F$2*($F$83*D32)/($D$2*C32)</f>
        <v>0.99996338110898686</v>
      </c>
      <c r="G32" s="131"/>
    </row>
    <row r="33" spans="1:6" ht="15" x14ac:dyDescent="0.35">
      <c r="A33" s="35">
        <v>1412.6034</v>
      </c>
      <c r="B33" s="53">
        <f t="shared" si="1"/>
        <v>42348861109620</v>
      </c>
      <c r="C33" s="54">
        <f>300+100</f>
        <v>400</v>
      </c>
      <c r="D33" s="55">
        <f t="shared" ref="D33:D50" si="2">($A$2*C33)/$J$2</f>
        <v>5.4501850481125095E-26</v>
      </c>
      <c r="E33" s="56">
        <f>$F$2*($F$83*D33)/($D$2*C33)</f>
        <v>0.99996338110898686</v>
      </c>
      <c r="F33" s="131"/>
    </row>
    <row r="34" spans="1:6" x14ac:dyDescent="0.3">
      <c r="A34" s="35">
        <v>1412.7972</v>
      </c>
      <c r="B34" s="53">
        <f t="shared" si="1"/>
        <v>42354671097960</v>
      </c>
      <c r="C34" s="54">
        <f t="shared" ref="C34:C50" si="3">C33+100</f>
        <v>500</v>
      </c>
      <c r="D34" s="55">
        <f t="shared" si="2"/>
        <v>6.8127313101406362E-26</v>
      </c>
      <c r="E34" s="56">
        <f t="shared" ref="E34:E50" si="4">$F$2*($F$83*D34)/($D$2*C34)</f>
        <v>0.99996338110898675</v>
      </c>
    </row>
    <row r="35" spans="1:6" x14ac:dyDescent="0.3">
      <c r="A35" s="35">
        <v>3124.2599</v>
      </c>
      <c r="B35" s="53">
        <f t="shared" si="1"/>
        <v>93663124820070</v>
      </c>
      <c r="C35" s="54">
        <f t="shared" si="3"/>
        <v>600</v>
      </c>
      <c r="D35" s="55">
        <f t="shared" si="2"/>
        <v>8.175277572168763E-26</v>
      </c>
      <c r="E35" s="56">
        <f t="shared" si="4"/>
        <v>0.99996338110898653</v>
      </c>
    </row>
    <row r="36" spans="1:6" x14ac:dyDescent="0.3">
      <c r="A36" s="35">
        <v>3304.3447000000001</v>
      </c>
      <c r="B36" s="53">
        <f t="shared" si="1"/>
        <v>99061941064710</v>
      </c>
      <c r="C36" s="54">
        <f t="shared" si="3"/>
        <v>700</v>
      </c>
      <c r="D36" s="55">
        <f t="shared" si="2"/>
        <v>9.5378238341968898E-26</v>
      </c>
      <c r="E36" s="56">
        <f t="shared" si="4"/>
        <v>0.99996338110898653</v>
      </c>
    </row>
    <row r="37" spans="1:6" ht="15" thickBot="1" x14ac:dyDescent="0.35">
      <c r="A37" s="26">
        <v>3306.4068000000002</v>
      </c>
      <c r="B37" s="57">
        <f t="shared" si="1"/>
        <v>99123761379240</v>
      </c>
      <c r="C37" s="54">
        <f t="shared" si="3"/>
        <v>800</v>
      </c>
      <c r="D37" s="55">
        <f t="shared" si="2"/>
        <v>1.0900370096225019E-25</v>
      </c>
      <c r="E37" s="56">
        <f t="shared" si="4"/>
        <v>0.99996338110898686</v>
      </c>
    </row>
    <row r="38" spans="1:6" x14ac:dyDescent="0.3">
      <c r="B38" s="53"/>
      <c r="C38" s="54">
        <f t="shared" si="3"/>
        <v>900</v>
      </c>
      <c r="D38" s="55">
        <f t="shared" si="2"/>
        <v>1.2262916358253145E-25</v>
      </c>
      <c r="E38" s="56">
        <f t="shared" si="4"/>
        <v>0.99996338110898675</v>
      </c>
    </row>
    <row r="39" spans="1:6" x14ac:dyDescent="0.3">
      <c r="B39" s="53"/>
      <c r="C39" s="54">
        <f t="shared" si="3"/>
        <v>1000</v>
      </c>
      <c r="D39" s="55">
        <f t="shared" si="2"/>
        <v>1.3625462620281272E-25</v>
      </c>
      <c r="E39" s="56">
        <f t="shared" si="4"/>
        <v>0.99996338110898675</v>
      </c>
    </row>
    <row r="40" spans="1:6" x14ac:dyDescent="0.3">
      <c r="B40" s="53"/>
      <c r="C40" s="54">
        <f t="shared" si="3"/>
        <v>1100</v>
      </c>
      <c r="D40" s="55">
        <f t="shared" si="2"/>
        <v>1.4988008882309398E-25</v>
      </c>
      <c r="E40" s="56">
        <f t="shared" si="4"/>
        <v>0.99996338110898653</v>
      </c>
    </row>
    <row r="41" spans="1:6" x14ac:dyDescent="0.3">
      <c r="B41" s="53"/>
      <c r="C41" s="54">
        <f t="shared" si="3"/>
        <v>1200</v>
      </c>
      <c r="D41" s="55">
        <f t="shared" si="2"/>
        <v>1.6350555144337526E-25</v>
      </c>
      <c r="E41" s="56">
        <f t="shared" si="4"/>
        <v>0.99996338110898653</v>
      </c>
    </row>
    <row r="42" spans="1:6" x14ac:dyDescent="0.3">
      <c r="B42" s="53"/>
      <c r="C42" s="54">
        <f t="shared" si="3"/>
        <v>1300</v>
      </c>
      <c r="D42" s="55">
        <f t="shared" si="2"/>
        <v>1.7713101406365654E-25</v>
      </c>
      <c r="E42" s="56">
        <f t="shared" si="4"/>
        <v>0.99996338110898675</v>
      </c>
    </row>
    <row r="43" spans="1:6" x14ac:dyDescent="0.3">
      <c r="B43" s="53"/>
      <c r="C43" s="54">
        <f t="shared" si="3"/>
        <v>1400</v>
      </c>
      <c r="D43" s="55">
        <f t="shared" si="2"/>
        <v>1.907564766839378E-25</v>
      </c>
      <c r="E43" s="56">
        <f t="shared" si="4"/>
        <v>0.99996338110898653</v>
      </c>
    </row>
    <row r="44" spans="1:6" x14ac:dyDescent="0.3">
      <c r="B44" s="53"/>
      <c r="C44" s="54">
        <f t="shared" si="3"/>
        <v>1500</v>
      </c>
      <c r="D44" s="55">
        <f t="shared" si="2"/>
        <v>2.0438193930421908E-25</v>
      </c>
      <c r="E44" s="56">
        <f t="shared" si="4"/>
        <v>0.99996338110898675</v>
      </c>
    </row>
    <row r="45" spans="1:6" x14ac:dyDescent="0.3">
      <c r="B45" s="53"/>
      <c r="C45" s="54">
        <f t="shared" si="3"/>
        <v>1600</v>
      </c>
      <c r="D45" s="55">
        <f t="shared" si="2"/>
        <v>2.1800740192450038E-25</v>
      </c>
      <c r="E45" s="56">
        <f t="shared" si="4"/>
        <v>0.99996338110898686</v>
      </c>
    </row>
    <row r="46" spans="1:6" x14ac:dyDescent="0.3">
      <c r="B46" s="53"/>
      <c r="C46" s="54">
        <f t="shared" si="3"/>
        <v>1700</v>
      </c>
      <c r="D46" s="55">
        <f t="shared" si="2"/>
        <v>2.3163286454478159E-25</v>
      </c>
      <c r="E46" s="56">
        <f t="shared" si="4"/>
        <v>0.99996338110898664</v>
      </c>
    </row>
    <row r="47" spans="1:6" x14ac:dyDescent="0.3">
      <c r="B47" s="53"/>
      <c r="C47" s="54">
        <f t="shared" si="3"/>
        <v>1800</v>
      </c>
      <c r="D47" s="55">
        <f t="shared" si="2"/>
        <v>2.4525832716506289E-25</v>
      </c>
      <c r="E47" s="56">
        <f t="shared" si="4"/>
        <v>0.99996338110898675</v>
      </c>
    </row>
    <row r="48" spans="1:6" x14ac:dyDescent="0.3">
      <c r="B48" s="53"/>
      <c r="C48" s="54">
        <f t="shared" si="3"/>
        <v>1900</v>
      </c>
      <c r="D48" s="55">
        <f t="shared" si="2"/>
        <v>2.5888378978534419E-25</v>
      </c>
      <c r="E48" s="56">
        <f t="shared" si="4"/>
        <v>0.99996338110898686</v>
      </c>
    </row>
    <row r="49" spans="1:23" x14ac:dyDescent="0.3">
      <c r="B49" s="53"/>
      <c r="C49" s="54">
        <f t="shared" si="3"/>
        <v>2000</v>
      </c>
      <c r="D49" s="55">
        <f t="shared" si="2"/>
        <v>2.7250925240562545E-25</v>
      </c>
      <c r="E49" s="56">
        <f t="shared" si="4"/>
        <v>0.99996338110898675</v>
      </c>
    </row>
    <row r="50" spans="1:23" ht="15" thickBot="1" x14ac:dyDescent="0.35">
      <c r="C50" s="25">
        <f t="shared" si="3"/>
        <v>2100</v>
      </c>
      <c r="D50" s="58">
        <f t="shared" si="2"/>
        <v>2.8613471502590675E-25</v>
      </c>
      <c r="E50" s="59">
        <f t="shared" si="4"/>
        <v>0.99996338110898664</v>
      </c>
    </row>
    <row r="51" spans="1:23" ht="15" thickBot="1" x14ac:dyDescent="0.35"/>
    <row r="52" spans="1:23" ht="18.600000000000001" thickBot="1" x14ac:dyDescent="0.35">
      <c r="D52" s="209" t="s">
        <v>50</v>
      </c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1"/>
    </row>
    <row r="53" spans="1:23" x14ac:dyDescent="0.3">
      <c r="A53" s="11" t="s">
        <v>51</v>
      </c>
      <c r="B53" s="61">
        <f>E54</f>
        <v>1.0855354116667504</v>
      </c>
      <c r="D53" s="62" t="s">
        <v>52</v>
      </c>
      <c r="E53" s="63">
        <v>298.14999999999998</v>
      </c>
      <c r="F53" s="63">
        <f>300+100</f>
        <v>400</v>
      </c>
      <c r="G53" s="63">
        <f t="shared" ref="G53:W53" si="5">F53+100</f>
        <v>500</v>
      </c>
      <c r="H53" s="63">
        <f t="shared" si="5"/>
        <v>600</v>
      </c>
      <c r="I53" s="63">
        <f t="shared" si="5"/>
        <v>700</v>
      </c>
      <c r="J53" s="63">
        <f t="shared" si="5"/>
        <v>800</v>
      </c>
      <c r="K53" s="63">
        <f t="shared" si="5"/>
        <v>900</v>
      </c>
      <c r="L53" s="63">
        <f t="shared" si="5"/>
        <v>1000</v>
      </c>
      <c r="M53" s="63">
        <f t="shared" si="5"/>
        <v>1100</v>
      </c>
      <c r="N53" s="63">
        <f t="shared" si="5"/>
        <v>1200</v>
      </c>
      <c r="O53" s="63">
        <f t="shared" si="5"/>
        <v>1300</v>
      </c>
      <c r="P53" s="63">
        <f t="shared" si="5"/>
        <v>1400</v>
      </c>
      <c r="Q53" s="63">
        <f t="shared" si="5"/>
        <v>1500</v>
      </c>
      <c r="R53" s="63">
        <f t="shared" si="5"/>
        <v>1600</v>
      </c>
      <c r="S53" s="63">
        <f t="shared" si="5"/>
        <v>1700</v>
      </c>
      <c r="T53" s="63">
        <f t="shared" si="5"/>
        <v>1800</v>
      </c>
      <c r="U53" s="63">
        <f t="shared" si="5"/>
        <v>1900</v>
      </c>
      <c r="V53" s="63">
        <f t="shared" si="5"/>
        <v>2000</v>
      </c>
      <c r="W53" s="64">
        <f t="shared" si="5"/>
        <v>2100</v>
      </c>
    </row>
    <row r="54" spans="1:23" x14ac:dyDescent="0.3">
      <c r="A54" s="35"/>
      <c r="B54" s="65">
        <f t="shared" ref="B54:B58" si="6">E55</f>
        <v>1.0010961729722732</v>
      </c>
      <c r="D54" s="66">
        <f t="shared" ref="D54:D59" si="7">A32*$I$2</f>
        <v>15784617093960</v>
      </c>
      <c r="E54" s="53">
        <f>1 / (1 - EXP((-$C$2*$D$54)/($A$2*E53)))</f>
        <v>1.0855354116667504</v>
      </c>
      <c r="F54" s="53">
        <f t="shared" ref="F54:W54" si="8">1 / (1 - EXP((-$C$2*$D$54)/($A$2*F53)))</f>
        <v>1.1771359773327952</v>
      </c>
      <c r="G54" s="53">
        <f t="shared" si="8"/>
        <v>1.2816864100444358</v>
      </c>
      <c r="H54" s="53">
        <f t="shared" si="8"/>
        <v>1.3945315945001378</v>
      </c>
      <c r="I54" s="53">
        <f t="shared" si="8"/>
        <v>1.5124824508123349</v>
      </c>
      <c r="J54" s="53">
        <f t="shared" si="8"/>
        <v>1.6337683587934619</v>
      </c>
      <c r="K54" s="53">
        <f t="shared" si="8"/>
        <v>1.7573415899775349</v>
      </c>
      <c r="L54" s="53">
        <f t="shared" si="8"/>
        <v>1.8825471623391403</v>
      </c>
      <c r="M54" s="53">
        <f t="shared" si="8"/>
        <v>2.008956318995776</v>
      </c>
      <c r="N54" s="53">
        <f t="shared" si="8"/>
        <v>2.1362773552288115</v>
      </c>
      <c r="O54" s="53">
        <f t="shared" si="8"/>
        <v>2.2643052479012309</v>
      </c>
      <c r="P54" s="53">
        <f t="shared" si="8"/>
        <v>2.3928918517179314</v>
      </c>
      <c r="Q54" s="53">
        <f t="shared" si="8"/>
        <v>2.5219275421238141</v>
      </c>
      <c r="R54" s="53">
        <f t="shared" si="8"/>
        <v>2.6513295075217438</v>
      </c>
      <c r="S54" s="53">
        <f t="shared" si="8"/>
        <v>2.7810340516550336</v>
      </c>
      <c r="T54" s="53">
        <f t="shared" si="8"/>
        <v>2.9109913955456008</v>
      </c>
      <c r="U54" s="53">
        <f t="shared" si="8"/>
        <v>3.0411620834511859</v>
      </c>
      <c r="V54" s="53">
        <f t="shared" si="8"/>
        <v>3.1715144451248625</v>
      </c>
      <c r="W54" s="65">
        <f t="shared" si="8"/>
        <v>3.3020227699388505</v>
      </c>
    </row>
    <row r="55" spans="1:23" x14ac:dyDescent="0.3">
      <c r="A55" s="35"/>
      <c r="B55" s="65">
        <f t="shared" si="6"/>
        <v>1.0010951471317733</v>
      </c>
      <c r="D55" s="66">
        <f t="shared" si="7"/>
        <v>42348861109620</v>
      </c>
      <c r="E55" s="53">
        <f>1 / (1 - EXP((-$C$2*$D$55)/($A$2*E53)))</f>
        <v>1.0010961729722732</v>
      </c>
      <c r="F55" s="53">
        <f t="shared" ref="F55:W55" si="9">1 / (1 - EXP((-$C$2*$D$55)/($A$2*F53)))</f>
        <v>1.0062510297242477</v>
      </c>
      <c r="G55" s="53">
        <f t="shared" si="9"/>
        <v>1.0174628343902741</v>
      </c>
      <c r="H55" s="53">
        <f t="shared" si="9"/>
        <v>1.0349751906300988</v>
      </c>
      <c r="I55" s="53">
        <f t="shared" si="9"/>
        <v>1.0580077642257519</v>
      </c>
      <c r="J55" s="53">
        <f t="shared" si="9"/>
        <v>1.0855612125311305</v>
      </c>
      <c r="K55" s="53">
        <f t="shared" si="9"/>
        <v>1.1167257373562991</v>
      </c>
      <c r="L55" s="53">
        <f t="shared" si="9"/>
        <v>1.1507586894466717</v>
      </c>
      <c r="M55" s="53">
        <f t="shared" si="9"/>
        <v>1.1870781312178762</v>
      </c>
      <c r="N55" s="53">
        <f t="shared" si="9"/>
        <v>1.2252341052430826</v>
      </c>
      <c r="O55" s="53">
        <f t="shared" si="9"/>
        <v>1.2648789886644565</v>
      </c>
      <c r="P55" s="53">
        <f t="shared" si="9"/>
        <v>1.3057428342829043</v>
      </c>
      <c r="Q55" s="53">
        <f t="shared" si="9"/>
        <v>1.3476143400745044</v>
      </c>
      <c r="R55" s="53">
        <f t="shared" si="9"/>
        <v>1.3903265872391637</v>
      </c>
      <c r="S55" s="53">
        <f t="shared" si="9"/>
        <v>1.4337464570103573</v>
      </c>
      <c r="T55" s="53">
        <f t="shared" si="9"/>
        <v>1.4777667808924475</v>
      </c>
      <c r="U55" s="53">
        <f t="shared" si="9"/>
        <v>1.5223004927857997</v>
      </c>
      <c r="V55" s="53">
        <f t="shared" si="9"/>
        <v>1.5672762423665332</v>
      </c>
      <c r="W55" s="65">
        <f t="shared" si="9"/>
        <v>1.612635077709117</v>
      </c>
    </row>
    <row r="56" spans="1:23" x14ac:dyDescent="0.3">
      <c r="A56" s="35"/>
      <c r="B56" s="65">
        <f t="shared" si="6"/>
        <v>1.0000002831639621</v>
      </c>
      <c r="D56" s="66">
        <f t="shared" si="7"/>
        <v>42354671097960</v>
      </c>
      <c r="E56" s="53">
        <f>1 / (1 - EXP((-$C$2*$D$56)/($A$2*E53)))</f>
        <v>1.0010951471317733</v>
      </c>
      <c r="F56" s="53">
        <f t="shared" ref="F56:W56" si="10">1 / (1 - EXP((-$C$2*$D$56)/($A$2*F53)))</f>
        <v>1.0062466463562609</v>
      </c>
      <c r="G56" s="53">
        <f t="shared" si="10"/>
        <v>1.017452928323707</v>
      </c>
      <c r="H56" s="53">
        <f t="shared" si="10"/>
        <v>1.0349583718656374</v>
      </c>
      <c r="I56" s="53">
        <f t="shared" si="10"/>
        <v>1.0579833218345429</v>
      </c>
      <c r="J56" s="53">
        <f t="shared" si="10"/>
        <v>1.085528844528115</v>
      </c>
      <c r="K56" s="53">
        <f t="shared" si="10"/>
        <v>1.1166853587855652</v>
      </c>
      <c r="L56" s="53">
        <f t="shared" si="10"/>
        <v>1.1507103222303101</v>
      </c>
      <c r="M56" s="53">
        <f t="shared" si="10"/>
        <v>1.1870218456198192</v>
      </c>
      <c r="N56" s="53">
        <f t="shared" si="10"/>
        <v>1.2251699898839217</v>
      </c>
      <c r="O56" s="53">
        <f t="shared" si="10"/>
        <v>1.2648071356209978</v>
      </c>
      <c r="P56" s="53">
        <f t="shared" si="10"/>
        <v>1.305663332020087</v>
      </c>
      <c r="Q56" s="53">
        <f t="shared" si="10"/>
        <v>1.3475272704038339</v>
      </c>
      <c r="R56" s="53">
        <f t="shared" si="10"/>
        <v>1.390232024318595</v>
      </c>
      <c r="S56" s="53">
        <f t="shared" si="10"/>
        <v>1.4336444673501585</v>
      </c>
      <c r="T56" s="53">
        <f t="shared" si="10"/>
        <v>1.4776574238272819</v>
      </c>
      <c r="U56" s="53">
        <f t="shared" si="10"/>
        <v>1.5221838211335301</v>
      </c>
      <c r="V56" s="53">
        <f t="shared" si="10"/>
        <v>1.5671523031317005</v>
      </c>
      <c r="W56" s="65">
        <f t="shared" si="10"/>
        <v>1.6125039127618295</v>
      </c>
    </row>
    <row r="57" spans="1:23" x14ac:dyDescent="0.3">
      <c r="A57" s="35"/>
      <c r="B57" s="65">
        <f t="shared" si="6"/>
        <v>1.0000001187430547</v>
      </c>
      <c r="D57" s="66">
        <f t="shared" si="7"/>
        <v>93663124820070</v>
      </c>
      <c r="E57" s="53">
        <f>1 / (1 - EXP((-$C$2*$D$57)/($A$2*E53)))</f>
        <v>1.0000002831639621</v>
      </c>
      <c r="F57" s="53">
        <f t="shared" ref="F57:W57" si="11">1 / (1 - EXP((-$C$2*$D$57)/($A$2*F53)))</f>
        <v>1.0000131618953716</v>
      </c>
      <c r="G57" s="53">
        <f t="shared" si="11"/>
        <v>1.0001245960523186</v>
      </c>
      <c r="H57" s="53">
        <f t="shared" si="11"/>
        <v>1.0005577642120254</v>
      </c>
      <c r="I57" s="53">
        <f t="shared" si="11"/>
        <v>1.0016283300532256</v>
      </c>
      <c r="J57" s="53">
        <f t="shared" si="11"/>
        <v>1.0036411184286107</v>
      </c>
      <c r="K57" s="53">
        <f t="shared" si="11"/>
        <v>1.0068195748914908</v>
      </c>
      <c r="L57" s="53">
        <f t="shared" si="11"/>
        <v>1.0112875515971027</v>
      </c>
      <c r="M57" s="53">
        <f t="shared" si="11"/>
        <v>1.0170828751473666</v>
      </c>
      <c r="N57" s="53">
        <f t="shared" si="11"/>
        <v>1.0241813819057961</v>
      </c>
      <c r="O57" s="53">
        <f t="shared" si="11"/>
        <v>1.0325198455936593</v>
      </c>
      <c r="P57" s="53">
        <f t="shared" si="11"/>
        <v>1.0420137421718108</v>
      </c>
      <c r="Q57" s="53">
        <f t="shared" si="11"/>
        <v>1.0525695416045198</v>
      </c>
      <c r="R57" s="53">
        <f t="shared" si="11"/>
        <v>1.0640925549046931</v>
      </c>
      <c r="S57" s="53">
        <f t="shared" si="11"/>
        <v>1.0764915796170633</v>
      </c>
      <c r="T57" s="53">
        <f t="shared" si="11"/>
        <v>1.0896813965779071</v>
      </c>
      <c r="U57" s="53">
        <f t="shared" si="11"/>
        <v>1.1035838961976405</v>
      </c>
      <c r="V57" s="53">
        <f t="shared" si="11"/>
        <v>1.1181283697246325</v>
      </c>
      <c r="W57" s="65">
        <f t="shared" si="11"/>
        <v>1.1332513176823522</v>
      </c>
    </row>
    <row r="58" spans="1:23" ht="15" thickBot="1" x14ac:dyDescent="0.35">
      <c r="A58" s="26"/>
      <c r="B58" s="67">
        <f t="shared" si="6"/>
        <v>1.0000001175672544</v>
      </c>
      <c r="D58" s="66">
        <f t="shared" si="7"/>
        <v>99061941064710</v>
      </c>
      <c r="E58" s="53">
        <f>1 / (1 - EXP((-$C$2*$D$58)/($A$2*E53)))</f>
        <v>1.0000001187430547</v>
      </c>
      <c r="F58" s="53">
        <f t="shared" ref="F58:W58" si="12">1 / (1 - EXP((-$C$2*$D$58)/($A$2*F53)))</f>
        <v>1.0000068863493619</v>
      </c>
      <c r="G58" s="53">
        <f t="shared" si="12"/>
        <v>1.0000742029332974</v>
      </c>
      <c r="H58" s="53">
        <f t="shared" si="12"/>
        <v>1.0003620883889701</v>
      </c>
      <c r="I58" s="53">
        <f t="shared" si="12"/>
        <v>1.0011239982143469</v>
      </c>
      <c r="J58" s="53">
        <f t="shared" si="12"/>
        <v>1.0026310808512549</v>
      </c>
      <c r="K58" s="53">
        <f t="shared" si="12"/>
        <v>1.0051048495977566</v>
      </c>
      <c r="L58" s="53">
        <f t="shared" si="12"/>
        <v>1.0086886349733566</v>
      </c>
      <c r="M58" s="53">
        <f t="shared" si="12"/>
        <v>1.0134494998653263</v>
      </c>
      <c r="N58" s="53">
        <f t="shared" si="12"/>
        <v>1.0193941533576352</v>
      </c>
      <c r="O58" s="53">
        <f t="shared" si="12"/>
        <v>1.0264875447138488</v>
      </c>
      <c r="P58" s="53">
        <f t="shared" si="12"/>
        <v>1.0346689171490044</v>
      </c>
      <c r="Q58" s="53">
        <f t="shared" si="12"/>
        <v>1.0438638562948508</v>
      </c>
      <c r="R58" s="53">
        <f t="shared" si="12"/>
        <v>1.0539925784705886</v>
      </c>
      <c r="S58" s="53">
        <f t="shared" si="12"/>
        <v>1.0649752564825548</v>
      </c>
      <c r="T58" s="53">
        <f t="shared" si="12"/>
        <v>1.0767352138797579</v>
      </c>
      <c r="U58" s="53">
        <f t="shared" si="12"/>
        <v>1.0892006715128757</v>
      </c>
      <c r="V58" s="53">
        <f t="shared" si="12"/>
        <v>1.1023055530547423</v>
      </c>
      <c r="W58" s="65">
        <f t="shared" si="12"/>
        <v>1.1159897032434043</v>
      </c>
    </row>
    <row r="59" spans="1:23" ht="15" thickBot="1" x14ac:dyDescent="0.35">
      <c r="B59" s="53"/>
      <c r="D59" s="68">
        <f t="shared" si="7"/>
        <v>99123761379240</v>
      </c>
      <c r="E59" s="57">
        <f>1 / (1 - EXP((-$C$2*$D$59)/($A$2*E53)))</f>
        <v>1.0000001175672544</v>
      </c>
      <c r="F59" s="57">
        <f t="shared" ref="F59:W59" si="13">1 / (1 - EXP((-$C$2*$D$59)/($A$2*F53)))</f>
        <v>1.0000068354582947</v>
      </c>
      <c r="G59" s="57">
        <f t="shared" si="13"/>
        <v>1.0000737638828605</v>
      </c>
      <c r="H59" s="57">
        <f t="shared" si="13"/>
        <v>1.0003603016312301</v>
      </c>
      <c r="I59" s="57">
        <f t="shared" si="13"/>
        <v>1.0011192388106245</v>
      </c>
      <c r="J59" s="57">
        <f t="shared" si="13"/>
        <v>1.0026213153335684</v>
      </c>
      <c r="K59" s="57">
        <f t="shared" si="13"/>
        <v>1.0050879627699429</v>
      </c>
      <c r="L59" s="57">
        <f t="shared" si="13"/>
        <v>1.0086626709129229</v>
      </c>
      <c r="M59" s="57">
        <f t="shared" si="13"/>
        <v>1.01341278571491</v>
      </c>
      <c r="N59" s="57">
        <f t="shared" si="13"/>
        <v>1.0193453338538949</v>
      </c>
      <c r="O59" s="57">
        <f t="shared" si="13"/>
        <v>1.0264255650043619</v>
      </c>
      <c r="P59" s="57">
        <f t="shared" si="13"/>
        <v>1.0345929823440223</v>
      </c>
      <c r="Q59" s="57">
        <f t="shared" si="13"/>
        <v>1.0437733848447646</v>
      </c>
      <c r="R59" s="57">
        <f t="shared" si="13"/>
        <v>1.0538871580326437</v>
      </c>
      <c r="S59" s="57">
        <f t="shared" si="13"/>
        <v>1.0648546058251993</v>
      </c>
      <c r="T59" s="57">
        <f t="shared" si="13"/>
        <v>1.0765991516503643</v>
      </c>
      <c r="U59" s="57">
        <f t="shared" si="13"/>
        <v>1.0890490914231024</v>
      </c>
      <c r="V59" s="57">
        <f t="shared" si="13"/>
        <v>1.1021384045568396</v>
      </c>
      <c r="W59" s="67">
        <f t="shared" si="13"/>
        <v>1.1158069766819199</v>
      </c>
    </row>
    <row r="60" spans="1:23" x14ac:dyDescent="0.3">
      <c r="B60" s="53"/>
      <c r="D60" s="69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</row>
    <row r="61" spans="1:23" x14ac:dyDescent="0.3">
      <c r="B61" s="53"/>
      <c r="D61" s="69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</row>
    <row r="62" spans="1:23" x14ac:dyDescent="0.3">
      <c r="B62" s="53"/>
      <c r="D62" s="69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</row>
    <row r="63" spans="1:23" x14ac:dyDescent="0.3">
      <c r="B63" s="53"/>
      <c r="D63" s="69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</row>
    <row r="64" spans="1:23" ht="15" thickBot="1" x14ac:dyDescent="0.35">
      <c r="B64" s="53"/>
      <c r="D64" s="69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</row>
    <row r="65" spans="1:23" x14ac:dyDescent="0.3">
      <c r="B65" s="53"/>
      <c r="D65" s="70" t="s">
        <v>53</v>
      </c>
      <c r="E65" s="71">
        <v>298.14999999999998</v>
      </c>
      <c r="F65" s="71">
        <f>300+100</f>
        <v>400</v>
      </c>
      <c r="G65" s="71">
        <f t="shared" ref="G65:W65" si="14">F65+100</f>
        <v>500</v>
      </c>
      <c r="H65" s="71">
        <f t="shared" si="14"/>
        <v>600</v>
      </c>
      <c r="I65" s="71">
        <f t="shared" si="14"/>
        <v>700</v>
      </c>
      <c r="J65" s="71">
        <f t="shared" si="14"/>
        <v>800</v>
      </c>
      <c r="K65" s="71">
        <f t="shared" si="14"/>
        <v>900</v>
      </c>
      <c r="L65" s="71">
        <f t="shared" si="14"/>
        <v>1000</v>
      </c>
      <c r="M65" s="71">
        <f t="shared" si="14"/>
        <v>1100</v>
      </c>
      <c r="N65" s="71">
        <f t="shared" si="14"/>
        <v>1200</v>
      </c>
      <c r="O65" s="71">
        <f t="shared" si="14"/>
        <v>1300</v>
      </c>
      <c r="P65" s="71">
        <f t="shared" si="14"/>
        <v>1400</v>
      </c>
      <c r="Q65" s="71">
        <f t="shared" si="14"/>
        <v>1500</v>
      </c>
      <c r="R65" s="71">
        <f t="shared" si="14"/>
        <v>1600</v>
      </c>
      <c r="S65" s="71">
        <f t="shared" si="14"/>
        <v>1700</v>
      </c>
      <c r="T65" s="71">
        <f t="shared" si="14"/>
        <v>1800</v>
      </c>
      <c r="U65" s="71">
        <f t="shared" si="14"/>
        <v>1900</v>
      </c>
      <c r="V65" s="71">
        <f t="shared" si="14"/>
        <v>2000</v>
      </c>
      <c r="W65" s="72">
        <f t="shared" si="14"/>
        <v>2100</v>
      </c>
    </row>
    <row r="66" spans="1:23" ht="15" thickBot="1" x14ac:dyDescent="0.35">
      <c r="B66" s="53"/>
      <c r="D66" s="68" t="s">
        <v>54</v>
      </c>
      <c r="E66" s="57">
        <f>PRODUCT(E54:E62)</f>
        <v>1.0879160355356148</v>
      </c>
      <c r="F66" s="57">
        <f>PRODUCT(F54:F62)</f>
        <v>1.1919254490326969</v>
      </c>
      <c r="G66" s="57">
        <f t="shared" ref="G66:W66" si="15">PRODUCT(G54:G62)</f>
        <v>1.3271897737125162</v>
      </c>
      <c r="H66" s="57">
        <f t="shared" si="15"/>
        <v>1.495674258439128</v>
      </c>
      <c r="I66" s="57">
        <f t="shared" si="15"/>
        <v>1.6995670382226815</v>
      </c>
      <c r="J66" s="57">
        <f t="shared" si="15"/>
        <v>1.9424180654073449</v>
      </c>
      <c r="K66" s="57">
        <f t="shared" si="15"/>
        <v>2.2289515359803596</v>
      </c>
      <c r="L66" s="57">
        <f t="shared" si="15"/>
        <v>2.5649202980068391</v>
      </c>
      <c r="M66" s="57">
        <f t="shared" si="15"/>
        <v>2.9570137497082425</v>
      </c>
      <c r="N66" s="57">
        <f t="shared" si="15"/>
        <v>3.412820280550243</v>
      </c>
      <c r="O66" s="57">
        <f t="shared" si="15"/>
        <v>3.9408310002103644</v>
      </c>
      <c r="P66" s="57">
        <f t="shared" si="15"/>
        <v>4.5504705385347535</v>
      </c>
      <c r="Q66" s="57">
        <f t="shared" si="15"/>
        <v>5.2521445332737331</v>
      </c>
      <c r="R66" s="57">
        <f t="shared" si="15"/>
        <v>6.0572973214317702</v>
      </c>
      <c r="S66" s="57">
        <f t="shared" si="15"/>
        <v>6.9784761019494326</v>
      </c>
      <c r="T66" s="57">
        <f t="shared" si="15"/>
        <v>8.029399523047223</v>
      </c>
      <c r="U66" s="57">
        <f t="shared" si="15"/>
        <v>9.2250296080843146</v>
      </c>
      <c r="V66" s="57">
        <f t="shared" si="15"/>
        <v>10.581646458527063</v>
      </c>
      <c r="W66" s="67">
        <f t="shared" si="15"/>
        <v>12.116925451430598</v>
      </c>
    </row>
    <row r="67" spans="1:23" x14ac:dyDescent="0.3">
      <c r="B67" s="53"/>
      <c r="D67" s="69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</row>
    <row r="68" spans="1:23" x14ac:dyDescent="0.3">
      <c r="B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</row>
    <row r="69" spans="1:23" x14ac:dyDescent="0.3">
      <c r="B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</row>
    <row r="70" spans="1:23" x14ac:dyDescent="0.3">
      <c r="B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</row>
    <row r="71" spans="1:23" ht="15" thickBot="1" x14ac:dyDescent="0.35"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</row>
    <row r="72" spans="1:23" x14ac:dyDescent="0.3">
      <c r="A72" s="17" t="s">
        <v>55</v>
      </c>
      <c r="B72" s="19">
        <f>COUNT(B53:B70)</f>
        <v>6</v>
      </c>
    </row>
    <row r="73" spans="1:23" ht="21" thickBot="1" x14ac:dyDescent="0.35">
      <c r="A73" s="73" t="s">
        <v>56</v>
      </c>
      <c r="B73" s="74">
        <f>PRODUCT(B53:B61)</f>
        <v>1.0879160355356148</v>
      </c>
    </row>
    <row r="76" spans="1:23" ht="15" thickBot="1" x14ac:dyDescent="0.35"/>
    <row r="77" spans="1:23" x14ac:dyDescent="0.3">
      <c r="A77" s="16" t="s">
        <v>57</v>
      </c>
    </row>
    <row r="78" spans="1:23" x14ac:dyDescent="0.3">
      <c r="A78" s="75">
        <v>1.0879300000000001</v>
      </c>
    </row>
    <row r="79" spans="1:23" x14ac:dyDescent="0.3">
      <c r="A79" s="76" t="s">
        <v>58</v>
      </c>
    </row>
    <row r="80" spans="1:23" ht="15" thickBot="1" x14ac:dyDescent="0.35">
      <c r="A80" s="77">
        <f>ABS(B73-A78)/B73</f>
        <v>1.2835976241870803E-5</v>
      </c>
    </row>
    <row r="81" spans="2:10" ht="15" thickBot="1" x14ac:dyDescent="0.35"/>
    <row r="82" spans="2:10" ht="18" x14ac:dyDescent="0.3">
      <c r="D82" s="11" t="s">
        <v>47</v>
      </c>
      <c r="E82" s="60" t="s">
        <v>59</v>
      </c>
      <c r="F82" s="52" t="s">
        <v>9</v>
      </c>
    </row>
    <row r="83" spans="2:10" ht="18.600000000000001" thickBot="1" x14ac:dyDescent="0.35">
      <c r="B83" s="78"/>
      <c r="D83" s="35">
        <f>298.15</f>
        <v>298.14999999999998</v>
      </c>
      <c r="E83" s="65">
        <f xml:space="preserve"> ( (2*$B$2*$E$2*$A$2*D83)/($C$2*$C$2) )^(1.5) * ($A$2*D83) /$F$83</f>
        <v>2287492.2322255345</v>
      </c>
      <c r="F83" s="25">
        <v>101325</v>
      </c>
      <c r="H83" s="5" t="s">
        <v>60</v>
      </c>
    </row>
    <row r="84" spans="2:10" ht="15" thickBot="1" x14ac:dyDescent="0.35">
      <c r="D84" s="35">
        <f>300+100</f>
        <v>400</v>
      </c>
      <c r="E84" s="65">
        <f t="shared" ref="E84:E101" si="16" xml:space="preserve"> ( (2*$B$2*$E$2*$A$2*D84)/($C$2*$C$2) )^(1.5) * ($A$2*D84) /$F$83</f>
        <v>4768947.8366983775</v>
      </c>
    </row>
    <row r="85" spans="2:10" ht="15" thickBot="1" x14ac:dyDescent="0.35">
      <c r="D85" s="35">
        <f t="shared" ref="D85:D101" si="17">D84+100</f>
        <v>500</v>
      </c>
      <c r="E85" s="65">
        <f t="shared" si="16"/>
        <v>8331009.018756289</v>
      </c>
      <c r="J85" s="16" t="s">
        <v>61</v>
      </c>
    </row>
    <row r="86" spans="2:10" x14ac:dyDescent="0.3">
      <c r="D86" s="35">
        <f t="shared" si="17"/>
        <v>600</v>
      </c>
      <c r="E86" s="65">
        <f t="shared" si="16"/>
        <v>13141674.911093393</v>
      </c>
      <c r="H86" s="79" t="s">
        <v>62</v>
      </c>
      <c r="I86" s="17" t="s">
        <v>63</v>
      </c>
      <c r="J86" s="80">
        <f xml:space="preserve"> ( (2*$B$2*$E$2*$A$2*298.15)/($C$2*$C$2) )^(1.5) * ($A$2*D83) /$F$83</f>
        <v>2287492.2322255345</v>
      </c>
    </row>
    <row r="87" spans="2:10" ht="15" thickBot="1" x14ac:dyDescent="0.35">
      <c r="D87" s="35">
        <f t="shared" si="17"/>
        <v>700</v>
      </c>
      <c r="E87" s="65">
        <f t="shared" si="16"/>
        <v>19320470.299244694</v>
      </c>
      <c r="H87" s="63" t="s">
        <v>64</v>
      </c>
      <c r="I87" s="26" t="s">
        <v>63</v>
      </c>
      <c r="J87" s="81">
        <v>2288820</v>
      </c>
    </row>
    <row r="88" spans="2:10" x14ac:dyDescent="0.3">
      <c r="D88" s="35">
        <f t="shared" si="17"/>
        <v>800</v>
      </c>
      <c r="E88" s="65">
        <f t="shared" si="16"/>
        <v>26977242.835634787</v>
      </c>
      <c r="J88" s="82" t="s">
        <v>58</v>
      </c>
    </row>
    <row r="89" spans="2:10" x14ac:dyDescent="0.3">
      <c r="D89" s="35">
        <f t="shared" si="17"/>
        <v>900</v>
      </c>
      <c r="E89" s="65">
        <f t="shared" si="16"/>
        <v>36214197.634928361</v>
      </c>
      <c r="J89" s="83">
        <f>(J86-J87)/J87</f>
        <v>-5.8011017662616281E-4</v>
      </c>
    </row>
    <row r="90" spans="2:10" x14ac:dyDescent="0.3">
      <c r="D90" s="35">
        <f t="shared" si="17"/>
        <v>1000</v>
      </c>
      <c r="E90" s="65">
        <f t="shared" si="16"/>
        <v>47127303.770310991</v>
      </c>
    </row>
    <row r="91" spans="2:10" x14ac:dyDescent="0.3">
      <c r="D91" s="35">
        <f t="shared" si="17"/>
        <v>1100</v>
      </c>
      <c r="E91" s="65">
        <f t="shared" si="16"/>
        <v>59807315.153493918</v>
      </c>
    </row>
    <row r="92" spans="2:10" x14ac:dyDescent="0.3">
      <c r="D92" s="35">
        <f t="shared" si="17"/>
        <v>1200</v>
      </c>
      <c r="E92" s="65">
        <f t="shared" si="16"/>
        <v>74340539.566266268</v>
      </c>
    </row>
    <row r="93" spans="2:10" x14ac:dyDescent="0.3">
      <c r="D93" s="35">
        <f t="shared" si="17"/>
        <v>1300</v>
      </c>
      <c r="E93" s="65">
        <f t="shared" si="16"/>
        <v>90809435.201054558</v>
      </c>
    </row>
    <row r="94" spans="2:10" x14ac:dyDescent="0.3">
      <c r="D94" s="35">
        <f t="shared" si="17"/>
        <v>1400</v>
      </c>
      <c r="E94" s="65">
        <f t="shared" si="16"/>
        <v>109293084.51447242</v>
      </c>
    </row>
    <row r="95" spans="2:10" x14ac:dyDescent="0.3">
      <c r="D95" s="35">
        <f t="shared" si="17"/>
        <v>1500</v>
      </c>
      <c r="E95" s="65">
        <f t="shared" si="16"/>
        <v>129867578.08920522</v>
      </c>
    </row>
    <row r="96" spans="2:10" x14ac:dyDescent="0.3">
      <c r="D96" s="35">
        <f t="shared" si="17"/>
        <v>1600</v>
      </c>
      <c r="E96" s="65">
        <f t="shared" si="16"/>
        <v>152606330.77434894</v>
      </c>
    </row>
    <row r="97" spans="1:10" x14ac:dyDescent="0.3">
      <c r="D97" s="35">
        <f t="shared" si="17"/>
        <v>1700</v>
      </c>
      <c r="E97" s="65">
        <f t="shared" si="16"/>
        <v>177580345.74809426</v>
      </c>
    </row>
    <row r="98" spans="1:10" x14ac:dyDescent="0.3">
      <c r="D98" s="35">
        <f t="shared" si="17"/>
        <v>1800</v>
      </c>
      <c r="E98" s="65">
        <f t="shared" si="16"/>
        <v>204858437.78310198</v>
      </c>
    </row>
    <row r="99" spans="1:10" x14ac:dyDescent="0.3">
      <c r="D99" s="35">
        <f t="shared" si="17"/>
        <v>1900</v>
      </c>
      <c r="E99" s="65">
        <f t="shared" si="16"/>
        <v>234507424.03355908</v>
      </c>
    </row>
    <row r="100" spans="1:10" x14ac:dyDescent="0.3">
      <c r="D100" s="35">
        <f t="shared" si="17"/>
        <v>2000</v>
      </c>
      <c r="E100" s="65">
        <f t="shared" si="16"/>
        <v>266592288.60020271</v>
      </c>
    </row>
    <row r="101" spans="1:10" ht="15" thickBot="1" x14ac:dyDescent="0.35">
      <c r="D101" s="26">
        <f t="shared" si="17"/>
        <v>2100</v>
      </c>
      <c r="E101" s="67">
        <f t="shared" si="16"/>
        <v>301176325.65975451</v>
      </c>
    </row>
    <row r="104" spans="1:10" ht="15" thickBot="1" x14ac:dyDescent="0.35"/>
    <row r="105" spans="1:10" ht="18" x14ac:dyDescent="0.3">
      <c r="D105" s="11" t="s">
        <v>47</v>
      </c>
      <c r="E105" s="60" t="s">
        <v>65</v>
      </c>
    </row>
    <row r="106" spans="1:10" x14ac:dyDescent="0.3">
      <c r="D106" s="35">
        <f>298.15</f>
        <v>298.14999999999998</v>
      </c>
      <c r="E106" s="65">
        <f xml:space="preserve"> ( SQRT($B$2)/$B$6) * SQRT(  (D106*D106*D106) / ($E$11 * $F$11 * $G$11 ) )</f>
        <v>42.483200497515185</v>
      </c>
    </row>
    <row r="107" spans="1:10" x14ac:dyDescent="0.3">
      <c r="D107" s="35">
        <f>300+100</f>
        <v>400</v>
      </c>
      <c r="E107" s="65">
        <f t="shared" ref="E107:E124" si="18" xml:space="preserve"> ( SQRT($B$2)/$B$6) * SQRT(  (D107*D107*D107) / ($E$11 * $F$11 * $G$11 ) )</f>
        <v>66.016879721460853</v>
      </c>
    </row>
    <row r="108" spans="1:10" x14ac:dyDescent="0.3">
      <c r="D108" s="35">
        <f t="shared" ref="D108:D124" si="19">D107+100</f>
        <v>500</v>
      </c>
      <c r="E108" s="65">
        <f t="shared" si="18"/>
        <v>92.261394199758641</v>
      </c>
      <c r="H108" s="5" t="s">
        <v>60</v>
      </c>
    </row>
    <row r="109" spans="1:10" ht="15" thickBot="1" x14ac:dyDescent="0.35">
      <c r="D109" s="35">
        <f t="shared" si="19"/>
        <v>600</v>
      </c>
      <c r="E109" s="65">
        <f t="shared" si="18"/>
        <v>121.28075229620185</v>
      </c>
    </row>
    <row r="110" spans="1:10" ht="18.600000000000001" thickBot="1" x14ac:dyDescent="0.35">
      <c r="A110" s="84"/>
      <c r="B110" s="78"/>
      <c r="D110" s="35">
        <f t="shared" si="19"/>
        <v>700</v>
      </c>
      <c r="E110" s="65">
        <f t="shared" si="18"/>
        <v>152.83121531601736</v>
      </c>
      <c r="J110" s="16" t="s">
        <v>61</v>
      </c>
    </row>
    <row r="111" spans="1:10" x14ac:dyDescent="0.3">
      <c r="D111" s="35">
        <f t="shared" si="19"/>
        <v>800</v>
      </c>
      <c r="E111" s="65">
        <f t="shared" si="18"/>
        <v>186.72393329528654</v>
      </c>
      <c r="H111" s="79" t="s">
        <v>62</v>
      </c>
      <c r="I111" s="17" t="s">
        <v>66</v>
      </c>
      <c r="J111" s="80">
        <f>E106</f>
        <v>42.483200497515185</v>
      </c>
    </row>
    <row r="112" spans="1:10" ht="15" thickBot="1" x14ac:dyDescent="0.35">
      <c r="D112" s="35">
        <f t="shared" si="19"/>
        <v>900</v>
      </c>
      <c r="E112" s="65">
        <f t="shared" si="18"/>
        <v>222.80696905993037</v>
      </c>
      <c r="H112" s="63" t="s">
        <v>64</v>
      </c>
      <c r="I112" s="26" t="s">
        <v>66</v>
      </c>
      <c r="J112" s="81">
        <v>254.899</v>
      </c>
    </row>
    <row r="113" spans="4:10" x14ac:dyDescent="0.3">
      <c r="D113" s="35">
        <f t="shared" si="19"/>
        <v>1000</v>
      </c>
      <c r="E113" s="65">
        <f t="shared" si="18"/>
        <v>260.95462992149822</v>
      </c>
      <c r="J113" s="82" t="s">
        <v>58</v>
      </c>
    </row>
    <row r="114" spans="4:10" x14ac:dyDescent="0.3">
      <c r="D114" s="35">
        <f t="shared" si="19"/>
        <v>1100</v>
      </c>
      <c r="E114" s="65">
        <f t="shared" si="18"/>
        <v>301.06067731589815</v>
      </c>
      <c r="J114" s="83">
        <f>(J111-J112)/J112</f>
        <v>-0.83333320061077065</v>
      </c>
    </row>
    <row r="115" spans="4:10" x14ac:dyDescent="0.3">
      <c r="D115" s="35">
        <f t="shared" si="19"/>
        <v>1200</v>
      </c>
      <c r="E115" s="65">
        <f t="shared" si="18"/>
        <v>343.03376950420113</v>
      </c>
    </row>
    <row r="116" spans="4:10" x14ac:dyDescent="0.3">
      <c r="D116" s="35">
        <f t="shared" si="19"/>
        <v>1300</v>
      </c>
      <c r="E116" s="65">
        <f t="shared" si="18"/>
        <v>386.79427293303218</v>
      </c>
      <c r="H116" s="86"/>
    </row>
    <row r="117" spans="4:10" x14ac:dyDescent="0.3">
      <c r="D117" s="35">
        <f t="shared" si="19"/>
        <v>1400</v>
      </c>
      <c r="E117" s="65">
        <f t="shared" si="18"/>
        <v>432.27195490774886</v>
      </c>
    </row>
    <row r="118" spans="4:10" x14ac:dyDescent="0.3">
      <c r="D118" s="35">
        <f t="shared" si="19"/>
        <v>1500</v>
      </c>
      <c r="E118" s="65">
        <f t="shared" si="18"/>
        <v>479.40426699336751</v>
      </c>
    </row>
    <row r="119" spans="4:10" x14ac:dyDescent="0.3">
      <c r="D119" s="35">
        <f t="shared" si="19"/>
        <v>1600</v>
      </c>
      <c r="E119" s="65">
        <f t="shared" si="18"/>
        <v>528.13503777168683</v>
      </c>
    </row>
    <row r="120" spans="4:10" x14ac:dyDescent="0.3">
      <c r="D120" s="35">
        <f t="shared" si="19"/>
        <v>1700</v>
      </c>
      <c r="E120" s="65">
        <f t="shared" si="18"/>
        <v>578.41345735121934</v>
      </c>
    </row>
    <row r="121" spans="4:10" x14ac:dyDescent="0.3">
      <c r="D121" s="35">
        <f t="shared" si="19"/>
        <v>1800</v>
      </c>
      <c r="E121" s="65">
        <f t="shared" si="18"/>
        <v>630.19327487159228</v>
      </c>
    </row>
    <row r="122" spans="4:10" x14ac:dyDescent="0.3">
      <c r="D122" s="35">
        <f t="shared" si="19"/>
        <v>1900</v>
      </c>
      <c r="E122" s="65">
        <f t="shared" si="18"/>
        <v>683.4321547751025</v>
      </c>
    </row>
    <row r="123" spans="4:10" x14ac:dyDescent="0.3">
      <c r="D123" s="35">
        <f t="shared" si="19"/>
        <v>2000</v>
      </c>
      <c r="E123" s="65">
        <f t="shared" si="18"/>
        <v>738.09115359806913</v>
      </c>
    </row>
    <row r="124" spans="4:10" ht="15" thickBot="1" x14ac:dyDescent="0.35">
      <c r="D124" s="26">
        <f t="shared" si="19"/>
        <v>2100</v>
      </c>
      <c r="E124" s="67">
        <f t="shared" si="18"/>
        <v>794.13428972952261</v>
      </c>
    </row>
    <row r="126" spans="4:10" ht="15" thickBot="1" x14ac:dyDescent="0.35"/>
    <row r="127" spans="4:10" ht="18" x14ac:dyDescent="0.3">
      <c r="D127" s="11" t="s">
        <v>47</v>
      </c>
      <c r="E127" s="13" t="s">
        <v>67</v>
      </c>
      <c r="F127" s="52" t="s">
        <v>68</v>
      </c>
    </row>
    <row r="128" spans="4:10" ht="15.6" x14ac:dyDescent="0.3">
      <c r="D128" s="35">
        <f>298.15</f>
        <v>298.14999999999998</v>
      </c>
      <c r="E128" s="87">
        <f>$B$135*EXP($B$134/($A$2*D128) )</f>
        <v>0</v>
      </c>
      <c r="F128" s="54">
        <f>$B$135</f>
        <v>2</v>
      </c>
      <c r="G128" s="5" t="s">
        <v>69</v>
      </c>
      <c r="H128" s="88">
        <f>$B$135*EXP($B$134/($A$2*298.15) )</f>
        <v>0</v>
      </c>
    </row>
    <row r="129" spans="1:10" ht="15.6" x14ac:dyDescent="0.2">
      <c r="A129" s="89"/>
      <c r="D129" s="35">
        <f>300+100</f>
        <v>400</v>
      </c>
      <c r="E129" s="87">
        <f t="shared" ref="E129:E146" si="20">$B$135*EXP($B$134/($A$2*D129) )</f>
        <v>0</v>
      </c>
      <c r="F129" s="54">
        <f t="shared" ref="F129:F146" si="21">$B$135</f>
        <v>2</v>
      </c>
    </row>
    <row r="130" spans="1:10" ht="16.2" thickBot="1" x14ac:dyDescent="0.35">
      <c r="D130" s="35">
        <f t="shared" ref="D130:D146" si="22">D129+100</f>
        <v>500</v>
      </c>
      <c r="E130" s="87">
        <f t="shared" si="20"/>
        <v>0</v>
      </c>
      <c r="F130" s="54">
        <f t="shared" si="21"/>
        <v>2</v>
      </c>
    </row>
    <row r="131" spans="1:10" ht="15.6" x14ac:dyDescent="0.3">
      <c r="A131" s="90" t="s">
        <v>70</v>
      </c>
      <c r="B131" s="91">
        <v>-39.8473348956</v>
      </c>
      <c r="D131" s="35">
        <f t="shared" si="22"/>
        <v>600</v>
      </c>
      <c r="E131" s="87">
        <f t="shared" si="20"/>
        <v>0</v>
      </c>
      <c r="F131" s="54">
        <f t="shared" si="21"/>
        <v>2</v>
      </c>
      <c r="H131" s="17"/>
      <c r="I131" s="18" t="s">
        <v>171</v>
      </c>
      <c r="J131" s="19" t="s">
        <v>131</v>
      </c>
    </row>
    <row r="132" spans="1:10" ht="18.600000000000001" thickBot="1" x14ac:dyDescent="0.35">
      <c r="A132" s="90" t="s">
        <v>71</v>
      </c>
      <c r="B132" s="92">
        <f>B131/(229400000000000000)</f>
        <v>-1.7370241889973845E-16</v>
      </c>
      <c r="D132" s="35">
        <f t="shared" si="22"/>
        <v>700</v>
      </c>
      <c r="E132" s="87">
        <f t="shared" si="20"/>
        <v>0</v>
      </c>
      <c r="F132" s="54">
        <f t="shared" si="21"/>
        <v>2</v>
      </c>
      <c r="H132" s="196" t="s">
        <v>172</v>
      </c>
      <c r="I132" s="197">
        <f>$I$5+$B$131</f>
        <v>-39.817520895599998</v>
      </c>
      <c r="J132" s="28">
        <f>$I$132*627.503</f>
        <v>-24985.613814551689</v>
      </c>
    </row>
    <row r="133" spans="1:10" ht="15.6" x14ac:dyDescent="0.3">
      <c r="A133" s="90" t="s">
        <v>72</v>
      </c>
      <c r="B133" s="90">
        <f>3.25263E-19</f>
        <v>3.2526300000000002E-19</v>
      </c>
      <c r="D133" s="35">
        <f t="shared" si="22"/>
        <v>800</v>
      </c>
      <c r="E133" s="87">
        <f t="shared" si="20"/>
        <v>0</v>
      </c>
      <c r="F133" s="54">
        <f t="shared" si="21"/>
        <v>2</v>
      </c>
    </row>
    <row r="134" spans="1:10" ht="18" x14ac:dyDescent="0.3">
      <c r="A134" s="90" t="s">
        <v>73</v>
      </c>
      <c r="B134" s="92">
        <f>B132+B133</f>
        <v>-1.7337715589973845E-16</v>
      </c>
      <c r="D134" s="35">
        <f t="shared" si="22"/>
        <v>900</v>
      </c>
      <c r="E134" s="87">
        <f t="shared" si="20"/>
        <v>0</v>
      </c>
      <c r="F134" s="54">
        <f t="shared" si="21"/>
        <v>2</v>
      </c>
    </row>
    <row r="135" spans="1:10" ht="18" x14ac:dyDescent="0.3">
      <c r="A135" s="90" t="s">
        <v>74</v>
      </c>
      <c r="B135" s="90">
        <v>2</v>
      </c>
      <c r="D135" s="35">
        <f t="shared" si="22"/>
        <v>1000</v>
      </c>
      <c r="E135" s="87">
        <f t="shared" si="20"/>
        <v>0</v>
      </c>
      <c r="F135" s="54">
        <f t="shared" si="21"/>
        <v>2</v>
      </c>
    </row>
    <row r="136" spans="1:10" ht="15.6" x14ac:dyDescent="0.3">
      <c r="A136" s="5" t="s">
        <v>75</v>
      </c>
      <c r="B136" s="53">
        <f>A2*D128</f>
        <v>4.1162588999999997E-21</v>
      </c>
      <c r="D136" s="35">
        <f t="shared" si="22"/>
        <v>1100</v>
      </c>
      <c r="E136" s="87">
        <f t="shared" si="20"/>
        <v>0</v>
      </c>
      <c r="F136" s="54">
        <f t="shared" si="21"/>
        <v>2</v>
      </c>
    </row>
    <row r="137" spans="1:10" ht="15.6" x14ac:dyDescent="0.3">
      <c r="D137" s="35">
        <f t="shared" si="22"/>
        <v>1200</v>
      </c>
      <c r="E137" s="87">
        <f t="shared" si="20"/>
        <v>0</v>
      </c>
      <c r="F137" s="54">
        <f t="shared" si="21"/>
        <v>2</v>
      </c>
    </row>
    <row r="138" spans="1:10" ht="15.6" x14ac:dyDescent="0.3">
      <c r="D138" s="35">
        <f t="shared" si="22"/>
        <v>1300</v>
      </c>
      <c r="E138" s="87">
        <f t="shared" si="20"/>
        <v>0</v>
      </c>
      <c r="F138" s="54">
        <f t="shared" si="21"/>
        <v>2</v>
      </c>
    </row>
    <row r="139" spans="1:10" ht="15.6" x14ac:dyDescent="0.3">
      <c r="D139" s="35">
        <f t="shared" si="22"/>
        <v>1400</v>
      </c>
      <c r="E139" s="87">
        <f t="shared" si="20"/>
        <v>0</v>
      </c>
      <c r="F139" s="54">
        <f t="shared" si="21"/>
        <v>2</v>
      </c>
    </row>
    <row r="140" spans="1:10" ht="15.6" x14ac:dyDescent="0.3">
      <c r="D140" s="35">
        <f t="shared" si="22"/>
        <v>1500</v>
      </c>
      <c r="E140" s="87">
        <f t="shared" si="20"/>
        <v>0</v>
      </c>
      <c r="F140" s="54">
        <f t="shared" si="21"/>
        <v>2</v>
      </c>
    </row>
    <row r="141" spans="1:10" ht="15.6" x14ac:dyDescent="0.3">
      <c r="D141" s="35">
        <f t="shared" si="22"/>
        <v>1600</v>
      </c>
      <c r="E141" s="87">
        <f t="shared" si="20"/>
        <v>0</v>
      </c>
      <c r="F141" s="54">
        <f t="shared" si="21"/>
        <v>2</v>
      </c>
    </row>
    <row r="142" spans="1:10" ht="15.6" x14ac:dyDescent="0.3">
      <c r="D142" s="35">
        <f t="shared" si="22"/>
        <v>1700</v>
      </c>
      <c r="E142" s="87">
        <f t="shared" si="20"/>
        <v>0</v>
      </c>
      <c r="F142" s="54">
        <f t="shared" si="21"/>
        <v>2</v>
      </c>
    </row>
    <row r="143" spans="1:10" ht="15.6" x14ac:dyDescent="0.3">
      <c r="D143" s="35">
        <f t="shared" si="22"/>
        <v>1800</v>
      </c>
      <c r="E143" s="87">
        <f t="shared" si="20"/>
        <v>0</v>
      </c>
      <c r="F143" s="54">
        <f t="shared" si="21"/>
        <v>2</v>
      </c>
    </row>
    <row r="144" spans="1:10" ht="15.6" x14ac:dyDescent="0.3">
      <c r="D144" s="35">
        <f t="shared" si="22"/>
        <v>1900</v>
      </c>
      <c r="E144" s="87">
        <f t="shared" si="20"/>
        <v>0</v>
      </c>
      <c r="F144" s="54">
        <f t="shared" si="21"/>
        <v>2</v>
      </c>
    </row>
    <row r="145" spans="4:13" ht="15.6" x14ac:dyDescent="0.3">
      <c r="D145" s="35">
        <f t="shared" si="22"/>
        <v>2000</v>
      </c>
      <c r="E145" s="87">
        <f t="shared" si="20"/>
        <v>0</v>
      </c>
      <c r="F145" s="54">
        <f t="shared" si="21"/>
        <v>2</v>
      </c>
    </row>
    <row r="146" spans="4:13" ht="16.2" thickBot="1" x14ac:dyDescent="0.35">
      <c r="D146" s="26">
        <f t="shared" si="22"/>
        <v>2100</v>
      </c>
      <c r="E146" s="93">
        <f t="shared" si="20"/>
        <v>0</v>
      </c>
      <c r="F146" s="25">
        <f t="shared" si="21"/>
        <v>2</v>
      </c>
    </row>
    <row r="151" spans="4:13" ht="15" thickBot="1" x14ac:dyDescent="0.35">
      <c r="H151" s="5" t="s">
        <v>76</v>
      </c>
    </row>
    <row r="152" spans="4:13" ht="20.399999999999999" x14ac:dyDescent="0.3">
      <c r="D152" s="94" t="s">
        <v>47</v>
      </c>
      <c r="E152" s="95" t="s">
        <v>77</v>
      </c>
      <c r="F152" s="96" t="s">
        <v>78</v>
      </c>
      <c r="G152" s="96" t="s">
        <v>79</v>
      </c>
      <c r="H152" s="96" t="s">
        <v>80</v>
      </c>
      <c r="I152" s="97" t="s">
        <v>81</v>
      </c>
    </row>
    <row r="153" spans="4:13" ht="15.6" x14ac:dyDescent="0.3">
      <c r="D153" s="35">
        <f>298.15</f>
        <v>298.14999999999998</v>
      </c>
      <c r="E153" s="98">
        <f xml:space="preserve"> ( SQRT($B$2)/$B$6) * SQRT(  (D153*D153*D153) / ($E$11 * $F$11 * $G$11 ) )</f>
        <v>42.483200497515185</v>
      </c>
      <c r="F153" s="92">
        <f>2</f>
        <v>2</v>
      </c>
      <c r="G153" s="53">
        <f xml:space="preserve"> ( (2*$B$2*$E$2*$A$2*D153)/($C$2*$C$2) )^(1.5) * ($A$2*D153) /$F$83</f>
        <v>2287492.2322255345</v>
      </c>
      <c r="H153" s="53">
        <f>PRODUCT(E54:E59)</f>
        <v>1.0879160355356148</v>
      </c>
      <c r="I153" s="99">
        <f>PRODUCT(E153:H153)</f>
        <v>211447341.38479584</v>
      </c>
      <c r="J153" s="63"/>
      <c r="K153" s="86"/>
      <c r="M153" s="53"/>
    </row>
    <row r="154" spans="4:13" ht="15.6" x14ac:dyDescent="0.3">
      <c r="D154" s="35">
        <f>300+100</f>
        <v>400</v>
      </c>
      <c r="E154" s="98">
        <f t="shared" ref="E154:E171" si="23" xml:space="preserve"> ( SQRT($B$2)/$B$6) * SQRT(  (D154*D154*D154) / ($E$11 * $F$11 * $G$11 ) )</f>
        <v>66.016879721460853</v>
      </c>
      <c r="F154" s="92">
        <f>2</f>
        <v>2</v>
      </c>
      <c r="G154" s="53">
        <f t="shared" ref="G154:G171" si="24" xml:space="preserve"> ( (2*$B$2*$E$2*$A$2*D154)/($C$2*$C$2) )^(1.5) * ($A$2*D154) /$F$83</f>
        <v>4768947.8366983775</v>
      </c>
      <c r="H154" s="53">
        <f>PRODUCT(F54:F59)</f>
        <v>1.1919254490326969</v>
      </c>
      <c r="I154" s="65">
        <f>PRODUCT(E154:H154)</f>
        <v>750510294.94855487</v>
      </c>
      <c r="M154" s="100"/>
    </row>
    <row r="155" spans="4:13" ht="15.6" x14ac:dyDescent="0.3">
      <c r="D155" s="35">
        <f t="shared" ref="D155:D171" si="25">D154+100</f>
        <v>500</v>
      </c>
      <c r="E155" s="98">
        <f t="shared" si="23"/>
        <v>92.261394199758641</v>
      </c>
      <c r="F155" s="92">
        <f>2</f>
        <v>2</v>
      </c>
      <c r="G155" s="53">
        <f t="shared" si="24"/>
        <v>8331009.018756289</v>
      </c>
      <c r="H155" s="53">
        <f>PRODUCT(G54:G59)</f>
        <v>1.3271897737125162</v>
      </c>
      <c r="I155" s="65">
        <f>PRODUCT(E155:H155)</f>
        <v>2040237097.7356682</v>
      </c>
      <c r="J155" s="5" t="s">
        <v>82</v>
      </c>
    </row>
    <row r="156" spans="4:13" ht="16.2" thickBot="1" x14ac:dyDescent="0.35">
      <c r="D156" s="35">
        <f t="shared" si="25"/>
        <v>600</v>
      </c>
      <c r="E156" s="98">
        <f t="shared" si="23"/>
        <v>121.28075229620185</v>
      </c>
      <c r="F156" s="92">
        <f>2</f>
        <v>2</v>
      </c>
      <c r="G156" s="53">
        <f t="shared" si="24"/>
        <v>13141674.911093393</v>
      </c>
      <c r="H156" s="53">
        <f>PRODUCT(H54:H59)</f>
        <v>1.495674258439128</v>
      </c>
      <c r="I156" s="65">
        <f t="shared" ref="I156:I171" si="26">PRODUCT(E156:H156)</f>
        <v>4767707646.4013948</v>
      </c>
    </row>
    <row r="157" spans="4:13" ht="16.2" thickBot="1" x14ac:dyDescent="0.35">
      <c r="D157" s="35">
        <f t="shared" si="25"/>
        <v>700</v>
      </c>
      <c r="E157" s="98">
        <f t="shared" si="23"/>
        <v>152.83121531601736</v>
      </c>
      <c r="F157" s="92">
        <f>2</f>
        <v>2</v>
      </c>
      <c r="G157" s="53">
        <f t="shared" si="24"/>
        <v>19320470.299244694</v>
      </c>
      <c r="H157" s="53">
        <f>PRODUCT(I54:I59)</f>
        <v>1.6995670382226815</v>
      </c>
      <c r="I157" s="65">
        <f t="shared" si="26"/>
        <v>10036864377.53347</v>
      </c>
      <c r="L157" s="16" t="s">
        <v>61</v>
      </c>
    </row>
    <row r="158" spans="4:13" ht="15.6" x14ac:dyDescent="0.3">
      <c r="D158" s="35">
        <f t="shared" si="25"/>
        <v>800</v>
      </c>
      <c r="E158" s="98">
        <f t="shared" si="23"/>
        <v>186.72393329528654</v>
      </c>
      <c r="F158" s="92">
        <f>2</f>
        <v>2</v>
      </c>
      <c r="G158" s="53">
        <f t="shared" si="24"/>
        <v>26977242.835634787</v>
      </c>
      <c r="H158" s="53">
        <f>PRODUCT(J54:J59)</f>
        <v>1.9424180654073449</v>
      </c>
      <c r="I158" s="65">
        <f t="shared" si="26"/>
        <v>19569072966.640293</v>
      </c>
      <c r="J158" s="79" t="s">
        <v>62</v>
      </c>
      <c r="K158" s="17" t="s">
        <v>83</v>
      </c>
      <c r="L158" s="80">
        <f>I153</f>
        <v>211447341.38479584</v>
      </c>
    </row>
    <row r="159" spans="4:13" ht="16.2" thickBot="1" x14ac:dyDescent="0.35">
      <c r="D159" s="35">
        <f t="shared" si="25"/>
        <v>900</v>
      </c>
      <c r="E159" s="98">
        <f t="shared" si="23"/>
        <v>222.80696905993037</v>
      </c>
      <c r="F159" s="92">
        <f>2</f>
        <v>2</v>
      </c>
      <c r="G159" s="53">
        <f t="shared" si="24"/>
        <v>36214197.634928361</v>
      </c>
      <c r="H159" s="53">
        <f>PRODUCT(K54:K59)</f>
        <v>2.2289515359803596</v>
      </c>
      <c r="I159" s="65">
        <f t="shared" si="26"/>
        <v>35969819587.58815</v>
      </c>
      <c r="J159" s="63" t="s">
        <v>64</v>
      </c>
      <c r="K159" s="26" t="s">
        <v>83</v>
      </c>
      <c r="L159" s="81">
        <v>1269430000</v>
      </c>
    </row>
    <row r="160" spans="4:13" ht="15.6" x14ac:dyDescent="0.3">
      <c r="D160" s="35">
        <f t="shared" si="25"/>
        <v>1000</v>
      </c>
      <c r="E160" s="98">
        <f t="shared" si="23"/>
        <v>260.95462992149822</v>
      </c>
      <c r="F160" s="92">
        <f>2</f>
        <v>2</v>
      </c>
      <c r="G160" s="53">
        <f t="shared" si="24"/>
        <v>47127303.770310991</v>
      </c>
      <c r="H160" s="53">
        <f>PRODUCT(L54:L59)</f>
        <v>2.5649202980068391</v>
      </c>
      <c r="I160" s="65">
        <f t="shared" si="26"/>
        <v>63087231663.523399</v>
      </c>
      <c r="L160" s="82" t="s">
        <v>58</v>
      </c>
    </row>
    <row r="161" spans="1:12" ht="15.6" x14ac:dyDescent="0.3">
      <c r="D161" s="35">
        <f t="shared" si="25"/>
        <v>1100</v>
      </c>
      <c r="E161" s="98">
        <f t="shared" si="23"/>
        <v>301.06067731589815</v>
      </c>
      <c r="F161" s="92">
        <f>2</f>
        <v>2</v>
      </c>
      <c r="G161" s="53">
        <f t="shared" si="24"/>
        <v>59807315.153493918</v>
      </c>
      <c r="H161" s="53">
        <f>PRODUCT(M54:M59)</f>
        <v>2.9570137497082425</v>
      </c>
      <c r="I161" s="65">
        <f t="shared" si="26"/>
        <v>106485795746.1424</v>
      </c>
      <c r="L161" s="101">
        <f>ABS(L158-L159)/L159</f>
        <v>0.83343127121243721</v>
      </c>
    </row>
    <row r="162" spans="1:12" ht="15.6" x14ac:dyDescent="0.3">
      <c r="D162" s="35">
        <f t="shared" si="25"/>
        <v>1200</v>
      </c>
      <c r="E162" s="98">
        <f t="shared" si="23"/>
        <v>343.03376950420113</v>
      </c>
      <c r="F162" s="92">
        <f>2</f>
        <v>2</v>
      </c>
      <c r="G162" s="53">
        <f t="shared" si="24"/>
        <v>74340539.566266268</v>
      </c>
      <c r="H162" s="53">
        <f>PRODUCT(N54:N59)</f>
        <v>3.412820280550243</v>
      </c>
      <c r="I162" s="65">
        <f t="shared" si="26"/>
        <v>174062813536.45874</v>
      </c>
      <c r="J162" s="5" t="s">
        <v>84</v>
      </c>
    </row>
    <row r="163" spans="1:12" ht="15.6" x14ac:dyDescent="0.3">
      <c r="D163" s="35">
        <f t="shared" si="25"/>
        <v>1300</v>
      </c>
      <c r="E163" s="98">
        <f t="shared" si="23"/>
        <v>386.79427293303218</v>
      </c>
      <c r="F163" s="92">
        <f>2</f>
        <v>2</v>
      </c>
      <c r="G163" s="53">
        <f t="shared" si="24"/>
        <v>90809435.201054558</v>
      </c>
      <c r="H163" s="53">
        <f>PRODUCT(O54:O59)</f>
        <v>3.9408310002103644</v>
      </c>
      <c r="I163" s="65">
        <f t="shared" si="26"/>
        <v>276839984425.95056</v>
      </c>
      <c r="J163" s="86">
        <f>L158/L159</f>
        <v>0.16656872878756279</v>
      </c>
    </row>
    <row r="164" spans="1:12" ht="15.6" x14ac:dyDescent="0.3">
      <c r="D164" s="35">
        <f t="shared" si="25"/>
        <v>1400</v>
      </c>
      <c r="E164" s="98">
        <f t="shared" si="23"/>
        <v>432.27195490774886</v>
      </c>
      <c r="F164" s="92">
        <f>2</f>
        <v>2</v>
      </c>
      <c r="G164" s="53">
        <f t="shared" si="24"/>
        <v>109293084.51447242</v>
      </c>
      <c r="H164" s="53">
        <f>PRODUCT(P54:P59)</f>
        <v>4.5504705385347535</v>
      </c>
      <c r="I164" s="65">
        <f t="shared" si="26"/>
        <v>429967911799.43201</v>
      </c>
    </row>
    <row r="165" spans="1:12" ht="15.6" x14ac:dyDescent="0.3">
      <c r="D165" s="35">
        <f t="shared" si="25"/>
        <v>1500</v>
      </c>
      <c r="E165" s="98">
        <f t="shared" si="23"/>
        <v>479.40426699336751</v>
      </c>
      <c r="F165" s="92">
        <f>2</f>
        <v>2</v>
      </c>
      <c r="G165" s="53">
        <f t="shared" si="24"/>
        <v>129867578.08920522</v>
      </c>
      <c r="H165" s="53">
        <f>PRODUCT(Q54:Q59)</f>
        <v>5.2521445332737331</v>
      </c>
      <c r="I165" s="65">
        <f t="shared" si="26"/>
        <v>653987279639.66895</v>
      </c>
    </row>
    <row r="166" spans="1:12" ht="15.6" x14ac:dyDescent="0.3">
      <c r="D166" s="35">
        <f t="shared" si="25"/>
        <v>1600</v>
      </c>
      <c r="E166" s="98">
        <f t="shared" si="23"/>
        <v>528.13503777168683</v>
      </c>
      <c r="F166" s="92">
        <f>2</f>
        <v>2</v>
      </c>
      <c r="G166" s="53">
        <f t="shared" si="24"/>
        <v>152606330.77434894</v>
      </c>
      <c r="H166" s="53">
        <f>PRODUCT(R54:R59)</f>
        <v>6.0572973214317702</v>
      </c>
      <c r="I166" s="65">
        <f t="shared" si="26"/>
        <v>976396959025.40198</v>
      </c>
    </row>
    <row r="167" spans="1:12" ht="15.6" x14ac:dyDescent="0.3">
      <c r="D167" s="35">
        <f t="shared" si="25"/>
        <v>1700</v>
      </c>
      <c r="E167" s="98">
        <f t="shared" si="23"/>
        <v>578.41345735121934</v>
      </c>
      <c r="F167" s="92">
        <f>2</f>
        <v>2</v>
      </c>
      <c r="G167" s="53">
        <f t="shared" si="24"/>
        <v>177580345.74809426</v>
      </c>
      <c r="H167" s="53">
        <f>PRODUCT(S54:S59)</f>
        <v>6.9784761019494326</v>
      </c>
      <c r="I167" s="65">
        <f t="shared" si="26"/>
        <v>1433586415960.105</v>
      </c>
    </row>
    <row r="168" spans="1:12" ht="15.6" x14ac:dyDescent="0.3">
      <c r="D168" s="35">
        <f t="shared" si="25"/>
        <v>1800</v>
      </c>
      <c r="E168" s="98">
        <f t="shared" si="23"/>
        <v>630.19327487159228</v>
      </c>
      <c r="F168" s="92">
        <f>2</f>
        <v>2</v>
      </c>
      <c r="G168" s="53">
        <f t="shared" si="24"/>
        <v>204858437.78310198</v>
      </c>
      <c r="H168" s="53">
        <f>PRODUCT(T54:T59)</f>
        <v>8.029399523047223</v>
      </c>
      <c r="I168" s="65">
        <f t="shared" si="26"/>
        <v>2073197537611.9309</v>
      </c>
    </row>
    <row r="169" spans="1:12" ht="15.6" x14ac:dyDescent="0.3">
      <c r="D169" s="35">
        <f t="shared" si="25"/>
        <v>1900</v>
      </c>
      <c r="E169" s="98">
        <f t="shared" si="23"/>
        <v>683.4321547751025</v>
      </c>
      <c r="F169" s="92">
        <f>2</f>
        <v>2</v>
      </c>
      <c r="G169" s="53">
        <f t="shared" si="24"/>
        <v>234507424.03355908</v>
      </c>
      <c r="H169" s="53">
        <f>PRODUCT(U54:U59)</f>
        <v>9.2250296080843146</v>
      </c>
      <c r="I169" s="65">
        <f>PRODUCT(E169:H169)</f>
        <v>2956989406047.6177</v>
      </c>
    </row>
    <row r="170" spans="1:12" ht="15.6" x14ac:dyDescent="0.3">
      <c r="D170" s="35">
        <f t="shared" si="25"/>
        <v>2000</v>
      </c>
      <c r="E170" s="98">
        <f t="shared" si="23"/>
        <v>738.09115359806913</v>
      </c>
      <c r="F170" s="92">
        <f>2</f>
        <v>2</v>
      </c>
      <c r="G170" s="53">
        <f t="shared" si="24"/>
        <v>266592288.60020271</v>
      </c>
      <c r="H170" s="53">
        <f>PRODUCT(V54:V59)</f>
        <v>10.581646458527063</v>
      </c>
      <c r="I170" s="65">
        <f t="shared" si="26"/>
        <v>4164288657417.4263</v>
      </c>
    </row>
    <row r="171" spans="1:12" ht="16.2" thickBot="1" x14ac:dyDescent="0.35">
      <c r="D171" s="26">
        <f t="shared" si="25"/>
        <v>2100</v>
      </c>
      <c r="E171" s="102">
        <f t="shared" si="23"/>
        <v>794.13428972952261</v>
      </c>
      <c r="F171" s="103">
        <f>2</f>
        <v>2</v>
      </c>
      <c r="G171" s="57">
        <f t="shared" si="24"/>
        <v>301176325.65975451</v>
      </c>
      <c r="H171" s="57">
        <f>PRODUCT(W54:W59)</f>
        <v>12.116925451430598</v>
      </c>
      <c r="I171" s="67">
        <f t="shared" si="26"/>
        <v>5796117899547.876</v>
      </c>
    </row>
    <row r="174" spans="1:12" ht="15" thickBot="1" x14ac:dyDescent="0.35">
      <c r="A174" s="5" t="s">
        <v>85</v>
      </c>
      <c r="B174" s="208" t="s">
        <v>86</v>
      </c>
      <c r="C174" s="208"/>
      <c r="D174" s="208"/>
      <c r="E174" s="208"/>
      <c r="F174" s="208"/>
      <c r="G174" s="104"/>
      <c r="H174" s="208" t="s">
        <v>87</v>
      </c>
      <c r="I174" s="208"/>
      <c r="J174" s="208"/>
      <c r="K174" s="208"/>
    </row>
    <row r="175" spans="1:12" ht="18" x14ac:dyDescent="0.3">
      <c r="A175" s="5" t="s">
        <v>88</v>
      </c>
      <c r="B175" s="95" t="s">
        <v>47</v>
      </c>
      <c r="C175" s="16" t="s">
        <v>89</v>
      </c>
      <c r="D175" s="16" t="s">
        <v>37</v>
      </c>
      <c r="E175" s="16" t="s">
        <v>38</v>
      </c>
      <c r="F175" s="16" t="s">
        <v>90</v>
      </c>
      <c r="G175" s="104" t="s">
        <v>91</v>
      </c>
      <c r="H175" s="95" t="s">
        <v>47</v>
      </c>
      <c r="I175" s="16" t="s">
        <v>89</v>
      </c>
      <c r="J175" s="16" t="s">
        <v>37</v>
      </c>
      <c r="K175" s="16" t="s">
        <v>38</v>
      </c>
      <c r="L175" s="16" t="s">
        <v>90</v>
      </c>
    </row>
    <row r="176" spans="1:12" ht="15" thickBot="1" x14ac:dyDescent="0.35">
      <c r="B176" s="35">
        <f>298.15</f>
        <v>298.14999999999998</v>
      </c>
      <c r="C176" s="55">
        <f>3/2*$D$2*B176</f>
        <v>3718.4397401999995</v>
      </c>
      <c r="D176" s="55">
        <f t="shared" ref="D176:D194" si="27">3/2*$D$2*B176</f>
        <v>3718.4397401999995</v>
      </c>
      <c r="E176" s="55" cm="1">
        <f t="array" ref="E176">$D$2*SUM( ($B$12:$B$17)/(EXP($B$12:$B$17/B176)-1) + 0.5*$B$12:$B$17)</f>
        <v>78853.128834825882</v>
      </c>
      <c r="F176" s="58">
        <v>0</v>
      </c>
      <c r="H176" s="132">
        <f>298.15</f>
        <v>298.14999999999998</v>
      </c>
      <c r="I176" s="105">
        <f>3/2*$D$2*H176 /4184</f>
        <v>0.8887284273900572</v>
      </c>
      <c r="J176" s="105">
        <f>3/2*$D$2*H176 / 4184</f>
        <v>0.8887284273900572</v>
      </c>
      <c r="K176" s="105" cm="1">
        <f t="array" ref="K176">$D$2*SUM( ($B$12:$B$17)/(EXP($B$12:$B$17/B176)-1) + 0.5*$B$12:$B$17) / 4184</f>
        <v>18.846350103925879</v>
      </c>
      <c r="L176" s="106">
        <f xml:space="preserve"> F176/4184</f>
        <v>0</v>
      </c>
    </row>
    <row r="177" spans="2:14" x14ac:dyDescent="0.3">
      <c r="B177" s="35">
        <f>300+100</f>
        <v>400</v>
      </c>
      <c r="C177" s="55">
        <f t="shared" ref="C177:C194" si="28">3/2*$D$2*B177</f>
        <v>4988.6831999999995</v>
      </c>
      <c r="D177" s="55">
        <f t="shared" si="27"/>
        <v>4988.6831999999995</v>
      </c>
      <c r="E177" s="55" cm="1">
        <f t="array" ref="E177">$D$2*SUM( ($B$12:$B$17)/(EXP($B$12:$B$17/B177)-1) + 0.5*$B$12:$B$17)</f>
        <v>79605.336926977194</v>
      </c>
      <c r="H177" s="35">
        <f>300+100</f>
        <v>400</v>
      </c>
      <c r="I177" s="55">
        <f t="shared" ref="I177:I194" si="29">3/2*$D$2*H177 /4184</f>
        <v>1.1923239005736137</v>
      </c>
      <c r="J177" s="55">
        <f t="shared" ref="J177:J194" si="30">3/2*$D$2*H177 / 4184</f>
        <v>1.1923239005736137</v>
      </c>
      <c r="K177" s="55" cm="1">
        <f t="array" ref="K177">$D$2*SUM( ($B$12:$B$17)/(EXP($B$12:$B$17/B177)-1) + 0.5*$B$12:$B$17) / 4184</f>
        <v>19.026132152719214</v>
      </c>
      <c r="M177" s="212" t="s">
        <v>92</v>
      </c>
      <c r="N177" s="212"/>
    </row>
    <row r="178" spans="2:14" ht="18.600000000000001" thickBot="1" x14ac:dyDescent="0.35">
      <c r="B178" s="35">
        <f t="shared" ref="B178:B194" si="31">B177+100</f>
        <v>500</v>
      </c>
      <c r="C178" s="55">
        <f t="shared" si="28"/>
        <v>6235.8539999999994</v>
      </c>
      <c r="D178" s="55">
        <f t="shared" si="27"/>
        <v>6235.8539999999994</v>
      </c>
      <c r="E178" s="55" cm="1">
        <f t="array" ref="E178">$D$2*SUM( ($B$12:$B$17)/(EXP($B$12:$B$17/B178)-1) + 0.5*$B$12:$B$17)</f>
        <v>80652.273921431042</v>
      </c>
      <c r="H178" s="35">
        <f t="shared" ref="H178:H194" si="32">H177+100</f>
        <v>500</v>
      </c>
      <c r="I178" s="55">
        <f t="shared" si="29"/>
        <v>1.490404875717017</v>
      </c>
      <c r="J178" s="55">
        <f t="shared" si="30"/>
        <v>1.490404875717017</v>
      </c>
      <c r="K178" s="55" cm="1">
        <f t="array" ref="K178">$D$2*SUM( ($B$12:$B$17)/(EXP($B$12:$B$17/B178)-1) + 0.5*$B$12:$B$17) / 4184</f>
        <v>19.276356099768414</v>
      </c>
      <c r="M178" s="213" t="s">
        <v>93</v>
      </c>
      <c r="N178" s="213"/>
    </row>
    <row r="179" spans="2:14" x14ac:dyDescent="0.3">
      <c r="B179" s="35">
        <f t="shared" si="31"/>
        <v>600</v>
      </c>
      <c r="C179" s="55">
        <f t="shared" si="28"/>
        <v>7483.0248000000001</v>
      </c>
      <c r="D179" s="55">
        <f t="shared" si="27"/>
        <v>7483.0248000000001</v>
      </c>
      <c r="E179" s="55" cm="1">
        <f t="array" ref="E179">$D$2*SUM( ($B$12:$B$17)/(EXP($B$12:$B$17/B179)-1) + 0.5*$B$12:$B$17)</f>
        <v>81993.835645510248</v>
      </c>
      <c r="H179" s="35">
        <f t="shared" si="32"/>
        <v>600</v>
      </c>
      <c r="I179" s="55">
        <f t="shared" si="29"/>
        <v>1.7884858508604207</v>
      </c>
      <c r="J179" s="55">
        <f t="shared" si="30"/>
        <v>1.7884858508604207</v>
      </c>
      <c r="K179" s="55" cm="1">
        <f t="array" ref="K179">$D$2*SUM( ($B$12:$B$17)/(EXP($B$12:$B$17/B179)-1) + 0.5*$B$12:$B$17) / 4184</f>
        <v>19.596997047206081</v>
      </c>
      <c r="M179" s="133"/>
      <c r="N179" s="134" t="s">
        <v>28</v>
      </c>
    </row>
    <row r="180" spans="2:14" x14ac:dyDescent="0.3">
      <c r="B180" s="35">
        <f t="shared" si="31"/>
        <v>700</v>
      </c>
      <c r="C180" s="55">
        <f t="shared" si="28"/>
        <v>8730.1955999999991</v>
      </c>
      <c r="D180" s="55">
        <f t="shared" si="27"/>
        <v>8730.1955999999991</v>
      </c>
      <c r="E180" s="55" cm="1">
        <f t="array" ref="E180">$D$2*SUM( ($B$12:$B$17)/(EXP($B$12:$B$17/B180)-1) + 0.5*$B$12:$B$17)</f>
        <v>83615.386288824026</v>
      </c>
      <c r="H180" s="35">
        <f t="shared" si="32"/>
        <v>700</v>
      </c>
      <c r="I180" s="55">
        <f t="shared" si="29"/>
        <v>2.0865668260038239</v>
      </c>
      <c r="J180" s="55">
        <f t="shared" si="30"/>
        <v>2.0865668260038239</v>
      </c>
      <c r="K180" s="55" cm="1">
        <f t="array" ref="K180">$D$2*SUM( ($B$12:$B$17)/(EXP($B$12:$B$17/B180)-1) + 0.5*$B$12:$B$17) / 4184</f>
        <v>19.984556952395799</v>
      </c>
      <c r="M180" s="132"/>
      <c r="N180" s="135" t="s">
        <v>31</v>
      </c>
    </row>
    <row r="181" spans="2:14" x14ac:dyDescent="0.3">
      <c r="B181" s="35">
        <f t="shared" si="31"/>
        <v>800</v>
      </c>
      <c r="C181" s="55">
        <f t="shared" si="28"/>
        <v>9977.366399999999</v>
      </c>
      <c r="D181" s="55">
        <f t="shared" si="27"/>
        <v>9977.366399999999</v>
      </c>
      <c r="E181" s="55" cm="1">
        <f t="array" ref="E181">$D$2*SUM( ($B$12:$B$17)/(EXP($B$12:$B$17/B181)-1) + 0.5*$B$12:$B$17)</f>
        <v>85504.822012960882</v>
      </c>
      <c r="H181" s="35">
        <f t="shared" si="32"/>
        <v>800</v>
      </c>
      <c r="I181" s="55">
        <f t="shared" si="29"/>
        <v>2.3846478011472274</v>
      </c>
      <c r="J181" s="55">
        <f t="shared" si="30"/>
        <v>2.3846478011472274</v>
      </c>
      <c r="K181" s="55" cm="1">
        <f t="array" ref="K181">$D$2*SUM( ($B$12:$B$17)/(EXP($B$12:$B$17/B181)-1) + 0.5*$B$12:$B$17) / 4184</f>
        <v>20.436142928527936</v>
      </c>
      <c r="M181" s="132" t="s">
        <v>33</v>
      </c>
      <c r="N181" s="136">
        <v>20.623999999999999</v>
      </c>
    </row>
    <row r="182" spans="2:14" x14ac:dyDescent="0.3">
      <c r="B182" s="35">
        <f t="shared" si="31"/>
        <v>900</v>
      </c>
      <c r="C182" s="55">
        <f t="shared" si="28"/>
        <v>11224.537199999999</v>
      </c>
      <c r="D182" s="55">
        <f t="shared" si="27"/>
        <v>11224.537199999999</v>
      </c>
      <c r="E182" s="55" cm="1">
        <f t="array" ref="E182">$D$2*SUM( ($B$12:$B$17)/(EXP($B$12:$B$17/B182)-1) + 0.5*$B$12:$B$17)</f>
        <v>87650.66090077933</v>
      </c>
      <c r="H182" s="35">
        <f t="shared" si="32"/>
        <v>900</v>
      </c>
      <c r="I182" s="55">
        <f t="shared" si="29"/>
        <v>2.6827287762906309</v>
      </c>
      <c r="J182" s="55">
        <f t="shared" si="30"/>
        <v>2.6827287762906309</v>
      </c>
      <c r="K182" s="55" cm="1">
        <f t="array" ref="K182">$D$2*SUM( ($B$12:$B$17)/(EXP($B$12:$B$17/B182)-1) + 0.5*$B$12:$B$17) / 4184</f>
        <v>20.949010731543819</v>
      </c>
      <c r="M182" s="132" t="s">
        <v>34</v>
      </c>
      <c r="N182" s="136">
        <v>0</v>
      </c>
    </row>
    <row r="183" spans="2:14" x14ac:dyDescent="0.3">
      <c r="B183" s="35">
        <f t="shared" si="31"/>
        <v>1000</v>
      </c>
      <c r="C183" s="55">
        <f t="shared" si="28"/>
        <v>12471.707999999999</v>
      </c>
      <c r="D183" s="55">
        <f t="shared" si="27"/>
        <v>12471.707999999999</v>
      </c>
      <c r="E183" s="55" cm="1">
        <f t="array" ref="E183">$D$2*SUM( ($B$12:$B$17)/(EXP($B$12:$B$17/B183)-1) + 0.5*$B$12:$B$17)</f>
        <v>90039.646132177179</v>
      </c>
      <c r="H183" s="35">
        <f t="shared" si="32"/>
        <v>1000</v>
      </c>
      <c r="I183" s="55">
        <f t="shared" si="29"/>
        <v>2.9808097514340339</v>
      </c>
      <c r="J183" s="55">
        <f t="shared" si="30"/>
        <v>2.9808097514340339</v>
      </c>
      <c r="K183" s="55" cm="1">
        <f t="array" ref="K183">$D$2*SUM( ($B$12:$B$17)/(EXP($B$12:$B$17/B183)-1) + 0.5*$B$12:$B$17) / 4184</f>
        <v>21.519991905396076</v>
      </c>
      <c r="M183" s="132" t="s">
        <v>36</v>
      </c>
      <c r="N183" s="136">
        <v>0.88900000000000001</v>
      </c>
    </row>
    <row r="184" spans="2:14" x14ac:dyDescent="0.3">
      <c r="B184" s="35">
        <f t="shared" si="31"/>
        <v>1100</v>
      </c>
      <c r="C184" s="55">
        <f t="shared" si="28"/>
        <v>13718.8788</v>
      </c>
      <c r="D184" s="55">
        <f t="shared" si="27"/>
        <v>13718.8788</v>
      </c>
      <c r="E184" s="55" cm="1">
        <f t="array" ref="E184">$D$2*SUM( ($B$12:$B$17)/(EXP($B$12:$B$17/B184)-1) + 0.5*$B$12:$B$17)</f>
        <v>92656.134765581315</v>
      </c>
      <c r="H184" s="35">
        <f t="shared" si="32"/>
        <v>1100</v>
      </c>
      <c r="I184" s="55">
        <f t="shared" si="29"/>
        <v>3.2788907265774379</v>
      </c>
      <c r="J184" s="55">
        <f t="shared" si="30"/>
        <v>3.2788907265774379</v>
      </c>
      <c r="K184" s="55" cm="1">
        <f t="array" ref="K184">$D$2*SUM( ($B$12:$B$17)/(EXP($B$12:$B$17/B184)-1) + 0.5*$B$12:$B$17) / 4184</f>
        <v>22.14534769731867</v>
      </c>
      <c r="M184" s="132" t="s">
        <v>37</v>
      </c>
      <c r="N184" s="136">
        <v>0.88900000000000001</v>
      </c>
    </row>
    <row r="185" spans="2:14" x14ac:dyDescent="0.3">
      <c r="B185" s="35">
        <f t="shared" si="31"/>
        <v>1200</v>
      </c>
      <c r="C185" s="55">
        <f t="shared" si="28"/>
        <v>14966.0496</v>
      </c>
      <c r="D185" s="55">
        <f t="shared" si="27"/>
        <v>14966.0496</v>
      </c>
      <c r="E185" s="55" cm="1">
        <f t="array" ref="E185">$D$2*SUM( ($B$12:$B$17)/(EXP($B$12:$B$17/B185)-1) + 0.5*$B$12:$B$17)</f>
        <v>95482.719109827522</v>
      </c>
      <c r="H185" s="35">
        <f t="shared" si="32"/>
        <v>1200</v>
      </c>
      <c r="I185" s="55">
        <f t="shared" si="29"/>
        <v>3.5769717017208413</v>
      </c>
      <c r="J185" s="55">
        <f t="shared" si="30"/>
        <v>3.5769717017208413</v>
      </c>
      <c r="K185" s="55" cm="1">
        <f t="array" ref="K185">$D$2*SUM( ($B$12:$B$17)/(EXP($B$12:$B$17/B185)-1) + 0.5*$B$12:$B$17) / 4184</f>
        <v>22.820917569270438</v>
      </c>
      <c r="M185" s="132" t="s">
        <v>38</v>
      </c>
      <c r="N185" s="136">
        <v>18.846</v>
      </c>
    </row>
    <row r="186" spans="2:14" ht="15" thickBot="1" x14ac:dyDescent="0.35">
      <c r="B186" s="35">
        <f t="shared" si="31"/>
        <v>1300</v>
      </c>
      <c r="C186" s="55">
        <f t="shared" si="28"/>
        <v>16213.2204</v>
      </c>
      <c r="D186" s="55">
        <f t="shared" si="27"/>
        <v>16213.2204</v>
      </c>
      <c r="E186" s="55" cm="1">
        <f t="array" ref="E186">$D$2*SUM( ($B$12:$B$17)/(EXP($B$12:$B$17/B186)-1) + 0.5*$B$12:$B$17)</f>
        <v>98501.233245900759</v>
      </c>
      <c r="H186" s="35">
        <f t="shared" si="32"/>
        <v>1300</v>
      </c>
      <c r="I186" s="55">
        <f t="shared" si="29"/>
        <v>3.8750526768642448</v>
      </c>
      <c r="J186" s="55">
        <f t="shared" si="30"/>
        <v>3.8750526768642448</v>
      </c>
      <c r="K186" s="55" cm="1">
        <f t="array" ref="K186">$D$2*SUM( ($B$12:$B$17)/(EXP($B$12:$B$17/B186)-1) + 0.5*$B$12:$B$17) / 4184</f>
        <v>23.54235976240458</v>
      </c>
      <c r="M186" s="137" t="s">
        <v>108</v>
      </c>
      <c r="N186" s="138">
        <v>0.88100000000000001</v>
      </c>
    </row>
    <row r="187" spans="2:14" x14ac:dyDescent="0.3">
      <c r="B187" s="35">
        <f t="shared" si="31"/>
        <v>1400</v>
      </c>
      <c r="C187" s="55">
        <f t="shared" si="28"/>
        <v>17460.391199999998</v>
      </c>
      <c r="D187" s="55">
        <f t="shared" si="27"/>
        <v>17460.391199999998</v>
      </c>
      <c r="E187" s="55" cm="1">
        <f t="array" ref="E187">$D$2*SUM( ($B$12:$B$17)/(EXP($B$12:$B$17/B187)-1) + 0.5*$B$12:$B$17)</f>
        <v>101693.66466148462</v>
      </c>
      <c r="H187" s="35">
        <f t="shared" si="32"/>
        <v>1400</v>
      </c>
      <c r="I187" s="55">
        <f t="shared" si="29"/>
        <v>4.1731336520076479</v>
      </c>
      <c r="J187" s="55">
        <f t="shared" si="30"/>
        <v>4.1731336520076479</v>
      </c>
      <c r="K187" s="55" cm="1">
        <f t="array" ref="K187">$D$2*SUM( ($B$12:$B$17)/(EXP($B$12:$B$17/B187)-1) + 0.5*$B$12:$B$17) / 4184</f>
        <v>24.305369182955218</v>
      </c>
    </row>
    <row r="188" spans="2:14" ht="15" thickBot="1" x14ac:dyDescent="0.35">
      <c r="B188" s="35">
        <f t="shared" si="31"/>
        <v>1500</v>
      </c>
      <c r="C188" s="55">
        <f t="shared" si="28"/>
        <v>18707.561999999998</v>
      </c>
      <c r="D188" s="55">
        <f t="shared" si="27"/>
        <v>18707.561999999998</v>
      </c>
      <c r="E188" s="55" cm="1">
        <f t="array" ref="E188">$D$2*SUM( ($B$12:$B$17)/(EXP($B$12:$B$17/B188)-1) + 0.5*$B$12:$B$17)</f>
        <v>105042.80744523836</v>
      </c>
      <c r="H188" s="35">
        <f t="shared" si="32"/>
        <v>1500</v>
      </c>
      <c r="I188" s="55">
        <f t="shared" si="29"/>
        <v>4.4712146271510509</v>
      </c>
      <c r="J188" s="55">
        <f t="shared" si="30"/>
        <v>4.4712146271510509</v>
      </c>
      <c r="K188" s="55" cm="1">
        <f t="array" ref="K188">$D$2*SUM( ($B$12:$B$17)/(EXP($B$12:$B$17/B188)-1) + 0.5*$B$12:$B$17) / 4184</f>
        <v>25.105833519416432</v>
      </c>
    </row>
    <row r="189" spans="2:14" ht="15" thickBot="1" x14ac:dyDescent="0.35">
      <c r="B189" s="35">
        <f t="shared" si="31"/>
        <v>1600</v>
      </c>
      <c r="C189" s="55">
        <f t="shared" si="28"/>
        <v>19954.732799999998</v>
      </c>
      <c r="D189" s="55">
        <f t="shared" si="27"/>
        <v>19954.732799999998</v>
      </c>
      <c r="E189" s="55" cm="1">
        <f t="array" ref="E189">$D$2*SUM( ($B$12:$B$17)/(EXP($B$12:$B$17/B189)-1) + 0.5*$B$12:$B$17)</f>
        <v>108532.65532224525</v>
      </c>
      <c r="H189" s="35">
        <f t="shared" si="32"/>
        <v>1600</v>
      </c>
      <c r="I189" s="55">
        <f t="shared" si="29"/>
        <v>4.7692956022944548</v>
      </c>
      <c r="J189" s="55">
        <f t="shared" si="30"/>
        <v>4.7692956022944548</v>
      </c>
      <c r="K189" s="55" cm="1">
        <f t="array" ref="K189">$D$2*SUM( ($B$12:$B$17)/(EXP($B$12:$B$17/B189)-1) + 0.5*$B$12:$B$17) / 4184</f>
        <v>25.939927180268942</v>
      </c>
      <c r="M189" s="30" t="s">
        <v>94</v>
      </c>
      <c r="N189" s="107">
        <f>SUM(I176:L176)</f>
        <v>20.623806958705995</v>
      </c>
    </row>
    <row r="190" spans="2:14" x14ac:dyDescent="0.3">
      <c r="B190" s="35">
        <f t="shared" si="31"/>
        <v>1700</v>
      </c>
      <c r="C190" s="55">
        <f t="shared" si="28"/>
        <v>21201.903599999998</v>
      </c>
      <c r="D190" s="55">
        <f t="shared" si="27"/>
        <v>21201.903599999998</v>
      </c>
      <c r="E190" s="55" cm="1">
        <f t="array" ref="E190">$D$2*SUM( ($B$12:$B$17)/(EXP($B$12:$B$17/B190)-1) + 0.5*$B$12:$B$17)</f>
        <v>112148.59046274351</v>
      </c>
      <c r="H190" s="35">
        <f t="shared" si="32"/>
        <v>1700</v>
      </c>
      <c r="I190" s="55">
        <f t="shared" si="29"/>
        <v>5.0673765774378579</v>
      </c>
      <c r="J190" s="55">
        <f t="shared" si="30"/>
        <v>5.0673765774378579</v>
      </c>
      <c r="K190" s="55" cm="1">
        <f t="array" ref="K190">$D$2*SUM( ($B$12:$B$17)/(EXP($B$12:$B$17/B190)-1) + 0.5*$B$12:$B$17) / 4184</f>
        <v>26.804156420349788</v>
      </c>
    </row>
    <row r="191" spans="2:14" x14ac:dyDescent="0.3">
      <c r="B191" s="35">
        <f t="shared" si="31"/>
        <v>1800</v>
      </c>
      <c r="C191" s="55">
        <f t="shared" si="28"/>
        <v>22449.074399999998</v>
      </c>
      <c r="D191" s="55">
        <f t="shared" si="27"/>
        <v>22449.074399999998</v>
      </c>
      <c r="E191" s="55" cm="1">
        <f t="array" ref="E191">$D$2*SUM( ($B$12:$B$17)/(EXP($B$12:$B$17/B191)-1) + 0.5*$B$12:$B$17)</f>
        <v>115877.4315729589</v>
      </c>
      <c r="H191" s="35">
        <f t="shared" si="32"/>
        <v>1800</v>
      </c>
      <c r="I191" s="55">
        <f t="shared" si="29"/>
        <v>5.3654575525812618</v>
      </c>
      <c r="J191" s="55">
        <f t="shared" si="30"/>
        <v>5.3654575525812618</v>
      </c>
      <c r="K191" s="55" cm="1">
        <f t="array" ref="K191">$D$2*SUM( ($B$12:$B$17)/(EXP($B$12:$B$17/B191)-1) + 0.5*$B$12:$B$17) / 4184</f>
        <v>27.695370834837213</v>
      </c>
    </row>
    <row r="192" spans="2:14" x14ac:dyDescent="0.3">
      <c r="B192" s="35">
        <f t="shared" si="31"/>
        <v>1900</v>
      </c>
      <c r="C192" s="55">
        <f t="shared" si="28"/>
        <v>23696.245199999998</v>
      </c>
      <c r="D192" s="55">
        <f t="shared" si="27"/>
        <v>23696.245199999998</v>
      </c>
      <c r="E192" s="55" cm="1">
        <f t="array" ref="E192">$D$2*SUM( ($B$12:$B$17)/(EXP($B$12:$B$17/B192)-1) + 0.5*$B$12:$B$17)</f>
        <v>119707.39402839958</v>
      </c>
      <c r="H192" s="35">
        <f t="shared" si="32"/>
        <v>1900</v>
      </c>
      <c r="I192" s="55">
        <f t="shared" si="29"/>
        <v>5.6635385277246648</v>
      </c>
      <c r="J192" s="55">
        <f t="shared" si="30"/>
        <v>5.6635385277246648</v>
      </c>
      <c r="K192" s="55" cm="1">
        <f t="array" ref="K192">$D$2*SUM( ($B$12:$B$17)/(EXP($B$12:$B$17/B192)-1) + 0.5*$B$12:$B$17) / 4184</f>
        <v>28.610753830879439</v>
      </c>
    </row>
    <row r="193" spans="1:15" x14ac:dyDescent="0.3">
      <c r="B193" s="35">
        <f t="shared" si="31"/>
        <v>2000</v>
      </c>
      <c r="C193" s="55">
        <f t="shared" si="28"/>
        <v>24943.415999999997</v>
      </c>
      <c r="D193" s="55">
        <f t="shared" si="27"/>
        <v>24943.415999999997</v>
      </c>
      <c r="E193" s="55" cm="1">
        <f t="array" ref="E193">$D$2*SUM( ($B$12:$B$17)/(EXP($B$12:$B$17/B193)-1) + 0.5*$B$12:$B$17)</f>
        <v>123628.00039164079</v>
      </c>
      <c r="H193" s="35">
        <f t="shared" si="32"/>
        <v>2000</v>
      </c>
      <c r="I193" s="55">
        <f t="shared" si="29"/>
        <v>5.9616195028680679</v>
      </c>
      <c r="J193" s="55">
        <f t="shared" si="30"/>
        <v>5.9616195028680679</v>
      </c>
      <c r="K193" s="55" cm="1">
        <f t="array" ref="K193">$D$2*SUM( ($B$12:$B$17)/(EXP($B$12:$B$17/B193)-1) + 0.5*$B$12:$B$17) / 4184</f>
        <v>29.547801240831927</v>
      </c>
    </row>
    <row r="194" spans="1:15" ht="15" thickBot="1" x14ac:dyDescent="0.35">
      <c r="B194" s="26">
        <f t="shared" si="31"/>
        <v>2100</v>
      </c>
      <c r="C194" s="58">
        <f t="shared" si="28"/>
        <v>26190.586799999997</v>
      </c>
      <c r="D194" s="58">
        <f t="shared" si="27"/>
        <v>26190.586799999997</v>
      </c>
      <c r="E194" s="58" cm="1">
        <f t="array" ref="E194">$D$2*SUM( ($B$12:$B$17)/(EXP($B$12:$B$17/B194)-1) + 0.5*$B$12:$B$17)</f>
        <v>127629.96703186055</v>
      </c>
      <c r="F194" s="53"/>
      <c r="H194" s="26">
        <f t="shared" si="32"/>
        <v>2100</v>
      </c>
      <c r="I194" s="58">
        <f t="shared" si="29"/>
        <v>6.2597004780114718</v>
      </c>
      <c r="J194" s="58">
        <f t="shared" si="30"/>
        <v>6.2597004780114718</v>
      </c>
      <c r="K194" s="58" cm="1">
        <f t="array" ref="K194">$D$2*SUM( ($B$12:$B$17)/(EXP($B$12:$B$17/B194)-1) + 0.5*$B$12:$B$17) / 4184</f>
        <v>30.504294223676041</v>
      </c>
      <c r="L194" s="53"/>
    </row>
    <row r="196" spans="1:15" ht="15" thickBot="1" x14ac:dyDescent="0.35"/>
    <row r="197" spans="1:15" ht="15" thickBot="1" x14ac:dyDescent="0.35">
      <c r="F197" s="17"/>
      <c r="G197" s="18"/>
      <c r="H197" s="18"/>
      <c r="I197" s="19"/>
      <c r="K197" s="52" t="s">
        <v>95</v>
      </c>
    </row>
    <row r="198" spans="1:15" ht="16.8" thickBot="1" x14ac:dyDescent="0.35">
      <c r="B198" s="108" t="s">
        <v>96</v>
      </c>
      <c r="C198" s="109">
        <f xml:space="preserve"> ($C$2*$C$2) /(8*$B$2*$B$2*$A$2*$H$198)</f>
        <v>1.565066802550753</v>
      </c>
      <c r="F198" s="35"/>
      <c r="H198" s="5">
        <f>SQRT(E6*E6+F6*F6+G6*G6)</f>
        <v>2.5734873023378184E-46</v>
      </c>
      <c r="I198" s="36" t="s">
        <v>97</v>
      </c>
      <c r="K198" s="139">
        <v>1.18</v>
      </c>
    </row>
    <row r="199" spans="1:15" ht="15" thickBot="1" x14ac:dyDescent="0.35">
      <c r="F199" s="26"/>
      <c r="G199" s="27"/>
      <c r="H199" s="27"/>
      <c r="I199" s="28"/>
    </row>
    <row r="200" spans="1:15" ht="15" thickBot="1" x14ac:dyDescent="0.35">
      <c r="A200" s="5" t="s">
        <v>98</v>
      </c>
      <c r="B200" s="208" t="s">
        <v>99</v>
      </c>
      <c r="C200" s="208"/>
      <c r="D200" s="208"/>
      <c r="E200" s="208"/>
      <c r="F200" s="208"/>
      <c r="H200" s="208" t="s">
        <v>100</v>
      </c>
      <c r="I200" s="208"/>
      <c r="J200" s="208"/>
      <c r="K200" s="208"/>
      <c r="L200" s="208"/>
    </row>
    <row r="201" spans="1:15" ht="18" x14ac:dyDescent="0.3">
      <c r="A201" s="5" t="s">
        <v>99</v>
      </c>
      <c r="B201" s="94" t="s">
        <v>47</v>
      </c>
      <c r="C201" s="16" t="s">
        <v>101</v>
      </c>
      <c r="D201" s="16" t="s">
        <v>89</v>
      </c>
      <c r="E201" s="16" t="s">
        <v>37</v>
      </c>
      <c r="F201" s="16" t="s">
        <v>38</v>
      </c>
      <c r="G201" s="16" t="s">
        <v>90</v>
      </c>
      <c r="H201" s="94" t="s">
        <v>47</v>
      </c>
      <c r="I201" s="16" t="s">
        <v>89</v>
      </c>
      <c r="J201" s="16" t="s">
        <v>37</v>
      </c>
      <c r="K201" s="16" t="s">
        <v>38</v>
      </c>
      <c r="L201" s="16" t="s">
        <v>90</v>
      </c>
      <c r="O201" s="82"/>
    </row>
    <row r="202" spans="1:15" ht="15" thickBot="1" x14ac:dyDescent="0.35">
      <c r="B202" s="35">
        <f>298.15</f>
        <v>298.14999999999998</v>
      </c>
      <c r="C202" s="55">
        <f>($A$2*B202)/$J$2</f>
        <v>4.062431680236861E-26</v>
      </c>
      <c r="D202" s="110">
        <f xml:space="preserve"> $D$2 *( 5/2  +   LN(  ((2*$B$2*$E$2*$A$2*B202)/($C$2*$C$2) )^1.5  * ($D$2*B202 )/($F$2*$J$2)  ) )</f>
        <v>142.53502093325167</v>
      </c>
      <c r="E202" s="55">
        <f>$D$2 *LN( (EXP(1)*B202) / ($B$6 * $C$198))</f>
        <v>37.065157380024367</v>
      </c>
      <c r="F202" s="55" cm="1">
        <f t="array" ref="F202">$D$2*SUM( (($B$12:$B$17)/B202)/(EXP($B$12:$B$17/B176)-1) - LN( 1 - EXP( (-1 * $B$12:$B$17)/B202 ) ) )</f>
        <v>2.6321512195465488</v>
      </c>
      <c r="G202" s="58">
        <f>$D$2*LN(K198)</f>
        <v>1.3761651643175061</v>
      </c>
      <c r="H202" s="140">
        <f>298.15</f>
        <v>298.14999999999998</v>
      </c>
      <c r="I202" s="105">
        <f xml:space="preserve"> $D$2 *( 5/2  +   LN(  ((2*$B$2*$E$2*$A$2*B202)/($C$2*$C$2) )^1.5  * ($D$2*B202 )/($F$2*$J$2)  ) ) / 4.184</f>
        <v>34.066687603549632</v>
      </c>
      <c r="J202" s="105">
        <f>$D$2 *LN( (EXP(1)*H202) / ($B$6 * $C$198)) / 4.184</f>
        <v>8.858785224671216</v>
      </c>
      <c r="K202" s="105" cm="1">
        <f t="array" ref="K202">$D$2*SUM( (($B$12:$B$17)/B202)/(EXP($B$12:$B$17/B176)-1) - LN( 1 - EXP( (-1 * $B$12:$B$17)/B202 ) ) )/ 4.184</f>
        <v>0.62909923985338168</v>
      </c>
      <c r="L202" s="112">
        <f>$D$2*LN(K198)</f>
        <v>1.3761651643175061</v>
      </c>
      <c r="O202" s="82"/>
    </row>
    <row r="203" spans="1:15" x14ac:dyDescent="0.3">
      <c r="B203" s="35">
        <f>300+100</f>
        <v>400</v>
      </c>
      <c r="C203" s="55">
        <f t="shared" ref="C203:C220" si="33">($A$2*B203)/$J$2</f>
        <v>5.4501850481125095E-26</v>
      </c>
      <c r="D203" s="110">
        <f t="shared" ref="D203:D220" si="34" xml:space="preserve"> $D$2 *( 5/2  +   LN(  ((2*$B$2*$E$2*$A$2*B203)/($C$2*$C$2) )^1.5  * ($D$2*B203 )/($F$2*$J$2)  ) )</f>
        <v>148.6434105758282</v>
      </c>
      <c r="E203" s="55">
        <f t="shared" ref="E203:E220" si="35">$D$2 *LN( (EXP(1)*B203) / ($B$6 * $C$198))</f>
        <v>39.508513237054991</v>
      </c>
      <c r="F203" s="55" cm="1">
        <f t="array" ref="F203">$D$2*SUM( (($B$12:$B$17)/B203)/(EXP($B$12:$B$17/B177)-1) - LN( 1 - EXP( (-1 * $B$12:$B$17)/B203 ) ) )</f>
        <v>4.7800856045944293</v>
      </c>
      <c r="H203" s="35">
        <f>300+100</f>
        <v>400</v>
      </c>
      <c r="I203" s="110">
        <f xml:space="preserve"> $D$2 *( 5/2  +   LN(  ((2*$B$2*$E$2*$A$2*B203)/($C$2*$C$2) )^1.5  * ($D$2*B203 )/($F$2*$J$2)  ) )/ 4.184</f>
        <v>35.526627766689337</v>
      </c>
      <c r="J203" s="55">
        <f t="shared" ref="J203:J220" si="36">$D$2 *LN( (EXP(1)*H203) / ($B$6 * $C$198)) / 4.184</f>
        <v>9.4427612899271001</v>
      </c>
      <c r="K203" s="55" cm="1">
        <f t="array" ref="K203">$D$2*SUM( (($B$12:$B$17)/B203)/(EXP($B$12:$B$17/B177)-1) - LN( 1 - EXP( (-1 * $B$12:$B$17)/B203 ) ) )/ 4.184</f>
        <v>1.142467878727158</v>
      </c>
      <c r="O203" s="47"/>
    </row>
    <row r="204" spans="1:15" ht="18" x14ac:dyDescent="0.3">
      <c r="B204" s="35">
        <f t="shared" ref="B204:B220" si="37">B203+100</f>
        <v>500</v>
      </c>
      <c r="C204" s="55">
        <f t="shared" si="33"/>
        <v>6.8127313101406362E-26</v>
      </c>
      <c r="D204" s="110">
        <f t="shared" si="34"/>
        <v>153.28171259928456</v>
      </c>
      <c r="E204" s="55">
        <f t="shared" si="35"/>
        <v>41.363834046437553</v>
      </c>
      <c r="F204" s="55" cm="1">
        <f t="array" ref="F204">$D$2*SUM( (($B$12:$B$17)/B204)/(EXP($B$12:$B$17/B178)-1) - LN( 1 - EXP( (-1 * $B$12:$B$17)/B204 ) ) )</f>
        <v>7.1037294680107115</v>
      </c>
      <c r="H204" s="35">
        <f t="shared" ref="H204:H220" si="38">H203+100</f>
        <v>500</v>
      </c>
      <c r="I204" s="110">
        <f t="shared" ref="I204:I220" si="39" xml:space="preserve"> $D$2 *( 5/2  +   LN(  ((2*$B$2*$E$2*$A$2*B204)/($C$2*$C$2) )^1.5  * ($D$2*B204 )/($F$2*$J$2)  ) )/ 4.184</f>
        <v>36.63520855623436</v>
      </c>
      <c r="J204" s="55">
        <f t="shared" si="36"/>
        <v>9.8861936057451132</v>
      </c>
      <c r="K204" s="55" cm="1">
        <f t="array" ref="K204">$D$2*SUM( (($B$12:$B$17)/B204)/(EXP($B$12:$B$17/B178)-1) - LN( 1 - EXP( (-1 * $B$12:$B$17)/B204 ) ) )/ 4.184</f>
        <v>1.6978320908247397</v>
      </c>
      <c r="M204" s="214"/>
      <c r="N204" s="214"/>
      <c r="O204" s="47"/>
    </row>
    <row r="205" spans="1:15" ht="18.600000000000001" thickBot="1" x14ac:dyDescent="0.35">
      <c r="B205" s="35">
        <f t="shared" si="37"/>
        <v>600</v>
      </c>
      <c r="C205" s="55">
        <f t="shared" si="33"/>
        <v>8.175277572168763E-26</v>
      </c>
      <c r="D205" s="110">
        <f t="shared" si="34"/>
        <v>157.07148129668406</v>
      </c>
      <c r="E205" s="55">
        <f t="shared" si="35"/>
        <v>42.8797415253973</v>
      </c>
      <c r="F205" s="55" cm="1">
        <f t="array" ref="F205">$D$2*SUM( (($B$12:$B$17)/B205)/(EXP($B$12:$B$17/B179)-1) - LN( 1 - EXP( (-1 * $B$12:$B$17)/B205 ) ) )</f>
        <v>9.5417396997494528</v>
      </c>
      <c r="H205" s="35">
        <f t="shared" si="38"/>
        <v>600</v>
      </c>
      <c r="I205" s="110">
        <f t="shared" si="39"/>
        <v>37.540985013547811</v>
      </c>
      <c r="J205" s="55">
        <f t="shared" si="36"/>
        <v>10.248504188670482</v>
      </c>
      <c r="K205" s="55" cm="1">
        <f t="array" ref="K205">$D$2*SUM( (($B$12:$B$17)/B205)/(EXP($B$12:$B$17/B179)-1) - LN( 1 - EXP( (-1 * $B$12:$B$17)/B205 ) ) )/ 4.184</f>
        <v>2.2805305209726225</v>
      </c>
      <c r="M205" s="214" t="s">
        <v>93</v>
      </c>
      <c r="N205" s="214"/>
      <c r="O205" s="47"/>
    </row>
    <row r="206" spans="1:15" x14ac:dyDescent="0.3">
      <c r="B206" s="35">
        <f t="shared" si="37"/>
        <v>700</v>
      </c>
      <c r="C206" s="55">
        <f t="shared" si="33"/>
        <v>9.5378238341968898E-26</v>
      </c>
      <c r="D206" s="110">
        <f t="shared" si="34"/>
        <v>160.27568507469582</v>
      </c>
      <c r="E206" s="55">
        <f t="shared" si="35"/>
        <v>44.161423036602002</v>
      </c>
      <c r="F206" s="55" cm="1">
        <f t="array" ref="F206">$D$2*SUM( (($B$12:$B$17)/B206)/(EXP($B$12:$B$17/B180)-1) - LN( 1 - EXP( (-1 * $B$12:$B$17)/B206 ) ) )</f>
        <v>12.035955562699467</v>
      </c>
      <c r="H206" s="35">
        <f t="shared" si="38"/>
        <v>700</v>
      </c>
      <c r="I206" s="110">
        <f t="shared" si="39"/>
        <v>38.306808096246606</v>
      </c>
      <c r="J206" s="55">
        <f t="shared" si="36"/>
        <v>10.554833421750001</v>
      </c>
      <c r="K206" s="55" cm="1">
        <f t="array" ref="K206">$D$2*SUM( (($B$12:$B$17)/B206)/(EXP($B$12:$B$17/B180)-1) - LN( 1 - EXP( (-1 * $B$12:$B$17)/B206 ) ) )/ 4.184</f>
        <v>2.8766624193832375</v>
      </c>
      <c r="M206" s="133"/>
      <c r="N206" s="134" t="s">
        <v>30</v>
      </c>
      <c r="O206" s="47"/>
    </row>
    <row r="207" spans="1:15" x14ac:dyDescent="0.3">
      <c r="B207" s="35">
        <f t="shared" si="37"/>
        <v>800</v>
      </c>
      <c r="C207" s="55">
        <f t="shared" si="33"/>
        <v>1.0900370096225019E-25</v>
      </c>
      <c r="D207" s="110">
        <f t="shared" si="34"/>
        <v>163.05129263743976</v>
      </c>
      <c r="E207" s="55">
        <f t="shared" si="35"/>
        <v>45.271666061699605</v>
      </c>
      <c r="F207" s="55" cm="1">
        <f t="array" ref="F207">$D$2*SUM( (($B$12:$B$17)/B207)/(EXP($B$12:$B$17/B181)-1) - LN( 1 - EXP( (-1 * $B$12:$B$17)/B207 ) ) )</f>
        <v>14.555048127825655</v>
      </c>
      <c r="H207" s="35">
        <f t="shared" si="38"/>
        <v>800</v>
      </c>
      <c r="I207" s="110">
        <f t="shared" si="39"/>
        <v>38.9701942250095</v>
      </c>
      <c r="J207" s="55">
        <f t="shared" si="36"/>
        <v>10.820187873255163</v>
      </c>
      <c r="K207" s="55" cm="1">
        <f t="array" ref="K207">$D$2*SUM( (($B$12:$B$17)/B207)/(EXP($B$12:$B$17/B181)-1) - LN( 1 - EXP( (-1 * $B$12:$B$17)/B207 ) ) )/ 4.184</f>
        <v>3.478739992310147</v>
      </c>
      <c r="M207" s="132"/>
      <c r="N207" s="135" t="s">
        <v>32</v>
      </c>
      <c r="O207" s="47"/>
    </row>
    <row r="208" spans="1:15" x14ac:dyDescent="0.3">
      <c r="B208" s="35">
        <f t="shared" si="37"/>
        <v>900</v>
      </c>
      <c r="C208" s="55">
        <f t="shared" si="33"/>
        <v>1.2262916358253145E-25</v>
      </c>
      <c r="D208" s="110">
        <f t="shared" si="34"/>
        <v>165.49955201753977</v>
      </c>
      <c r="E208" s="55">
        <f t="shared" si="35"/>
        <v>46.250969813739609</v>
      </c>
      <c r="F208" s="55" cm="1">
        <f t="array" ref="F208">$D$2*SUM( (($B$12:$B$17)/B208)/(EXP($B$12:$B$17/B182)-1) - LN( 1 - EXP( (-1 * $B$12:$B$17)/B208 ) ) )</f>
        <v>17.07958964240861</v>
      </c>
      <c r="H208" s="35">
        <f t="shared" si="38"/>
        <v>900</v>
      </c>
      <c r="I208" s="110">
        <f t="shared" si="39"/>
        <v>39.555342260406256</v>
      </c>
      <c r="J208" s="55">
        <f t="shared" si="36"/>
        <v>11.054247087413865</v>
      </c>
      <c r="K208" s="55" cm="1">
        <f t="array" ref="K208">$D$2*SUM( (($B$12:$B$17)/B208)/(EXP($B$12:$B$17/B182)-1) - LN( 1 - EXP( (-1 * $B$12:$B$17)/B208 ) ) )/ 4.184</f>
        <v>4.0821198954131477</v>
      </c>
      <c r="M208" s="132" t="s">
        <v>33</v>
      </c>
      <c r="N208" s="136">
        <v>50.066000000000003</v>
      </c>
      <c r="O208" s="47"/>
    </row>
    <row r="209" spans="1:14" x14ac:dyDescent="0.3">
      <c r="B209" s="35">
        <f t="shared" si="37"/>
        <v>1000</v>
      </c>
      <c r="C209" s="55">
        <f t="shared" si="33"/>
        <v>1.3625462620281272E-25</v>
      </c>
      <c r="D209" s="110">
        <f t="shared" si="34"/>
        <v>167.68959466089609</v>
      </c>
      <c r="E209" s="55">
        <f t="shared" si="35"/>
        <v>47.126986871082167</v>
      </c>
      <c r="F209" s="55" cm="1">
        <f t="array" ref="F209">$D$2*SUM( (($B$12:$B$17)/B209)/(EXP($B$12:$B$17/B183)-1) - LN( 1 - EXP( (-1 * $B$12:$B$17)/B209 ) ) )</f>
        <v>19.594455994682711</v>
      </c>
      <c r="H209" s="35">
        <f t="shared" si="38"/>
        <v>1000</v>
      </c>
      <c r="I209" s="110">
        <f t="shared" si="39"/>
        <v>40.078775014554516</v>
      </c>
      <c r="J209" s="55">
        <f t="shared" si="36"/>
        <v>11.263620189073174</v>
      </c>
      <c r="K209" s="55" cm="1">
        <f t="array" ref="K209">$D$2*SUM( (($B$12:$B$17)/B209)/(EXP($B$12:$B$17/B183)-1) - LN( 1 - EXP( (-1 * $B$12:$B$17)/B209 ) ) )/ 4.184</f>
        <v>4.6831873792262693</v>
      </c>
      <c r="M209" s="132" t="s">
        <v>34</v>
      </c>
      <c r="N209" s="136">
        <v>1.377</v>
      </c>
    </row>
    <row r="210" spans="1:14" x14ac:dyDescent="0.3">
      <c r="B210" s="35">
        <f t="shared" si="37"/>
        <v>1100</v>
      </c>
      <c r="C210" s="55">
        <f t="shared" si="33"/>
        <v>1.4988008882309398E-25</v>
      </c>
      <c r="D210" s="110">
        <f t="shared" si="34"/>
        <v>169.67072921414132</v>
      </c>
      <c r="E210" s="55">
        <f t="shared" si="35"/>
        <v>47.919440692380199</v>
      </c>
      <c r="F210" s="55" cm="1">
        <f t="array" ref="F210">$D$2*SUM( (($B$12:$B$17)/B210)/(EXP($B$12:$B$17/B184)-1) - LN( 1 - EXP( (-1 * $B$12:$B$17)/B210 ) ) )</f>
        <v>22.086577759913581</v>
      </c>
      <c r="H210" s="35">
        <f t="shared" si="38"/>
        <v>1100</v>
      </c>
      <c r="I210" s="110">
        <f t="shared" si="39"/>
        <v>40.552277536840656</v>
      </c>
      <c r="J210" s="55">
        <f t="shared" si="36"/>
        <v>11.453021197987619</v>
      </c>
      <c r="K210" s="55" cm="1">
        <f t="array" ref="K210">$D$2*SUM( (($B$12:$B$17)/B210)/(EXP($B$12:$B$17/B184)-1) - LN( 1 - EXP( (-1 * $B$12:$B$17)/B210 ) ) )/ 4.184</f>
        <v>5.2788187762699765</v>
      </c>
      <c r="M210" s="132" t="s">
        <v>36</v>
      </c>
      <c r="N210" s="136">
        <v>34.067999999999998</v>
      </c>
    </row>
    <row r="211" spans="1:14" x14ac:dyDescent="0.3">
      <c r="A211" s="53"/>
      <c r="B211" s="35">
        <f t="shared" si="37"/>
        <v>1200</v>
      </c>
      <c r="C211" s="55">
        <f t="shared" si="33"/>
        <v>1.6350555144337526E-25</v>
      </c>
      <c r="D211" s="110">
        <f t="shared" si="34"/>
        <v>171.47936335829559</v>
      </c>
      <c r="E211" s="55">
        <f t="shared" si="35"/>
        <v>48.642894350041914</v>
      </c>
      <c r="F211" s="55" cm="1">
        <f t="array" ref="F211">$D$2*SUM( (($B$12:$B$17)/B211)/(EXP($B$12:$B$17/B185)-1) - LN( 1 - EXP( (-1 * $B$12:$B$17)/B211 ) ) )</f>
        <v>24.544759030495218</v>
      </c>
      <c r="H211" s="35">
        <f t="shared" si="38"/>
        <v>1200</v>
      </c>
      <c r="I211" s="110">
        <f t="shared" si="39"/>
        <v>40.984551471867967</v>
      </c>
      <c r="J211" s="55">
        <f t="shared" si="36"/>
        <v>11.625930771998545</v>
      </c>
      <c r="K211" s="55" cm="1">
        <f t="array" ref="K211">$D$2*SUM( (($B$12:$B$17)/B211)/(EXP($B$12:$B$17/B185)-1) - LN( 1 - EXP( (-1 * $B$12:$B$17)/B211 ) ) )/ 4.184</f>
        <v>5.866338200405167</v>
      </c>
      <c r="M211" s="132" t="s">
        <v>37</v>
      </c>
      <c r="N211" s="136">
        <v>13.992000000000001</v>
      </c>
    </row>
    <row r="212" spans="1:14" x14ac:dyDescent="0.3">
      <c r="B212" s="35">
        <f t="shared" si="37"/>
        <v>1300</v>
      </c>
      <c r="C212" s="55">
        <f t="shared" si="33"/>
        <v>1.7713101406365654E-25</v>
      </c>
      <c r="D212" s="110">
        <f t="shared" si="34"/>
        <v>173.14314548768513</v>
      </c>
      <c r="E212" s="55">
        <f t="shared" si="35"/>
        <v>49.308407201797714</v>
      </c>
      <c r="F212" s="55" cm="1">
        <f t="array" ref="F212">$D$2*SUM( (($B$12:$B$17)/B212)/(EXP($B$12:$B$17/B186)-1) - LN( 1 - EXP( (-1 * $B$12:$B$17)/B212 ) ) )</f>
        <v>26.95988321559123</v>
      </c>
      <c r="H212" s="35">
        <f t="shared" si="38"/>
        <v>1300</v>
      </c>
      <c r="I212" s="110">
        <f t="shared" si="39"/>
        <v>41.382204944475411</v>
      </c>
      <c r="J212" s="55">
        <f t="shared" si="36"/>
        <v>11.784992161041519</v>
      </c>
      <c r="K212" s="55" cm="1">
        <f t="array" ref="K212">$D$2*SUM( (($B$12:$B$17)/B212)/(EXP($B$12:$B$17/B186)-1) - LN( 1 - EXP( (-1 * $B$12:$B$17)/B212 ) ) )/ 4.184</f>
        <v>6.4435667341279226</v>
      </c>
      <c r="M212" s="132" t="s">
        <v>38</v>
      </c>
      <c r="N212" s="136">
        <v>0.629</v>
      </c>
    </row>
    <row r="213" spans="1:14" ht="15" thickBot="1" x14ac:dyDescent="0.35">
      <c r="B213" s="35">
        <f t="shared" si="37"/>
        <v>1400</v>
      </c>
      <c r="C213" s="55">
        <f t="shared" si="33"/>
        <v>1.907564766839378E-25</v>
      </c>
      <c r="D213" s="110">
        <f t="shared" si="34"/>
        <v>174.68356713630723</v>
      </c>
      <c r="E213" s="55">
        <f t="shared" si="35"/>
        <v>49.924575861246616</v>
      </c>
      <c r="F213" s="55" cm="1">
        <f t="array" ref="F213">$D$2*SUM( (($B$12:$B$17)/B213)/(EXP($B$12:$B$17/B187)-1) - LN( 1 - EXP( (-1 * $B$12:$B$17)/B213 ) ) )</f>
        <v>29.324973569696375</v>
      </c>
      <c r="H213" s="35">
        <f t="shared" si="38"/>
        <v>1400</v>
      </c>
      <c r="I213" s="110">
        <f t="shared" si="39"/>
        <v>41.75037455456674</v>
      </c>
      <c r="J213" s="55">
        <f t="shared" si="36"/>
        <v>11.932260005078062</v>
      </c>
      <c r="K213" s="55" cm="1">
        <f t="array" ref="K213">$D$2*SUM( (($B$12:$B$17)/B213)/(EXP($B$12:$B$17/B187)-1) - LN( 1 - EXP( (-1 * $B$12:$B$17)/B213 ) ) )/ 4.184</f>
        <v>7.0088368952429194</v>
      </c>
      <c r="M213" s="137" t="s">
        <v>108</v>
      </c>
      <c r="N213" s="138">
        <v>0.59499999999999997</v>
      </c>
    </row>
    <row r="214" spans="1:14" ht="15" thickBot="1" x14ac:dyDescent="0.35">
      <c r="B214" s="35">
        <f t="shared" si="37"/>
        <v>1500</v>
      </c>
      <c r="C214" s="55">
        <f t="shared" si="33"/>
        <v>2.0438193930421908E-25</v>
      </c>
      <c r="D214" s="110">
        <f t="shared" si="34"/>
        <v>176.11766538175192</v>
      </c>
      <c r="E214" s="55">
        <f t="shared" si="35"/>
        <v>50.498215159424475</v>
      </c>
      <c r="F214" s="55" cm="1">
        <f t="array" ref="F214">$D$2*SUM( (($B$12:$B$17)/B214)/(EXP($B$12:$B$17/B188)-1) - LN( 1 - EXP( (-1 * $B$12:$B$17)/B214 ) ) )</f>
        <v>31.635054335711221</v>
      </c>
      <c r="H214" s="35">
        <f t="shared" si="38"/>
        <v>1500</v>
      </c>
      <c r="I214" s="110">
        <f t="shared" si="39"/>
        <v>42.093132261412983</v>
      </c>
      <c r="J214" s="55">
        <f t="shared" si="36"/>
        <v>12.069363087816557</v>
      </c>
      <c r="K214" s="55" cm="1">
        <f t="array" ref="K214">$D$2*SUM( (($B$12:$B$17)/B214)/(EXP($B$12:$B$17/B188)-1) - LN( 1 - EXP( (-1 * $B$12:$B$17)/B214 ) ) )/ 4.184</f>
        <v>7.5609594492617633</v>
      </c>
    </row>
    <row r="215" spans="1:14" ht="15" thickBot="1" x14ac:dyDescent="0.35">
      <c r="B215" s="35">
        <f t="shared" si="37"/>
        <v>1600</v>
      </c>
      <c r="C215" s="55">
        <f t="shared" si="33"/>
        <v>2.1800740192450038E-25</v>
      </c>
      <c r="D215" s="110">
        <f t="shared" si="34"/>
        <v>177.45917469905129</v>
      </c>
      <c r="E215" s="55">
        <f t="shared" si="35"/>
        <v>51.034818886344219</v>
      </c>
      <c r="F215" s="55" cm="1">
        <f t="array" ref="F215">$D$2*SUM( (($B$12:$B$17)/B215)/(EXP($B$12:$B$17/B189)-1) - LN( 1 - EXP( (-1 * $B$12:$B$17)/B215 ) ) )</f>
        <v>33.886888361404331</v>
      </c>
      <c r="H215" s="35">
        <f t="shared" si="38"/>
        <v>1600</v>
      </c>
      <c r="I215" s="110">
        <f t="shared" si="39"/>
        <v>42.413760683329656</v>
      </c>
      <c r="J215" s="55">
        <f t="shared" si="36"/>
        <v>12.197614456583226</v>
      </c>
      <c r="K215" s="55" cm="1">
        <f t="array" ref="K215">$D$2*SUM( (($B$12:$B$17)/B215)/(EXP($B$12:$B$17/B189)-1) - LN( 1 - EXP( (-1 * $B$12:$B$17)/B215 ) ) )/ 4.184</f>
        <v>8.0991606982323923</v>
      </c>
      <c r="M215" s="30" t="s">
        <v>94</v>
      </c>
      <c r="N215" s="141">
        <f>SUM(I202:L202)</f>
        <v>44.930737232391735</v>
      </c>
    </row>
    <row r="216" spans="1:14" x14ac:dyDescent="0.3">
      <c r="B216" s="35">
        <f t="shared" si="37"/>
        <v>1700</v>
      </c>
      <c r="C216" s="55">
        <f t="shared" si="33"/>
        <v>2.3163286454478159E-25</v>
      </c>
      <c r="D216" s="110">
        <f t="shared" si="34"/>
        <v>178.71932900055961</v>
      </c>
      <c r="E216" s="55">
        <f t="shared" si="35"/>
        <v>51.538880606947551</v>
      </c>
      <c r="F216" s="55" cm="1">
        <f t="array" ref="F216">$D$2*SUM( (($B$12:$B$17)/B216)/(EXP($B$12:$B$17/B190)-1) - LN( 1 - EXP( (-1 * $B$12:$B$17)/B216 ) ) )</f>
        <v>36.078670116617303</v>
      </c>
      <c r="H216" s="35">
        <f t="shared" si="38"/>
        <v>1700</v>
      </c>
      <c r="I216" s="110">
        <f t="shared" si="39"/>
        <v>42.714944789808698</v>
      </c>
      <c r="J216" s="55">
        <f t="shared" si="36"/>
        <v>12.318088099174844</v>
      </c>
      <c r="K216" s="55" cm="1">
        <f t="array" ref="K216">$D$2*SUM( (($B$12:$B$17)/B216)/(EXP($B$12:$B$17/B190)-1) - LN( 1 - EXP( (-1 * $B$12:$B$17)/B216 ) ) )/ 4.184</f>
        <v>8.6230091100901767</v>
      </c>
    </row>
    <row r="217" spans="1:14" x14ac:dyDescent="0.3">
      <c r="B217" s="35">
        <f t="shared" si="37"/>
        <v>1800</v>
      </c>
      <c r="C217" s="55">
        <f t="shared" si="33"/>
        <v>2.4525832716506289E-25</v>
      </c>
      <c r="D217" s="110">
        <f t="shared" si="34"/>
        <v>179.9074340791513</v>
      </c>
      <c r="E217" s="55">
        <f t="shared" si="35"/>
        <v>52.014122638384222</v>
      </c>
      <c r="F217" s="55" cm="1">
        <f t="array" ref="F217">$D$2*SUM( (($B$12:$B$17)/B217)/(EXP($B$12:$B$17/B191)-1) - LN( 1 - EXP( (-1 * $B$12:$B$17)/B217 ) ) )</f>
        <v>38.209725830718767</v>
      </c>
      <c r="H217" s="35">
        <f t="shared" si="38"/>
        <v>1800</v>
      </c>
      <c r="I217" s="110">
        <f t="shared" si="39"/>
        <v>42.998908718726412</v>
      </c>
      <c r="J217" s="55">
        <f t="shared" si="36"/>
        <v>12.431673670741926</v>
      </c>
      <c r="K217" s="55" cm="1">
        <f t="array" ref="K217">$D$2*SUM( (($B$12:$B$17)/B217)/(EXP($B$12:$B$17/B191)-1) - LN( 1 - EXP( (-1 * $B$12:$B$17)/B217 ) ) )/ 4.184</f>
        <v>9.1323436497893802</v>
      </c>
    </row>
    <row r="218" spans="1:14" x14ac:dyDescent="0.3">
      <c r="B218" s="35">
        <f t="shared" si="37"/>
        <v>1900</v>
      </c>
      <c r="C218" s="55">
        <f t="shared" si="33"/>
        <v>2.5888378978534419E-25</v>
      </c>
      <c r="D218" s="110">
        <f t="shared" si="34"/>
        <v>181.03128507257512</v>
      </c>
      <c r="E218" s="55">
        <f t="shared" si="35"/>
        <v>52.463663035753733</v>
      </c>
      <c r="F218" s="55" cm="1">
        <f t="array" ref="F218">$D$2*SUM( (($B$12:$B$17)/B218)/(EXP($B$12:$B$17/B192)-1) - LN( 1 - EXP( (-1 * $B$12:$B$17)/B218 ) ) )</f>
        <v>40.280247056032884</v>
      </c>
      <c r="H218" s="35">
        <f t="shared" si="38"/>
        <v>1900</v>
      </c>
      <c r="I218" s="110">
        <f t="shared" si="39"/>
        <v>43.267515552718713</v>
      </c>
      <c r="J218" s="55">
        <f t="shared" si="36"/>
        <v>12.539116404338845</v>
      </c>
      <c r="K218" s="55" cm="1">
        <f t="array" ref="K218">$D$2*SUM( (($B$12:$B$17)/B218)/(EXP($B$12:$B$17/B192)-1) - LN( 1 - EXP( (-1 * $B$12:$B$17)/B218 ) ) )/ 4.184</f>
        <v>9.6272100994342455</v>
      </c>
    </row>
    <row r="219" spans="1:14" x14ac:dyDescent="0.3">
      <c r="B219" s="35">
        <f t="shared" si="37"/>
        <v>2000</v>
      </c>
      <c r="C219" s="55">
        <f t="shared" si="33"/>
        <v>2.7250925240562545E-25</v>
      </c>
      <c r="D219" s="110">
        <f t="shared" si="34"/>
        <v>182.09747672250765</v>
      </c>
      <c r="E219" s="55">
        <f t="shared" si="35"/>
        <v>52.890139695726774</v>
      </c>
      <c r="F219" s="55" cm="1">
        <f t="array" ref="F219">$D$2*SUM( (($B$12:$B$17)/B219)/(EXP($B$12:$B$17/B193)-1) - LN( 1 - EXP( (-1 * $B$12:$B$17)/B219 ) ) )</f>
        <v>42.29106708913956</v>
      </c>
      <c r="H219" s="35">
        <f t="shared" si="38"/>
        <v>2000</v>
      </c>
      <c r="I219" s="110">
        <f t="shared" si="39"/>
        <v>43.522341472874679</v>
      </c>
      <c r="J219" s="55">
        <f t="shared" si="36"/>
        <v>12.641046772401236</v>
      </c>
      <c r="K219" s="55" cm="1">
        <f t="array" ref="K219">$D$2*SUM( (($B$12:$B$17)/B219)/(EXP($B$12:$B$17/B193)-1) - LN( 1 - EXP( (-1 * $B$12:$B$17)/B219 ) ) )/ 4.184</f>
        <v>10.107807621687275</v>
      </c>
    </row>
    <row r="220" spans="1:14" ht="15" thickBot="1" x14ac:dyDescent="0.35">
      <c r="B220" s="26">
        <f t="shared" si="37"/>
        <v>2100</v>
      </c>
      <c r="C220" s="58">
        <f t="shared" si="33"/>
        <v>2.8613471502590675E-25</v>
      </c>
      <c r="D220" s="114">
        <f t="shared" si="34"/>
        <v>183.11163785716309</v>
      </c>
      <c r="E220" s="58">
        <f t="shared" si="35"/>
        <v>53.295804149588925</v>
      </c>
      <c r="F220" s="58" cm="1">
        <f t="array" ref="F220">$D$2*SUM( (($B$12:$B$17)/B220)/(EXP($B$12:$B$17/B194)-1) - LN( 1 - EXP( (-1 * $B$12:$B$17)/B220 ) ) )</f>
        <v>44.243480277605286</v>
      </c>
      <c r="G220" s="53"/>
      <c r="H220" s="26">
        <f t="shared" si="38"/>
        <v>2100</v>
      </c>
      <c r="I220" s="110">
        <f t="shared" si="39"/>
        <v>43.764731801425214</v>
      </c>
      <c r="J220" s="58">
        <f t="shared" si="36"/>
        <v>12.738002903821444</v>
      </c>
      <c r="K220" s="55" cm="1">
        <f t="array" ref="K220">$D$2*SUM( (($B$12:$B$17)/B220)/(EXP($B$12:$B$17/B194)-1) - LN( 1 - EXP( (-1 * $B$12:$B$17)/B220 ) ) )/ 4.184</f>
        <v>10.574445573041416</v>
      </c>
      <c r="L220" s="53"/>
    </row>
    <row r="224" spans="1:14" ht="15" thickBot="1" x14ac:dyDescent="0.35">
      <c r="A224" s="5" t="s">
        <v>102</v>
      </c>
      <c r="B224" s="208" t="s">
        <v>103</v>
      </c>
      <c r="C224" s="208"/>
      <c r="D224" s="208"/>
      <c r="E224" s="208"/>
      <c r="F224" s="208"/>
      <c r="H224" s="208" t="s">
        <v>104</v>
      </c>
      <c r="I224" s="208"/>
      <c r="J224" s="208"/>
      <c r="K224" s="208"/>
      <c r="L224" s="208"/>
    </row>
    <row r="225" spans="1:15" ht="18" x14ac:dyDescent="0.3">
      <c r="A225" s="5" t="s">
        <v>99</v>
      </c>
      <c r="B225" s="94" t="s">
        <v>47</v>
      </c>
      <c r="C225" s="16" t="s">
        <v>89</v>
      </c>
      <c r="D225" s="16" t="s">
        <v>37</v>
      </c>
      <c r="E225" s="16" t="s">
        <v>38</v>
      </c>
      <c r="F225" s="16" t="s">
        <v>90</v>
      </c>
      <c r="H225" s="94" t="s">
        <v>47</v>
      </c>
      <c r="I225" s="16" t="s">
        <v>89</v>
      </c>
      <c r="J225" s="16" t="s">
        <v>37</v>
      </c>
      <c r="K225" s="16" t="s">
        <v>38</v>
      </c>
      <c r="L225" s="16" t="s">
        <v>90</v>
      </c>
    </row>
    <row r="226" spans="1:15" ht="15" thickBot="1" x14ac:dyDescent="0.35">
      <c r="B226" s="35">
        <f>298.15</f>
        <v>298.14999999999998</v>
      </c>
      <c r="C226" s="55">
        <f>3/2*$D$2</f>
        <v>12.471708</v>
      </c>
      <c r="D226" s="55">
        <f>3/2*$D$2</f>
        <v>12.471708</v>
      </c>
      <c r="E226" s="55" cm="1">
        <f t="array" ref="E226">$D$2*SUM( ( ($B$12:$B$17) * ($B$12:$B$17)* EXP($B$12:$B$17/B226) ) / ( B226*B226* ( EXP(( $B$12:$B$17)/B226 )  -1)^2 ) )</f>
        <v>5.8333606431553813</v>
      </c>
      <c r="F226" s="58">
        <v>0</v>
      </c>
      <c r="H226" s="35">
        <f>298.15</f>
        <v>298.14999999999998</v>
      </c>
      <c r="I226" s="105">
        <f>3/2*$D$2 / 4.184</f>
        <v>2.9808097514340344</v>
      </c>
      <c r="J226" s="105">
        <f>3/2*$D$2 / 4.184</f>
        <v>2.9808097514340344</v>
      </c>
      <c r="K226" s="142" cm="1">
        <f t="array" ref="K226">$D$2*SUM( ( ($B$12:$B$17) * ($B$12:$B$17)* EXP($B$12:$B$17/B226) ) / ( B226*B226* ( EXP(( $B$12:$B$17)/B226 )  -1)^2 ) )/ 4.184</f>
        <v>1.3942066546738483</v>
      </c>
      <c r="L226" s="112">
        <v>0</v>
      </c>
    </row>
    <row r="227" spans="1:15" x14ac:dyDescent="0.3">
      <c r="B227" s="35">
        <f>300+100</f>
        <v>400</v>
      </c>
      <c r="C227" s="55">
        <f t="shared" ref="C227:D244" si="40">3/2*$D$2</f>
        <v>12.471708</v>
      </c>
      <c r="D227" s="55">
        <f t="shared" si="40"/>
        <v>12.471708</v>
      </c>
      <c r="E227" s="55" cm="1">
        <f t="array" ref="E227">$D$2*SUM( ( ($B$12:$B$17) * ($B$12:$B$17)* EXP($B$12:$B$17/B227) ) / ( B227*B227* ( EXP(( $B$12:$B$17)/B227 )  -1)^2 ) )</f>
        <v>8.9490337162825533</v>
      </c>
      <c r="H227" s="35">
        <f>300+100</f>
        <v>400</v>
      </c>
      <c r="I227" s="55">
        <f t="shared" ref="I227:J244" si="41">3/2*$D$2 / 4.184</f>
        <v>2.9808097514340344</v>
      </c>
      <c r="J227" s="55">
        <f t="shared" si="41"/>
        <v>2.9808097514340344</v>
      </c>
      <c r="K227" s="55" cm="1">
        <f t="array" ref="K227">$D$2*SUM( ( ($B$12:$B$17) * ($B$12:$B$17)* EXP($B$12:$B$17/B227) ) / ( B227*B227* ( EXP(( $B$12:$B$17)/B227 )  -1)^2 ) )/ 4.184</f>
        <v>2.1388703910809159</v>
      </c>
    </row>
    <row r="228" spans="1:15" ht="18.600000000000001" thickBot="1" x14ac:dyDescent="0.35">
      <c r="B228" s="35">
        <f t="shared" ref="B228:B244" si="42">B227+100</f>
        <v>500</v>
      </c>
      <c r="C228" s="55">
        <f t="shared" si="40"/>
        <v>12.471708</v>
      </c>
      <c r="D228" s="55">
        <f t="shared" si="40"/>
        <v>12.471708</v>
      </c>
      <c r="E228" s="55" cm="1">
        <f t="array" ref="E228">$D$2*SUM( ( ($B$12:$B$17) * ($B$12:$B$17)* EXP($B$12:$B$17/B228) ) / ( B228*B228* ( EXP(( $B$12:$B$17)/B228 )  -1)^2 ) )</f>
        <v>11.968161421931852</v>
      </c>
      <c r="H228" s="35">
        <f t="shared" ref="H228:H244" si="43">H227+100</f>
        <v>500</v>
      </c>
      <c r="I228" s="55">
        <f t="shared" si="41"/>
        <v>2.9808097514340344</v>
      </c>
      <c r="J228" s="55">
        <f t="shared" si="41"/>
        <v>2.9808097514340344</v>
      </c>
      <c r="K228" s="55" cm="1">
        <f t="array" ref="K228">$D$2*SUM( ( ($B$12:$B$17) * ($B$12:$B$17)* EXP($B$12:$B$17/B228) ) / ( B228*B228* ( EXP(( $B$12:$B$17)/B228 )  -1)^2 ) )/ 4.184</f>
        <v>2.860459230863253</v>
      </c>
      <c r="M228" s="214" t="s">
        <v>93</v>
      </c>
      <c r="N228" s="214"/>
    </row>
    <row r="229" spans="1:15" x14ac:dyDescent="0.3">
      <c r="B229" s="35">
        <f t="shared" si="42"/>
        <v>600</v>
      </c>
      <c r="C229" s="55">
        <f t="shared" si="40"/>
        <v>12.471708</v>
      </c>
      <c r="D229" s="55">
        <f t="shared" si="40"/>
        <v>12.471708</v>
      </c>
      <c r="E229" s="55" cm="1">
        <f t="array" ref="E229">$D$2*SUM( ( ($B$12:$B$17) * ($B$12:$B$17)* EXP($B$12:$B$17/B229) ) / ( B229*B229* ( EXP(( $B$12:$B$17)/B229 )  -1)^2 ) )</f>
        <v>14.837842041277824</v>
      </c>
      <c r="H229" s="35">
        <f t="shared" si="43"/>
        <v>600</v>
      </c>
      <c r="I229" s="55">
        <f t="shared" si="41"/>
        <v>2.9808097514340344</v>
      </c>
      <c r="J229" s="55">
        <f t="shared" si="41"/>
        <v>2.9808097514340344</v>
      </c>
      <c r="K229" s="55" cm="1">
        <f t="array" ref="K229">$D$2*SUM( ( ($B$12:$B$17) * ($B$12:$B$17)* EXP($B$12:$B$17/B229) ) / ( B229*B229* ( EXP(( $B$12:$B$17)/B229 )  -1)^2 ) )/ 4.184</f>
        <v>3.5463293597700343</v>
      </c>
      <c r="M229" s="133"/>
      <c r="N229" s="134" t="s">
        <v>29</v>
      </c>
      <c r="O229" s="82"/>
    </row>
    <row r="230" spans="1:15" x14ac:dyDescent="0.3">
      <c r="B230" s="35">
        <f t="shared" si="42"/>
        <v>700</v>
      </c>
      <c r="C230" s="55">
        <f t="shared" si="40"/>
        <v>12.471708</v>
      </c>
      <c r="D230" s="55">
        <f t="shared" si="40"/>
        <v>12.471708</v>
      </c>
      <c r="E230" s="55" cm="1">
        <f t="array" ref="E230">$D$2*SUM( ( ($B$12:$B$17) * ($B$12:$B$17)* EXP($B$12:$B$17/B230) ) / ( B230*B230* ( EXP(( $B$12:$B$17)/B230 )  -1)^2 ) )</f>
        <v>17.573524942797302</v>
      </c>
      <c r="H230" s="35">
        <f t="shared" si="43"/>
        <v>700</v>
      </c>
      <c r="I230" s="55">
        <f t="shared" si="41"/>
        <v>2.9808097514340344</v>
      </c>
      <c r="J230" s="55">
        <f t="shared" si="41"/>
        <v>2.9808097514340344</v>
      </c>
      <c r="K230" s="55" cm="1">
        <f t="array" ref="K230">$D$2*SUM( ( ($B$12:$B$17) * ($B$12:$B$17)* EXP($B$12:$B$17/B230) ) / ( B230*B230* ( EXP(( $B$12:$B$17)/B230 )  -1)^2 ) )/ 4.184</f>
        <v>4.200173265486927</v>
      </c>
      <c r="M230" s="132"/>
      <c r="N230" s="135" t="s">
        <v>32</v>
      </c>
      <c r="O230" s="82"/>
    </row>
    <row r="231" spans="1:15" x14ac:dyDescent="0.3">
      <c r="B231" s="35">
        <f t="shared" si="42"/>
        <v>800</v>
      </c>
      <c r="C231" s="55">
        <f t="shared" si="40"/>
        <v>12.471708</v>
      </c>
      <c r="D231" s="55">
        <f t="shared" si="40"/>
        <v>12.471708</v>
      </c>
      <c r="E231" s="55" cm="1">
        <f t="array" ref="E231">$D$2*SUM( ( ($B$12:$B$17) * ($B$12:$B$17)* EXP($B$12:$B$17/B231) ) / ( B231*B231* ( EXP(( $B$12:$B$17)/B231 )  -1)^2 ) )</f>
        <v>20.196486299754081</v>
      </c>
      <c r="H231" s="35">
        <f t="shared" si="43"/>
        <v>800</v>
      </c>
      <c r="I231" s="55">
        <f t="shared" si="41"/>
        <v>2.9808097514340344</v>
      </c>
      <c r="J231" s="55">
        <f t="shared" si="41"/>
        <v>2.9808097514340344</v>
      </c>
      <c r="K231" s="55" cm="1">
        <f t="array" ref="K231">$D$2*SUM( ( ($B$12:$B$17) * ($B$12:$B$17)* EXP($B$12:$B$17/B231) ) / ( B231*B231* ( EXP(( $B$12:$B$17)/B231 )  -1)^2 ) )/ 4.184</f>
        <v>4.8270760754670361</v>
      </c>
      <c r="M231" s="132" t="s">
        <v>33</v>
      </c>
      <c r="N231" s="136">
        <v>6.4619999999999997</v>
      </c>
      <c r="O231" s="47"/>
    </row>
    <row r="232" spans="1:15" x14ac:dyDescent="0.3">
      <c r="B232" s="35">
        <f t="shared" si="42"/>
        <v>900</v>
      </c>
      <c r="C232" s="55">
        <f t="shared" si="40"/>
        <v>12.471708</v>
      </c>
      <c r="D232" s="55">
        <f t="shared" si="40"/>
        <v>12.471708</v>
      </c>
      <c r="E232" s="55" cm="1">
        <f t="array" ref="E232">$D$2*SUM( ( ($B$12:$B$17) * ($B$12:$B$17)* EXP($B$12:$B$17/B232) ) / ( B232*B232* ( EXP(( $B$12:$B$17)/B232 )  -1)^2 ) )</f>
        <v>22.698276054321163</v>
      </c>
      <c r="H232" s="35">
        <f t="shared" si="43"/>
        <v>900</v>
      </c>
      <c r="I232" s="55">
        <f t="shared" si="41"/>
        <v>2.9808097514340344</v>
      </c>
      <c r="J232" s="55">
        <f t="shared" si="41"/>
        <v>2.9808097514340344</v>
      </c>
      <c r="K232" s="55" cm="1">
        <f t="array" ref="K232">$D$2*SUM( ( ($B$12:$B$17) * ($B$12:$B$17)* EXP($B$12:$B$17/B232) ) / ( B232*B232* ( EXP(( $B$12:$B$17)/B232 )  -1)^2 ) )/ 4.184</f>
        <v>5.425018177419016</v>
      </c>
      <c r="M232" s="132" t="s">
        <v>34</v>
      </c>
      <c r="N232" s="136" t="s">
        <v>35</v>
      </c>
      <c r="O232" s="47"/>
    </row>
    <row r="233" spans="1:15" x14ac:dyDescent="0.3">
      <c r="B233" s="35">
        <f t="shared" si="42"/>
        <v>1000</v>
      </c>
      <c r="C233" s="55">
        <f t="shared" si="40"/>
        <v>12.471708</v>
      </c>
      <c r="D233" s="55">
        <f t="shared" si="40"/>
        <v>12.471708</v>
      </c>
      <c r="E233" s="55" cm="1">
        <f t="array" ref="E233">$D$2*SUM( ( ($B$12:$B$17) * ($B$12:$B$17)* EXP($B$12:$B$17/B233) ) / ( B233*B233* ( EXP(( $B$12:$B$17)/B233 )  -1)^2 ) )</f>
        <v>25.055231663577871</v>
      </c>
      <c r="H233" s="35">
        <f t="shared" si="43"/>
        <v>1000</v>
      </c>
      <c r="I233" s="55">
        <f t="shared" si="41"/>
        <v>2.9808097514340344</v>
      </c>
      <c r="J233" s="55">
        <f t="shared" si="41"/>
        <v>2.9808097514340344</v>
      </c>
      <c r="K233" s="55" cm="1">
        <f t="array" ref="K233">$D$2*SUM( ( ($B$12:$B$17) * ($B$12:$B$17)* EXP($B$12:$B$17/B233) ) / ( B233*B233* ( EXP(( $B$12:$B$17)/B233 )  -1)^2 ) )/ 4.184</f>
        <v>5.9883440878532195</v>
      </c>
      <c r="M233" s="132" t="s">
        <v>36</v>
      </c>
      <c r="N233" s="136">
        <v>2.9809999999999999</v>
      </c>
      <c r="O233" s="47"/>
    </row>
    <row r="234" spans="1:15" x14ac:dyDescent="0.3">
      <c r="B234" s="35">
        <f t="shared" si="42"/>
        <v>1100</v>
      </c>
      <c r="C234" s="55">
        <f t="shared" si="40"/>
        <v>12.471708</v>
      </c>
      <c r="D234" s="55">
        <f t="shared" si="40"/>
        <v>12.471708</v>
      </c>
      <c r="E234" s="55" cm="1">
        <f t="array" ref="E234">$D$2*SUM( ( ($B$12:$B$17) * ($B$12:$B$17)* EXP($B$12:$B$17/B234) ) / ( B234*B234* ( EXP(( $B$12:$B$17)/B234 )  -1)^2 ) )</f>
        <v>27.24534957543602</v>
      </c>
      <c r="H234" s="35">
        <f t="shared" si="43"/>
        <v>1100</v>
      </c>
      <c r="I234" s="55">
        <f t="shared" si="41"/>
        <v>2.9808097514340344</v>
      </c>
      <c r="J234" s="55">
        <f t="shared" si="41"/>
        <v>2.9808097514340344</v>
      </c>
      <c r="K234" s="55" cm="1">
        <f t="array" ref="K234">$D$2*SUM( ( ($B$12:$B$17) * ($B$12:$B$17)* EXP($B$12:$B$17/B234) ) / ( B234*B234* ( EXP(( $B$12:$B$17)/B234 )  -1)^2 ) )/ 4.184</f>
        <v>6.511794831605167</v>
      </c>
      <c r="M234" s="132" t="s">
        <v>37</v>
      </c>
      <c r="N234" s="136">
        <v>2.9809999999999999</v>
      </c>
      <c r="O234" s="47"/>
    </row>
    <row r="235" spans="1:15" ht="15" thickBot="1" x14ac:dyDescent="0.35">
      <c r="B235" s="35">
        <f t="shared" si="42"/>
        <v>1200</v>
      </c>
      <c r="C235" s="55">
        <f t="shared" si="40"/>
        <v>12.471708</v>
      </c>
      <c r="D235" s="55">
        <f t="shared" si="40"/>
        <v>12.471708</v>
      </c>
      <c r="E235" s="55" cm="1">
        <f t="array" ref="E235">$D$2*SUM( ( ($B$12:$B$17) * ($B$12:$B$17)* EXP($B$12:$B$17/B235) ) / ( B235*B235* ( EXP(( $B$12:$B$17)/B235 )  -1)^2 ) )</f>
        <v>29.25590562699594</v>
      </c>
      <c r="H235" s="35">
        <f t="shared" si="43"/>
        <v>1200</v>
      </c>
      <c r="I235" s="55">
        <f t="shared" si="41"/>
        <v>2.9808097514340344</v>
      </c>
      <c r="J235" s="55">
        <f t="shared" si="41"/>
        <v>2.9808097514340344</v>
      </c>
      <c r="K235" s="55" cm="1">
        <f t="array" ref="K235">$D$2*SUM( ( ($B$12:$B$17) * ($B$12:$B$17)* EXP($B$12:$B$17/B235) ) / ( B235*B235* ( EXP(( $B$12:$B$17)/B235 )  -1)^2 ) )/ 4.184</f>
        <v>6.9923292607542873</v>
      </c>
      <c r="M235" s="137" t="s">
        <v>38</v>
      </c>
      <c r="N235" s="138">
        <v>0.5</v>
      </c>
      <c r="O235" s="47"/>
    </row>
    <row r="236" spans="1:15" x14ac:dyDescent="0.3">
      <c r="B236" s="35">
        <f t="shared" si="42"/>
        <v>1300</v>
      </c>
      <c r="C236" s="55">
        <f t="shared" si="40"/>
        <v>12.471708</v>
      </c>
      <c r="D236" s="55">
        <f t="shared" si="40"/>
        <v>12.471708</v>
      </c>
      <c r="E236" s="55" cm="1">
        <f t="array" ref="E236">$D$2*SUM( ( ($B$12:$B$17) * ($B$12:$B$17)* EXP($B$12:$B$17/B236) ) / ( B236*B236* ( EXP(( $B$12:$B$17)/B236 )  -1)^2 ) )</f>
        <v>31.084247736330163</v>
      </c>
      <c r="H236" s="35">
        <f t="shared" si="43"/>
        <v>1300</v>
      </c>
      <c r="I236" s="55">
        <f t="shared" si="41"/>
        <v>2.9808097514340344</v>
      </c>
      <c r="J236" s="55">
        <f t="shared" si="41"/>
        <v>2.9808097514340344</v>
      </c>
      <c r="K236" s="55" cm="1">
        <f t="array" ref="K236">$D$2*SUM( ( ($B$12:$B$17) * ($B$12:$B$17)* EXP($B$12:$B$17/B236) ) / ( B236*B236* ( EXP(( $B$12:$B$17)/B236 )  -1)^2 ) )/ 4.184</f>
        <v>7.4293135125072087</v>
      </c>
      <c r="N236" s="47"/>
      <c r="O236" s="47"/>
    </row>
    <row r="237" spans="1:15" x14ac:dyDescent="0.3">
      <c r="B237" s="35">
        <f t="shared" si="42"/>
        <v>1400</v>
      </c>
      <c r="C237" s="55">
        <f t="shared" si="40"/>
        <v>12.471708</v>
      </c>
      <c r="D237" s="55">
        <f t="shared" si="40"/>
        <v>12.471708</v>
      </c>
      <c r="E237" s="55" cm="1">
        <f t="array" ref="E237">$D$2*SUM( ( ($B$12:$B$17) * ($B$12:$B$17)* EXP($B$12:$B$17/B237) ) / ( B237*B237* ( EXP(( $B$12:$B$17)/B237 )  -1)^2 ) )</f>
        <v>32.735640062108494</v>
      </c>
      <c r="H237" s="35">
        <f t="shared" si="43"/>
        <v>1400</v>
      </c>
      <c r="I237" s="55">
        <f t="shared" si="41"/>
        <v>2.9808097514340344</v>
      </c>
      <c r="J237" s="55">
        <f t="shared" si="41"/>
        <v>2.9808097514340344</v>
      </c>
      <c r="K237" s="55" cm="1">
        <f t="array" ref="K237">$D$2*SUM( ( ($B$12:$B$17) * ($B$12:$B$17)* EXP($B$12:$B$17/B237) ) / ( B237*B237* ( EXP(( $B$12:$B$17)/B237 )  -1)^2 ) )/ 4.184</f>
        <v>7.8240057509819536</v>
      </c>
    </row>
    <row r="238" spans="1:15" ht="15" thickBot="1" x14ac:dyDescent="0.35">
      <c r="B238" s="35">
        <f t="shared" si="42"/>
        <v>1500</v>
      </c>
      <c r="C238" s="55">
        <f t="shared" si="40"/>
        <v>12.471708</v>
      </c>
      <c r="D238" s="55">
        <f t="shared" si="40"/>
        <v>12.471708</v>
      </c>
      <c r="E238" s="55" cm="1">
        <f t="array" ref="E238">$D$2*SUM( ( ($B$12:$B$17) * ($B$12:$B$17)* EXP($B$12:$B$17/B238) ) / ( B238*B238* ( EXP(( $B$12:$B$17)/B238 )  -1)^2 ) )</f>
        <v>34.220508592608894</v>
      </c>
      <c r="H238" s="35">
        <f t="shared" si="43"/>
        <v>1500</v>
      </c>
      <c r="I238" s="55">
        <f t="shared" si="41"/>
        <v>2.9808097514340344</v>
      </c>
      <c r="J238" s="55">
        <f t="shared" si="41"/>
        <v>2.9808097514340344</v>
      </c>
      <c r="K238" s="55" cm="1">
        <f t="array" ref="K238">$D$2*SUM( ( ($B$12:$B$17) * ($B$12:$B$17)* EXP($B$12:$B$17/B238) ) / ( B238*B238* ( EXP(( $B$12:$B$17)/B238 )  -1)^2 ) )/ 4.184</f>
        <v>8.1788978471818581</v>
      </c>
    </row>
    <row r="239" spans="1:15" ht="15" thickBot="1" x14ac:dyDescent="0.35">
      <c r="B239" s="35">
        <f t="shared" si="42"/>
        <v>1600</v>
      </c>
      <c r="C239" s="55">
        <f t="shared" si="40"/>
        <v>12.471708</v>
      </c>
      <c r="D239" s="55">
        <f t="shared" si="40"/>
        <v>12.471708</v>
      </c>
      <c r="E239" s="55" cm="1">
        <f t="array" ref="E239">$D$2*SUM( ( ($B$12:$B$17) * ($B$12:$B$17)* EXP($B$12:$B$17/B239) ) / ( B239*B239* ( EXP(( $B$12:$B$17)/B239 )  -1)^2 ) )</f>
        <v>35.552079147413338</v>
      </c>
      <c r="H239" s="35">
        <f t="shared" si="43"/>
        <v>1600</v>
      </c>
      <c r="I239" s="55">
        <f t="shared" si="41"/>
        <v>2.9808097514340344</v>
      </c>
      <c r="J239" s="55">
        <f t="shared" si="41"/>
        <v>2.9808097514340344</v>
      </c>
      <c r="K239" s="55" cm="1">
        <f t="array" ref="K239">$D$2*SUM( ( ($B$12:$B$17) * ($B$12:$B$17)* EXP($B$12:$B$17/B239) ) / ( B239*B239* ( EXP(( $B$12:$B$17)/B239 )  -1)^2 ) )/ 4.184</f>
        <v>8.4971508478521365</v>
      </c>
      <c r="M239" s="30" t="s">
        <v>94</v>
      </c>
      <c r="N239" s="143">
        <f>SUM(I226:L226)</f>
        <v>7.3558261575419168</v>
      </c>
    </row>
    <row r="240" spans="1:15" x14ac:dyDescent="0.3">
      <c r="B240" s="35">
        <f t="shared" si="42"/>
        <v>1700</v>
      </c>
      <c r="C240" s="55">
        <f t="shared" si="40"/>
        <v>12.471708</v>
      </c>
      <c r="D240" s="55">
        <f t="shared" si="40"/>
        <v>12.471708</v>
      </c>
      <c r="E240" s="55" cm="1">
        <f t="array" ref="E240">$D$2*SUM( ( ($B$12:$B$17) * ($B$12:$B$17)* EXP($B$12:$B$17/B240) ) / ( B240*B240* ( EXP(( $B$12:$B$17)/B240 )  -1)^2 ) )</f>
        <v>36.744662387204002</v>
      </c>
      <c r="H240" s="35">
        <f t="shared" si="43"/>
        <v>1700</v>
      </c>
      <c r="I240" s="55">
        <f t="shared" si="41"/>
        <v>2.9808097514340344</v>
      </c>
      <c r="J240" s="55">
        <f t="shared" si="41"/>
        <v>2.9808097514340344</v>
      </c>
      <c r="K240" s="55" cm="1">
        <f t="array" ref="K240">$D$2*SUM( ( ($B$12:$B$17) * ($B$12:$B$17)* EXP($B$12:$B$17/B240) ) / ( B240*B240* ( EXP(( $B$12:$B$17)/B240 )  -1)^2 ) )/ 4.184</f>
        <v>8.782185082983748</v>
      </c>
    </row>
    <row r="241" spans="1:12" x14ac:dyDescent="0.3">
      <c r="B241" s="35">
        <f t="shared" si="42"/>
        <v>1800</v>
      </c>
      <c r="C241" s="55">
        <f t="shared" si="40"/>
        <v>12.471708</v>
      </c>
      <c r="D241" s="55">
        <f t="shared" si="40"/>
        <v>12.471708</v>
      </c>
      <c r="E241" s="55" cm="1">
        <f t="array" ref="E241">$D$2*SUM( ( ($B$12:$B$17) * ($B$12:$B$17)* EXP($B$12:$B$17/B241) ) / ( B241*B241* ( EXP(( $B$12:$B$17)/B241 )  -1)^2 ) )</f>
        <v>37.812534288947298</v>
      </c>
      <c r="H241" s="35">
        <f t="shared" si="43"/>
        <v>1800</v>
      </c>
      <c r="I241" s="55">
        <f t="shared" si="41"/>
        <v>2.9808097514340344</v>
      </c>
      <c r="J241" s="55">
        <f t="shared" si="41"/>
        <v>2.9808097514340344</v>
      </c>
      <c r="K241" s="55" cm="1">
        <f t="array" ref="K241">$D$2*SUM( ( ($B$12:$B$17) * ($B$12:$B$17)* EXP($B$12:$B$17/B241) ) / ( B241*B241* ( EXP(( $B$12:$B$17)/B241 )  -1)^2 ) )/ 4.184</f>
        <v>9.037412592960635</v>
      </c>
    </row>
    <row r="242" spans="1:12" x14ac:dyDescent="0.3">
      <c r="B242" s="35">
        <f t="shared" si="42"/>
        <v>1900</v>
      </c>
      <c r="C242" s="55">
        <f t="shared" si="40"/>
        <v>12.471708</v>
      </c>
      <c r="D242" s="55">
        <f t="shared" si="40"/>
        <v>12.471708</v>
      </c>
      <c r="E242" s="55" cm="1">
        <f t="array" ref="E242">$D$2*SUM( ( ($B$12:$B$17) * ($B$12:$B$17)* EXP($B$12:$B$17/B242) ) / ( B242*B242* ( EXP(( $B$12:$B$17)/B242 )  -1)^2 ) )</f>
        <v>38.769271695378528</v>
      </c>
      <c r="H242" s="35">
        <f t="shared" si="43"/>
        <v>1900</v>
      </c>
      <c r="I242" s="55">
        <f t="shared" si="41"/>
        <v>2.9808097514340344</v>
      </c>
      <c r="J242" s="55">
        <f t="shared" si="41"/>
        <v>2.9808097514340344</v>
      </c>
      <c r="K242" s="55" cm="1">
        <f t="array" ref="K242">$D$2*SUM( ( ($B$12:$B$17) * ($B$12:$B$17)* EXP($B$12:$B$17/B242) ) / ( B242*B242* ( EXP(( $B$12:$B$17)/B242 )  -1)^2 ) )/ 4.184</f>
        <v>9.2660783210751738</v>
      </c>
    </row>
    <row r="243" spans="1:12" x14ac:dyDescent="0.3">
      <c r="B243" s="35">
        <f t="shared" si="42"/>
        <v>2000</v>
      </c>
      <c r="C243" s="55">
        <f t="shared" si="40"/>
        <v>12.471708</v>
      </c>
      <c r="D243" s="55">
        <f t="shared" si="40"/>
        <v>12.471708</v>
      </c>
      <c r="E243" s="55" cm="1">
        <f t="array" ref="E243">$D$2*SUM( ( ($B$12:$B$17) * ($B$12:$B$17)* EXP($B$12:$B$17/B243) ) / ( B243*B243* ( EXP(( $B$12:$B$17)/B243 )  -1)^2 ) )</f>
        <v>39.627403248023732</v>
      </c>
      <c r="H243" s="35">
        <f t="shared" si="43"/>
        <v>2000</v>
      </c>
      <c r="I243" s="55">
        <f t="shared" si="41"/>
        <v>2.9808097514340344</v>
      </c>
      <c r="J243" s="55">
        <f t="shared" si="41"/>
        <v>2.9808097514340344</v>
      </c>
      <c r="K243" s="55" cm="1">
        <f t="array" ref="K243">$D$2*SUM( ( ($B$12:$B$17) * ($B$12:$B$17)* EXP($B$12:$B$17/B243) ) / ( B243*B243* ( EXP(( $B$12:$B$17)/B243 )  -1)^2 ) )/ 4.184</f>
        <v>9.4711766845181007</v>
      </c>
    </row>
    <row r="244" spans="1:12" ht="15" thickBot="1" x14ac:dyDescent="0.35">
      <c r="B244" s="26">
        <f t="shared" si="42"/>
        <v>2100</v>
      </c>
      <c r="C244" s="58">
        <f t="shared" si="40"/>
        <v>12.471708</v>
      </c>
      <c r="D244" s="58">
        <f t="shared" si="40"/>
        <v>12.471708</v>
      </c>
      <c r="E244" s="58" cm="1">
        <f t="array" ref="E244">$D$2*SUM( ( ($B$12:$B$17) * ($B$12:$B$17)* EXP($B$12:$B$17/B244) ) / ( B244*B244* ( EXP(( $B$12:$B$17)/B244 )  -1)^2 ) )</f>
        <v>40.398264724097359</v>
      </c>
      <c r="F244" s="53"/>
      <c r="H244" s="26">
        <f t="shared" si="43"/>
        <v>2100</v>
      </c>
      <c r="I244" s="58">
        <f t="shared" si="41"/>
        <v>2.9808097514340344</v>
      </c>
      <c r="J244" s="58">
        <f t="shared" si="41"/>
        <v>2.9808097514340344</v>
      </c>
      <c r="K244" s="58" cm="1">
        <f t="array" ref="K244">$D$2*SUM( ( ($B$12:$B$17) * ($B$12:$B$17)* EXP($B$12:$B$17/B244) ) / ( B244*B244* ( EXP(( $B$12:$B$17)/B244 )  -1)^2 ) )/ 4.184</f>
        <v>9.6554169990672456</v>
      </c>
      <c r="L244" s="53"/>
    </row>
    <row r="247" spans="1:12" ht="15" thickBot="1" x14ac:dyDescent="0.35">
      <c r="A247" s="5" t="s">
        <v>105</v>
      </c>
    </row>
    <row r="248" spans="1:12" ht="18" x14ac:dyDescent="0.3">
      <c r="A248" s="5" t="s">
        <v>88</v>
      </c>
      <c r="B248" s="94" t="s">
        <v>47</v>
      </c>
      <c r="C248" s="16" t="s">
        <v>89</v>
      </c>
      <c r="D248" s="16" t="s">
        <v>37</v>
      </c>
      <c r="E248" s="16" t="s">
        <v>38</v>
      </c>
      <c r="F248" s="19" t="s">
        <v>90</v>
      </c>
    </row>
    <row r="249" spans="1:12" ht="15" thickBot="1" x14ac:dyDescent="0.35">
      <c r="B249" s="35">
        <f>298.15</f>
        <v>298.14999999999998</v>
      </c>
      <c r="C249" s="55">
        <f xml:space="preserve"> -1 * $D$2 * LN( (($A$2 *B249) / $F$83 ) /$F$2 * EXP(1) * $G$2 )</f>
        <v>325.1950739774739</v>
      </c>
      <c r="D249" s="55">
        <f>$D$2 * B249*LN( (B249) / ($B$6 * $C$198))</f>
        <v>8572.0168460542664</v>
      </c>
      <c r="E249" s="55" cm="1">
        <f t="array" ref="E249">$D$2*SUM( ( 0.5 * ($B$12:$B$17)  - B249 * LN( 1 - EXP( - ($B$12:$B$17) / B249 ) ) ) )</f>
        <v>78486.170654801914</v>
      </c>
      <c r="F249" s="67">
        <f>$F$2*$B$134 + 0.5*$D$2*SUM(B12:B29)</f>
        <v>-104331886.47786717</v>
      </c>
    </row>
    <row r="250" spans="1:12" x14ac:dyDescent="0.3">
      <c r="B250" s="35">
        <f>300+100</f>
        <v>400</v>
      </c>
      <c r="C250" s="55">
        <f t="shared" ref="C250:C267" si="44" xml:space="preserve"> -1 * $D$2 * LN( (($A$2 *B250) / $F$83 ) /$F$2 * EXP(1) * $G$2 )</f>
        <v>322.75171812044323</v>
      </c>
      <c r="D250" s="55">
        <f t="shared" ref="D250:D267" si="45">$D$2 * B250*LN( (B250) / ($B$6 * $C$198))</f>
        <v>12477.616494821999</v>
      </c>
      <c r="E250" s="55" cm="1">
        <f t="array" ref="E250">$D$2*SUM( ( 0.5 * ($B$12:$B$17)  - B250 * LN( 1 - EXP( - ($B$12:$B$17) / B250 ) ) ) )</f>
        <v>78861.220918380568</v>
      </c>
    </row>
    <row r="251" spans="1:12" x14ac:dyDescent="0.3">
      <c r="B251" s="35">
        <f t="shared" ref="B251:B267" si="46">B250+100</f>
        <v>500</v>
      </c>
      <c r="C251" s="55">
        <f t="shared" si="44"/>
        <v>320.8963973110607</v>
      </c>
      <c r="D251" s="55">
        <f t="shared" si="45"/>
        <v>16524.681023218778</v>
      </c>
      <c r="E251" s="55" cm="1">
        <f t="array" ref="E251">$D$2*SUM( ( 0.5 * ($B$12:$B$17)  - B251 * LN( 1 - EXP( - ($B$12:$B$17) / B251 ) ) ) )</f>
        <v>79454.114416094337</v>
      </c>
    </row>
    <row r="252" spans="1:12" x14ac:dyDescent="0.3">
      <c r="B252" s="35">
        <f t="shared" si="46"/>
        <v>600</v>
      </c>
      <c r="C252" s="55">
        <f t="shared" si="44"/>
        <v>319.38048983210092</v>
      </c>
      <c r="D252" s="55">
        <f t="shared" si="45"/>
        <v>20739.161715238381</v>
      </c>
      <c r="E252" s="55" cm="1">
        <f t="array" ref="E252">$D$2*SUM( ( 0.5 * ($B$12:$B$17)  - B252 * LN( 1 - EXP( - ($B$12:$B$17) / B252 ) ) ) )</f>
        <v>80285.73177785943</v>
      </c>
    </row>
    <row r="253" spans="1:12" x14ac:dyDescent="0.3">
      <c r="B253" s="35">
        <f t="shared" si="46"/>
        <v>700</v>
      </c>
      <c r="C253" s="55">
        <f t="shared" si="44"/>
        <v>318.09880832089624</v>
      </c>
      <c r="D253" s="55">
        <f t="shared" si="45"/>
        <v>25092.865725621406</v>
      </c>
      <c r="E253" s="55" cm="1">
        <f t="array" ref="E253">$D$2*SUM( ( 0.5 * ($B$12:$B$17)  - B253 * LN( 1 - EXP( - ($B$12:$B$17) / B253 ) ) ) )</f>
        <v>81364.306208585593</v>
      </c>
    </row>
    <row r="254" spans="1:12" x14ac:dyDescent="0.3">
      <c r="B254" s="35">
        <f t="shared" si="46"/>
        <v>800</v>
      </c>
      <c r="C254" s="55">
        <f t="shared" si="44"/>
        <v>316.98856529579859</v>
      </c>
      <c r="D254" s="55">
        <f t="shared" si="45"/>
        <v>29565.755249359685</v>
      </c>
      <c r="E254" s="55" cm="1">
        <f t="array" ref="E254">$D$2*SUM( ( 0.5 * ($B$12:$B$17)  - B254 * LN( 1 - EXP( - ($B$12:$B$17) / B254 ) ) ) )</f>
        <v>82693.740092819644</v>
      </c>
    </row>
    <row r="255" spans="1:12" x14ac:dyDescent="0.3">
      <c r="B255" s="35">
        <f t="shared" si="46"/>
        <v>900</v>
      </c>
      <c r="C255" s="55">
        <f t="shared" si="44"/>
        <v>316.00926154375867</v>
      </c>
      <c r="D255" s="55">
        <f t="shared" si="45"/>
        <v>34142.848032365648</v>
      </c>
      <c r="E255" s="55" cm="1">
        <f t="array" ref="E255">$D$2*SUM( ( 0.5 * ($B$12:$B$17)  - B255 * LN( 1 - EXP( - ($B$12:$B$17) / B255 ) ) ) )</f>
        <v>84275.493380908418</v>
      </c>
    </row>
    <row r="256" spans="1:12" x14ac:dyDescent="0.3">
      <c r="B256" s="35">
        <f t="shared" si="46"/>
        <v>1000</v>
      </c>
      <c r="C256" s="55">
        <f t="shared" si="44"/>
        <v>315.13324448641606</v>
      </c>
      <c r="D256" s="55">
        <f t="shared" si="45"/>
        <v>38812.51487108216</v>
      </c>
      <c r="E256" s="55" cm="1">
        <f t="array" ref="E256">$D$2*SUM( ( 0.5 * ($B$12:$B$17)  - B256 * LN( 1 - EXP( - ($B$12:$B$17) / B256 ) ) ) )</f>
        <v>86109.333466025535</v>
      </c>
    </row>
    <row r="257" spans="1:12" x14ac:dyDescent="0.3">
      <c r="B257" s="35">
        <f t="shared" si="46"/>
        <v>1100</v>
      </c>
      <c r="C257" s="55">
        <f t="shared" si="44"/>
        <v>314.34079066511805</v>
      </c>
      <c r="D257" s="55">
        <f t="shared" si="45"/>
        <v>43565.465561618214</v>
      </c>
      <c r="E257" s="55" cm="1">
        <f t="array" ref="E257">$D$2*SUM( ( 0.5 * ($B$12:$B$17)  - B257 * LN( 1 - EXP( - ($B$12:$B$17) / B257 ) ) ) )</f>
        <v>88193.624373843617</v>
      </c>
    </row>
    <row r="258" spans="1:12" x14ac:dyDescent="0.3">
      <c r="B258" s="35">
        <f t="shared" si="46"/>
        <v>1200</v>
      </c>
      <c r="C258" s="55">
        <f t="shared" si="44"/>
        <v>313.61733700745634</v>
      </c>
      <c r="D258" s="55">
        <f t="shared" si="45"/>
        <v>48394.1068200503</v>
      </c>
      <c r="E258" s="55" cm="1">
        <f t="array" ref="E258">$D$2*SUM( ( 0.5 * ($B$12:$B$17)  - B258 * LN( 1 - EXP( - ($B$12:$B$17) / B258 ) ) ) )</f>
        <v>90525.515330286755</v>
      </c>
    </row>
    <row r="259" spans="1:12" x14ac:dyDescent="0.3">
      <c r="B259" s="35">
        <f t="shared" si="46"/>
        <v>1300</v>
      </c>
      <c r="C259" s="55">
        <f t="shared" si="44"/>
        <v>312.95182415570048</v>
      </c>
      <c r="D259" s="55">
        <f t="shared" si="45"/>
        <v>53292.115762337024</v>
      </c>
      <c r="E259" s="55" cm="1">
        <f t="array" ref="E259">$D$2*SUM( ( 0.5 * ($B$12:$B$17)  - B259 * LN( 1 - EXP( - ($B$12:$B$17) / B259 ) ) ) )</f>
        <v>93101.138537887833</v>
      </c>
    </row>
    <row r="260" spans="1:12" x14ac:dyDescent="0.3">
      <c r="B260" s="35">
        <f t="shared" si="46"/>
        <v>1400</v>
      </c>
      <c r="C260" s="55">
        <f t="shared" si="44"/>
        <v>312.3356554962516</v>
      </c>
      <c r="D260" s="55">
        <f t="shared" si="45"/>
        <v>58254.145405745257</v>
      </c>
      <c r="E260" s="55" cm="1">
        <f t="array" ref="E260">$D$2*SUM( ( 0.5 * ($B$12:$B$17)  - B260 * LN( 1 - EXP( - ($B$12:$B$17) / B260 ) ) ) )</f>
        <v>95915.821939610323</v>
      </c>
    </row>
    <row r="261" spans="1:12" x14ac:dyDescent="0.3">
      <c r="B261" s="35">
        <f t="shared" si="46"/>
        <v>1500</v>
      </c>
      <c r="C261" s="55">
        <f t="shared" si="44"/>
        <v>311.76201619807381</v>
      </c>
      <c r="D261" s="55">
        <f t="shared" si="45"/>
        <v>63275.614739136712</v>
      </c>
      <c r="E261" s="55" cm="1">
        <f t="array" ref="E261">$D$2*SUM( ( 0.5 * ($B$12:$B$17)  - B261 * LN( 1 - EXP( - ($B$12:$B$17) / B261 ) ) ) )</f>
        <v>98964.297661848468</v>
      </c>
    </row>
    <row r="262" spans="1:12" x14ac:dyDescent="0.3">
      <c r="B262" s="35">
        <f t="shared" si="46"/>
        <v>1600</v>
      </c>
      <c r="C262" s="55">
        <f t="shared" si="44"/>
        <v>311.22541247115407</v>
      </c>
      <c r="D262" s="55">
        <f t="shared" si="45"/>
        <v>68352.555018150742</v>
      </c>
      <c r="E262" s="55" cm="1">
        <f t="array" ref="E262">$D$2*SUM( ( 0.5 * ($B$12:$B$17)  - B262 * LN( 1 - EXP( - ($B$12:$B$17) / B262 ) ) ) )</f>
        <v>102240.88965952171</v>
      </c>
    </row>
    <row r="263" spans="1:12" x14ac:dyDescent="0.3">
      <c r="B263" s="35">
        <f t="shared" si="46"/>
        <v>1700</v>
      </c>
      <c r="C263" s="55">
        <f t="shared" si="44"/>
        <v>310.7213507505507</v>
      </c>
      <c r="D263" s="55">
        <f t="shared" si="45"/>
        <v>73481.494631810841</v>
      </c>
      <c r="E263" s="55" cm="1">
        <f t="array" ref="E263">$D$2*SUM( ( 0.5 * ($B$12:$B$17)  - B263 * LN( 1 - EXP( - ($B$12:$B$17) / B263 ) ) ) )</f>
        <v>105739.67233902593</v>
      </c>
    </row>
    <row r="264" spans="1:12" x14ac:dyDescent="0.3">
      <c r="B264" s="35">
        <f t="shared" si="46"/>
        <v>1800</v>
      </c>
      <c r="C264" s="55">
        <f t="shared" si="44"/>
        <v>310.24610871911403</v>
      </c>
      <c r="D264" s="55">
        <f t="shared" si="45"/>
        <v>78659.371149091588</v>
      </c>
      <c r="E264" s="55" cm="1">
        <f t="array" ref="E264">$D$2*SUM( ( 0.5 * ($B$12:$B$17)  - B264 * LN( 1 - EXP( - ($B$12:$B$17) / B264 ) ) ) )</f>
        <v>109454.5985258549</v>
      </c>
    </row>
    <row r="265" spans="1:12" x14ac:dyDescent="0.3">
      <c r="B265" s="35">
        <f t="shared" si="46"/>
        <v>1900</v>
      </c>
      <c r="C265" s="55">
        <f t="shared" si="44"/>
        <v>309.79656832174453</v>
      </c>
      <c r="D265" s="55">
        <f t="shared" si="45"/>
        <v>83883.462967932093</v>
      </c>
      <c r="E265" s="55" cm="1">
        <f t="array" ref="E265">$D$2*SUM( ( 0.5 * ($B$12:$B$17)  - B265 * LN( 1 - EXP( - ($B$12:$B$17) / B265 ) ) ) )</f>
        <v>113379.59898158294</v>
      </c>
    </row>
    <row r="266" spans="1:12" x14ac:dyDescent="0.3">
      <c r="B266" s="35">
        <f t="shared" si="46"/>
        <v>2000</v>
      </c>
      <c r="C266" s="55">
        <f t="shared" si="44"/>
        <v>309.37009166177143</v>
      </c>
      <c r="D266" s="55">
        <f t="shared" si="45"/>
        <v>89151.33539145354</v>
      </c>
      <c r="E266" s="55" cm="1">
        <f t="array" ref="E266">$D$2*SUM( ( 0.5 * ($B$12:$B$17)  - B266 * LN( 1 - EXP( - ($B$12:$B$17) / B266 ) ) ) )</f>
        <v>117508.65739015833</v>
      </c>
    </row>
    <row r="267" spans="1:12" ht="15" thickBot="1" x14ac:dyDescent="0.35">
      <c r="B267" s="26">
        <f t="shared" si="46"/>
        <v>2100</v>
      </c>
      <c r="C267" s="58">
        <f t="shared" si="44"/>
        <v>308.9644272079093</v>
      </c>
      <c r="D267" s="58">
        <f t="shared" si="45"/>
        <v>94460.79751413675</v>
      </c>
      <c r="E267" s="55" cm="1">
        <f t="array" ref="E267">$D$2*SUM( ( 0.5 * ($B$12:$B$17)  - B267 * LN( 1 - EXP( - ($B$12:$B$17) / B267 ) ) ) )</f>
        <v>121835.86515463058</v>
      </c>
      <c r="F267" s="53"/>
    </row>
    <row r="268" spans="1:12" ht="15" thickBot="1" x14ac:dyDescent="0.35">
      <c r="E268" s="25"/>
    </row>
    <row r="272" spans="1:12" ht="15" thickBot="1" x14ac:dyDescent="0.35">
      <c r="A272" s="5" t="s">
        <v>106</v>
      </c>
      <c r="B272" s="208" t="s">
        <v>103</v>
      </c>
      <c r="C272" s="208"/>
      <c r="D272" s="208"/>
      <c r="E272" s="208"/>
      <c r="F272" s="208"/>
      <c r="H272" s="208" t="s">
        <v>104</v>
      </c>
      <c r="I272" s="208"/>
      <c r="J272" s="208"/>
      <c r="K272" s="208"/>
      <c r="L272" s="208"/>
    </row>
    <row r="273" spans="1:12" ht="18" x14ac:dyDescent="0.3">
      <c r="A273" s="5" t="s">
        <v>99</v>
      </c>
      <c r="B273" s="94" t="s">
        <v>47</v>
      </c>
      <c r="C273" s="16" t="s">
        <v>89</v>
      </c>
      <c r="D273" s="16" t="s">
        <v>37</v>
      </c>
      <c r="E273" s="16" t="s">
        <v>38</v>
      </c>
      <c r="F273" s="16" t="s">
        <v>90</v>
      </c>
      <c r="H273" s="94" t="s">
        <v>47</v>
      </c>
      <c r="I273" s="116" t="s">
        <v>89</v>
      </c>
      <c r="J273" s="116" t="s">
        <v>37</v>
      </c>
      <c r="K273" s="116" t="s">
        <v>38</v>
      </c>
      <c r="L273" s="16" t="s">
        <v>90</v>
      </c>
    </row>
    <row r="274" spans="1:12" ht="15" thickBot="1" x14ac:dyDescent="0.35">
      <c r="B274" s="54">
        <f>300</f>
        <v>300</v>
      </c>
      <c r="C274" s="55">
        <f>3/2*$D$2 + $D$2</f>
        <v>20.786180000000002</v>
      </c>
      <c r="D274" s="55">
        <f>3/2*$D$2  + $D$2</f>
        <v>20.786180000000002</v>
      </c>
      <c r="E274" s="55" t="e" cm="1">
        <f t="array" ref="E274">$D$2*SUM( ( ($B$12:$B$20) * ($B$12:$B$20)* EXP($B$12:$B$20/B274) ) / ( B274*B274* ( EXP(( $B$12:$B$20)/B274 )  -1)^2 ) ) +   $D$2</f>
        <v>#DIV/0!</v>
      </c>
      <c r="F274" s="58" t="s">
        <v>107</v>
      </c>
      <c r="H274" s="54">
        <f>300</f>
        <v>300</v>
      </c>
      <c r="I274" s="105">
        <f>(3/2*$D$2  + $D$2)/ 4.184</f>
        <v>4.9680162523900577</v>
      </c>
      <c r="J274" s="105">
        <f>(3/2*$D$2 + $D$2) / 4.184</f>
        <v>4.9680162523900577</v>
      </c>
      <c r="K274" s="105" t="e" cm="1">
        <f t="array" ref="K274" xml:space="preserve"> ($D$2*SUM( ( ($B$12:$B$20) * ($B$12:$B$20)* EXP($B$12:$B$20/B274) ) / ( B274*B274* ( EXP(( $B$12:$B$20)/B274 )  -1)^2 ) ) +   $D$2 ) / 4.184</f>
        <v>#DIV/0!</v>
      </c>
      <c r="L274" s="117" t="s">
        <v>107</v>
      </c>
    </row>
    <row r="275" spans="1:12" x14ac:dyDescent="0.3">
      <c r="B275" s="54">
        <f>B274+100</f>
        <v>400</v>
      </c>
      <c r="C275" s="55">
        <f t="shared" ref="C275:C292" si="47">3/2*$D$2 + $D$2</f>
        <v>20.786180000000002</v>
      </c>
      <c r="D275" s="55">
        <f t="shared" ref="D275:D292" si="48">3/2*$D$2  + $D$2</f>
        <v>20.786180000000002</v>
      </c>
      <c r="E275" s="55" t="e" cm="1">
        <f t="array" ref="E275">$D$2*SUM( ( ($B$12:$B$20) * ($B$12:$B$20)* EXP($B$12:$B$20/B275) ) / ( B275*B275* ( EXP(( $B$12:$B$20)/B275 )  -1)^2 ) ) +   $D$2</f>
        <v>#DIV/0!</v>
      </c>
      <c r="H275" s="54">
        <f>H274+100</f>
        <v>400</v>
      </c>
      <c r="I275" s="55">
        <f t="shared" ref="I275:I292" si="49">(3/2*$D$2  + $D$2)/ 4.184</f>
        <v>4.9680162523900577</v>
      </c>
      <c r="J275" s="55">
        <f t="shared" ref="J275:J292" si="50">(3/2*$D$2 + $D$2) / 4.184</f>
        <v>4.9680162523900577</v>
      </c>
      <c r="K275" s="55" t="e" cm="1">
        <f t="array" ref="K275" xml:space="preserve"> ($D$2*SUM( ( ($B$12:$B$20) * ($B$12:$B$20)* EXP($B$12:$B$20/B275) ) / ( B275*B275* ( EXP(( $B$12:$B$20)/B275)  -1)^2 ) ) +   $D$2 ) / 4.184</f>
        <v>#DIV/0!</v>
      </c>
    </row>
    <row r="276" spans="1:12" x14ac:dyDescent="0.3">
      <c r="B276" s="54">
        <f t="shared" ref="B276:B292" si="51">B275+100</f>
        <v>500</v>
      </c>
      <c r="C276" s="55">
        <f t="shared" si="47"/>
        <v>20.786180000000002</v>
      </c>
      <c r="D276" s="55">
        <f t="shared" si="48"/>
        <v>20.786180000000002</v>
      </c>
      <c r="E276" s="55" t="e" cm="1">
        <f t="array" ref="E276">$D$2*SUM( ( ($B$12:$B$20) * ($B$12:$B$20)* EXP($B$12:$B$20/B276) ) / ( B276*B276* ( EXP(( $B$12:$B$20)/B276 )  -1)^2 ) ) +   $D$2</f>
        <v>#DIV/0!</v>
      </c>
      <c r="H276" s="54">
        <f t="shared" ref="H276:H292" si="52">H275+100</f>
        <v>500</v>
      </c>
      <c r="I276" s="55">
        <f t="shared" si="49"/>
        <v>4.9680162523900577</v>
      </c>
      <c r="J276" s="55">
        <f t="shared" si="50"/>
        <v>4.9680162523900577</v>
      </c>
      <c r="K276" s="55" t="e" cm="1">
        <f t="array" ref="K276" xml:space="preserve"> ($D$2*SUM( ( ($B$12:$B$20) * ($B$12:$B$20)* EXP($B$12:$B$20/B276) ) / ( B276*B276* ( EXP(( $B$12:$B$20)/B276)  -1)^2 ) ) +   $D$2 ) / 4.184</f>
        <v>#DIV/0!</v>
      </c>
    </row>
    <row r="277" spans="1:12" x14ac:dyDescent="0.3">
      <c r="B277" s="54">
        <f t="shared" si="51"/>
        <v>600</v>
      </c>
      <c r="C277" s="55">
        <f t="shared" si="47"/>
        <v>20.786180000000002</v>
      </c>
      <c r="D277" s="55">
        <f t="shared" si="48"/>
        <v>20.786180000000002</v>
      </c>
      <c r="E277" s="55" t="e" cm="1">
        <f t="array" ref="E277">$D$2*SUM( ( ($B$12:$B$20) * ($B$12:$B$20)* EXP($B$12:$B$20/B277) ) / ( B277*B277* ( EXP(( $B$12:$B$20)/B277 )  -1)^2 ) ) +   $D$2</f>
        <v>#DIV/0!</v>
      </c>
      <c r="H277" s="54">
        <f t="shared" si="52"/>
        <v>600</v>
      </c>
      <c r="I277" s="55">
        <f t="shared" si="49"/>
        <v>4.9680162523900577</v>
      </c>
      <c r="J277" s="55">
        <f t="shared" si="50"/>
        <v>4.9680162523900577</v>
      </c>
      <c r="K277" s="55" t="e" cm="1">
        <f t="array" ref="K277" xml:space="preserve"> ($D$2*SUM( ( ($B$12:$B$20) * ($B$12:$B$20)* EXP($B$12:$B$20/B277) ) / ( B277*B277* ( EXP(( $B$12:$B$20)/B277)  -1)^2 ) ) +   $D$2 ) / 4.184</f>
        <v>#DIV/0!</v>
      </c>
    </row>
    <row r="278" spans="1:12" x14ac:dyDescent="0.3">
      <c r="B278" s="54">
        <f t="shared" si="51"/>
        <v>700</v>
      </c>
      <c r="C278" s="55">
        <f t="shared" si="47"/>
        <v>20.786180000000002</v>
      </c>
      <c r="D278" s="55">
        <f t="shared" si="48"/>
        <v>20.786180000000002</v>
      </c>
      <c r="E278" s="55" t="e" cm="1">
        <f t="array" ref="E278">$D$2*SUM( ( ($B$12:$B$20) * ($B$12:$B$20)* EXP($B$12:$B$20/B278) ) / ( B278*B278* ( EXP(( $B$12:$B$20)/B278 )  -1)^2 ) ) +   $D$2</f>
        <v>#DIV/0!</v>
      </c>
      <c r="H278" s="54">
        <f t="shared" si="52"/>
        <v>700</v>
      </c>
      <c r="I278" s="55">
        <f t="shared" si="49"/>
        <v>4.9680162523900577</v>
      </c>
      <c r="J278" s="55">
        <f t="shared" si="50"/>
        <v>4.9680162523900577</v>
      </c>
      <c r="K278" s="55" t="e" cm="1">
        <f t="array" ref="K278" xml:space="preserve"> ($D$2*SUM( ( ($B$12:$B$20) * ($B$12:$B$20)* EXP($B$12:$B$20/B278) ) / ( B278*B278* ( EXP(( $B$12:$B$20)/B278)  -1)^2 ) ) +   $D$2 ) / 4.184</f>
        <v>#DIV/0!</v>
      </c>
    </row>
    <row r="279" spans="1:12" x14ac:dyDescent="0.3">
      <c r="B279" s="54">
        <f t="shared" si="51"/>
        <v>800</v>
      </c>
      <c r="C279" s="55">
        <f t="shared" si="47"/>
        <v>20.786180000000002</v>
      </c>
      <c r="D279" s="55">
        <f t="shared" si="48"/>
        <v>20.786180000000002</v>
      </c>
      <c r="E279" s="55" t="e" cm="1">
        <f t="array" ref="E279">$D$2*SUM( ( ($B$12:$B$20) * ($B$12:$B$20)* EXP($B$12:$B$20/B279) ) / ( B279*B279* ( EXP(( $B$12:$B$20)/B279 )  -1)^2 ) ) +   $D$2</f>
        <v>#DIV/0!</v>
      </c>
      <c r="H279" s="54">
        <f t="shared" si="52"/>
        <v>800</v>
      </c>
      <c r="I279" s="55">
        <f t="shared" si="49"/>
        <v>4.9680162523900577</v>
      </c>
      <c r="J279" s="55">
        <f t="shared" si="50"/>
        <v>4.9680162523900577</v>
      </c>
      <c r="K279" s="55" t="e" cm="1">
        <f t="array" ref="K279" xml:space="preserve"> ($D$2*SUM( ( ($B$12:$B$20) * ($B$12:$B$20)* EXP($B$12:$B$20/B279) ) / ( B279*B279* ( EXP(( $B$12:$B$20)/B279)  -1)^2 ) ) +   $D$2 ) / 4.184</f>
        <v>#DIV/0!</v>
      </c>
    </row>
    <row r="280" spans="1:12" x14ac:dyDescent="0.3">
      <c r="B280" s="54">
        <f t="shared" si="51"/>
        <v>900</v>
      </c>
      <c r="C280" s="55">
        <f t="shared" si="47"/>
        <v>20.786180000000002</v>
      </c>
      <c r="D280" s="55">
        <f t="shared" si="48"/>
        <v>20.786180000000002</v>
      </c>
      <c r="E280" s="55" t="e" cm="1">
        <f t="array" ref="E280">$D$2*SUM( ( ($B$12:$B$20) * ($B$12:$B$20)* EXP($B$12:$B$20/B280) ) / ( B280*B280* ( EXP(( $B$12:$B$20)/B280 )  -1)^2 ) ) +   $D$2</f>
        <v>#DIV/0!</v>
      </c>
      <c r="H280" s="54">
        <f t="shared" si="52"/>
        <v>900</v>
      </c>
      <c r="I280" s="55">
        <f t="shared" si="49"/>
        <v>4.9680162523900577</v>
      </c>
      <c r="J280" s="55">
        <f t="shared" si="50"/>
        <v>4.9680162523900577</v>
      </c>
      <c r="K280" s="55" t="e" cm="1">
        <f t="array" ref="K280" xml:space="preserve"> ($D$2*SUM( ( ($B$12:$B$20) * ($B$12:$B$20)* EXP($B$12:$B$20/B280) ) / ( B280*B280* ( EXP(( $B$12:$B$20)/B280)  -1)^2 ) ) +   $D$2 ) / 4.184</f>
        <v>#DIV/0!</v>
      </c>
    </row>
    <row r="281" spans="1:12" x14ac:dyDescent="0.3">
      <c r="B281" s="54">
        <f t="shared" si="51"/>
        <v>1000</v>
      </c>
      <c r="C281" s="55">
        <f t="shared" si="47"/>
        <v>20.786180000000002</v>
      </c>
      <c r="D281" s="55">
        <f t="shared" si="48"/>
        <v>20.786180000000002</v>
      </c>
      <c r="E281" s="55" t="e" cm="1">
        <f t="array" ref="E281">$D$2*SUM( ( ($B$12:$B$20) * ($B$12:$B$20)* EXP($B$12:$B$20/B281) ) / ( B281*B281* ( EXP(( $B$12:$B$20)/B281 )  -1)^2 ) ) +   $D$2</f>
        <v>#DIV/0!</v>
      </c>
      <c r="H281" s="54">
        <f t="shared" si="52"/>
        <v>1000</v>
      </c>
      <c r="I281" s="55">
        <f t="shared" si="49"/>
        <v>4.9680162523900577</v>
      </c>
      <c r="J281" s="55">
        <f t="shared" si="50"/>
        <v>4.9680162523900577</v>
      </c>
      <c r="K281" s="55" t="e" cm="1">
        <f t="array" ref="K281" xml:space="preserve"> ($D$2*SUM( ( ($B$12:$B$20) * ($B$12:$B$20)* EXP($B$12:$B$20/B281) ) / ( B281*B281* ( EXP(( $B$12:$B$20)/B281)  -1)^2 ) ) +   $D$2 ) / 4.184</f>
        <v>#DIV/0!</v>
      </c>
    </row>
    <row r="282" spans="1:12" x14ac:dyDescent="0.3">
      <c r="B282" s="54">
        <f t="shared" si="51"/>
        <v>1100</v>
      </c>
      <c r="C282" s="55">
        <f t="shared" si="47"/>
        <v>20.786180000000002</v>
      </c>
      <c r="D282" s="55">
        <f t="shared" si="48"/>
        <v>20.786180000000002</v>
      </c>
      <c r="E282" s="55" t="e" cm="1">
        <f t="array" ref="E282">$D$2*SUM( ( ($B$12:$B$20) * ($B$12:$B$20)* EXP($B$12:$B$20/B282) ) / ( B282*B282* ( EXP(( $B$12:$B$20)/B282 )  -1)^2 ) ) +   $D$2</f>
        <v>#DIV/0!</v>
      </c>
      <c r="H282" s="54">
        <f t="shared" si="52"/>
        <v>1100</v>
      </c>
      <c r="I282" s="55">
        <f t="shared" si="49"/>
        <v>4.9680162523900577</v>
      </c>
      <c r="J282" s="55">
        <f t="shared" si="50"/>
        <v>4.9680162523900577</v>
      </c>
      <c r="K282" s="55" t="e" cm="1">
        <f t="array" ref="K282" xml:space="preserve"> ($D$2*SUM( ( ($B$12:$B$20) * ($B$12:$B$20)* EXP($B$12:$B$20/B282) ) / ( B282*B282* ( EXP(( $B$12:$B$20)/B282)  -1)^2 ) ) +   $D$2 ) / 4.184</f>
        <v>#DIV/0!</v>
      </c>
    </row>
    <row r="283" spans="1:12" x14ac:dyDescent="0.3">
      <c r="B283" s="54">
        <f t="shared" si="51"/>
        <v>1200</v>
      </c>
      <c r="C283" s="55">
        <f t="shared" si="47"/>
        <v>20.786180000000002</v>
      </c>
      <c r="D283" s="55">
        <f t="shared" si="48"/>
        <v>20.786180000000002</v>
      </c>
      <c r="E283" s="55" t="e" cm="1">
        <f t="array" ref="E283">$D$2*SUM( ( ($B$12:$B$20) * ($B$12:$B$20)* EXP($B$12:$B$20/B283) ) / ( B283*B283* ( EXP(( $B$12:$B$20)/B283 )  -1)^2 ) ) +   $D$2</f>
        <v>#DIV/0!</v>
      </c>
      <c r="H283" s="54">
        <f t="shared" si="52"/>
        <v>1200</v>
      </c>
      <c r="I283" s="55">
        <f t="shared" si="49"/>
        <v>4.9680162523900577</v>
      </c>
      <c r="J283" s="55">
        <f t="shared" si="50"/>
        <v>4.9680162523900577</v>
      </c>
      <c r="K283" s="55" t="e" cm="1">
        <f t="array" ref="K283" xml:space="preserve"> ($D$2*SUM( ( ($B$12:$B$20) * ($B$12:$B$20)* EXP($B$12:$B$20/B283) ) / ( B283*B283* ( EXP(( $B$12:$B$20)/B283)  -1)^2 ) ) +   $D$2 ) / 4.184</f>
        <v>#DIV/0!</v>
      </c>
    </row>
    <row r="284" spans="1:12" x14ac:dyDescent="0.3">
      <c r="B284" s="54">
        <f t="shared" si="51"/>
        <v>1300</v>
      </c>
      <c r="C284" s="55">
        <f t="shared" si="47"/>
        <v>20.786180000000002</v>
      </c>
      <c r="D284" s="55">
        <f t="shared" si="48"/>
        <v>20.786180000000002</v>
      </c>
      <c r="E284" s="55" t="e" cm="1">
        <f t="array" ref="E284">$D$2*SUM( ( ($B$12:$B$20) * ($B$12:$B$20)* EXP($B$12:$B$20/B284) ) / ( B284*B284* ( EXP(( $B$12:$B$20)/B284 )  -1)^2 ) ) +   $D$2</f>
        <v>#DIV/0!</v>
      </c>
      <c r="H284" s="54">
        <f t="shared" si="52"/>
        <v>1300</v>
      </c>
      <c r="I284" s="55">
        <f t="shared" si="49"/>
        <v>4.9680162523900577</v>
      </c>
      <c r="J284" s="55">
        <f t="shared" si="50"/>
        <v>4.9680162523900577</v>
      </c>
      <c r="K284" s="55" t="e" cm="1">
        <f t="array" ref="K284" xml:space="preserve"> ($D$2*SUM( ( ($B$12:$B$20) * ($B$12:$B$20)* EXP($B$12:$B$20/B284) ) / ( B284*B284* ( EXP(( $B$12:$B$20)/B284)  -1)^2 ) ) +   $D$2 ) / 4.184</f>
        <v>#DIV/0!</v>
      </c>
    </row>
    <row r="285" spans="1:12" x14ac:dyDescent="0.3">
      <c r="B285" s="54">
        <f t="shared" si="51"/>
        <v>1400</v>
      </c>
      <c r="C285" s="55">
        <f t="shared" si="47"/>
        <v>20.786180000000002</v>
      </c>
      <c r="D285" s="55">
        <f t="shared" si="48"/>
        <v>20.786180000000002</v>
      </c>
      <c r="E285" s="55" t="e" cm="1">
        <f t="array" ref="E285">$D$2*SUM( ( ($B$12:$B$20) * ($B$12:$B$20)* EXP($B$12:$B$20/B285) ) / ( B285*B285* ( EXP(( $B$12:$B$20)/B285 )  -1)^2 ) ) +   $D$2</f>
        <v>#DIV/0!</v>
      </c>
      <c r="H285" s="54">
        <f t="shared" si="52"/>
        <v>1400</v>
      </c>
      <c r="I285" s="55">
        <f t="shared" si="49"/>
        <v>4.9680162523900577</v>
      </c>
      <c r="J285" s="55">
        <f t="shared" si="50"/>
        <v>4.9680162523900577</v>
      </c>
      <c r="K285" s="55" t="e" cm="1">
        <f t="array" ref="K285" xml:space="preserve"> ($D$2*SUM( ( ($B$12:$B$20) * ($B$12:$B$20)* EXP($B$12:$B$20/B285) ) / ( B285*B285* ( EXP(( $B$12:$B$20)/B285)  -1)^2 ) ) +   $D$2 ) / 4.184</f>
        <v>#DIV/0!</v>
      </c>
    </row>
    <row r="286" spans="1:12" x14ac:dyDescent="0.3">
      <c r="B286" s="54">
        <f t="shared" si="51"/>
        <v>1500</v>
      </c>
      <c r="C286" s="55">
        <f t="shared" si="47"/>
        <v>20.786180000000002</v>
      </c>
      <c r="D286" s="55">
        <f t="shared" si="48"/>
        <v>20.786180000000002</v>
      </c>
      <c r="E286" s="55" t="e" cm="1">
        <f t="array" ref="E286">$D$2*SUM( ( ($B$12:$B$20) * ($B$12:$B$20)* EXP($B$12:$B$20/B286) ) / ( B286*B286* ( EXP(( $B$12:$B$20)/B286 )  -1)^2 ) ) +   $D$2</f>
        <v>#DIV/0!</v>
      </c>
      <c r="H286" s="54">
        <f t="shared" si="52"/>
        <v>1500</v>
      </c>
      <c r="I286" s="55">
        <f t="shared" si="49"/>
        <v>4.9680162523900577</v>
      </c>
      <c r="J286" s="55">
        <f t="shared" si="50"/>
        <v>4.9680162523900577</v>
      </c>
      <c r="K286" s="55" t="e" cm="1">
        <f t="array" ref="K286" xml:space="preserve"> ($D$2*SUM( ( ($B$12:$B$20) * ($B$12:$B$20)* EXP($B$12:$B$20/B286) ) / ( B286*B286* ( EXP(( $B$12:$B$20)/B286)  -1)^2 ) ) +   $D$2 ) / 4.184</f>
        <v>#DIV/0!</v>
      </c>
    </row>
    <row r="287" spans="1:12" x14ac:dyDescent="0.3">
      <c r="B287" s="54">
        <f t="shared" si="51"/>
        <v>1600</v>
      </c>
      <c r="C287" s="55">
        <f t="shared" si="47"/>
        <v>20.786180000000002</v>
      </c>
      <c r="D287" s="55">
        <f t="shared" si="48"/>
        <v>20.786180000000002</v>
      </c>
      <c r="E287" s="55" t="e" cm="1">
        <f t="array" ref="E287">$D$2*SUM( ( ($B$12:$B$20) * ($B$12:$B$20)* EXP($B$12:$B$20/B287) ) / ( B287*B287* ( EXP(( $B$12:$B$20)/B287 )  -1)^2 ) ) +   $D$2</f>
        <v>#DIV/0!</v>
      </c>
      <c r="H287" s="54">
        <f t="shared" si="52"/>
        <v>1600</v>
      </c>
      <c r="I287" s="55">
        <f t="shared" si="49"/>
        <v>4.9680162523900577</v>
      </c>
      <c r="J287" s="55">
        <f t="shared" si="50"/>
        <v>4.9680162523900577</v>
      </c>
      <c r="K287" s="55" t="e" cm="1">
        <f t="array" ref="K287" xml:space="preserve"> ($D$2*SUM( ( ($B$12:$B$20) * ($B$12:$B$20)* EXP($B$12:$B$20/B287) ) / ( B287*B287* ( EXP(( $B$12:$B$20)/B287)  -1)^2 ) ) +   $D$2 ) / 4.184</f>
        <v>#DIV/0!</v>
      </c>
    </row>
    <row r="288" spans="1:12" x14ac:dyDescent="0.3">
      <c r="B288" s="54">
        <f t="shared" si="51"/>
        <v>1700</v>
      </c>
      <c r="C288" s="55">
        <f t="shared" si="47"/>
        <v>20.786180000000002</v>
      </c>
      <c r="D288" s="55">
        <f t="shared" si="48"/>
        <v>20.786180000000002</v>
      </c>
      <c r="E288" s="55" t="e" cm="1">
        <f t="array" ref="E288">$D$2*SUM( ( ($B$12:$B$20) * ($B$12:$B$20)* EXP($B$12:$B$20/B288) ) / ( B288*B288* ( EXP(( $B$12:$B$20)/B288 )  -1)^2 ) ) +   $D$2</f>
        <v>#DIV/0!</v>
      </c>
      <c r="H288" s="54">
        <f t="shared" si="52"/>
        <v>1700</v>
      </c>
      <c r="I288" s="55">
        <f t="shared" si="49"/>
        <v>4.9680162523900577</v>
      </c>
      <c r="J288" s="55">
        <f t="shared" si="50"/>
        <v>4.9680162523900577</v>
      </c>
      <c r="K288" s="55" t="e" cm="1">
        <f t="array" ref="K288" xml:space="preserve"> ($D$2*SUM( ( ($B$12:$B$20) * ($B$12:$B$20)* EXP($B$12:$B$20/B288) ) / ( B288*B288* ( EXP(( $B$12:$B$20)/B288)  -1)^2 ) ) +   $D$2 ) / 4.184</f>
        <v>#DIV/0!</v>
      </c>
    </row>
    <row r="289" spans="2:12" x14ac:dyDescent="0.3">
      <c r="B289" s="54">
        <f t="shared" si="51"/>
        <v>1800</v>
      </c>
      <c r="C289" s="55">
        <f t="shared" si="47"/>
        <v>20.786180000000002</v>
      </c>
      <c r="D289" s="55">
        <f t="shared" si="48"/>
        <v>20.786180000000002</v>
      </c>
      <c r="E289" s="55" t="e" cm="1">
        <f t="array" ref="E289">$D$2*SUM( ( ($B$12:$B$20) * ($B$12:$B$20)* EXP($B$12:$B$20/B289) ) / ( B289*B289* ( EXP(( $B$12:$B$20)/B289 )  -1)^2 ) ) +   $D$2</f>
        <v>#DIV/0!</v>
      </c>
      <c r="H289" s="54">
        <f t="shared" si="52"/>
        <v>1800</v>
      </c>
      <c r="I289" s="55">
        <f t="shared" si="49"/>
        <v>4.9680162523900577</v>
      </c>
      <c r="J289" s="55">
        <f t="shared" si="50"/>
        <v>4.9680162523900577</v>
      </c>
      <c r="K289" s="55" t="e" cm="1">
        <f t="array" ref="K289" xml:space="preserve"> ($D$2*SUM( ( ($B$12:$B$20) * ($B$12:$B$20)* EXP($B$12:$B$20/B289) ) / ( B289*B289* ( EXP(( $B$12:$B$20)/B289)  -1)^2 ) ) +   $D$2 ) / 4.184</f>
        <v>#DIV/0!</v>
      </c>
    </row>
    <row r="290" spans="2:12" x14ac:dyDescent="0.3">
      <c r="B290" s="54">
        <f t="shared" si="51"/>
        <v>1900</v>
      </c>
      <c r="C290" s="55">
        <f t="shared" si="47"/>
        <v>20.786180000000002</v>
      </c>
      <c r="D290" s="55">
        <f t="shared" si="48"/>
        <v>20.786180000000002</v>
      </c>
      <c r="E290" s="55" t="e" cm="1">
        <f t="array" ref="E290">$D$2*SUM( ( ($B$12:$B$20) * ($B$12:$B$20)* EXP($B$12:$B$20/B290) ) / ( B290*B290* ( EXP(( $B$12:$B$20)/B290 )  -1)^2 ) ) +   $D$2</f>
        <v>#DIV/0!</v>
      </c>
      <c r="H290" s="54">
        <f t="shared" si="52"/>
        <v>1900</v>
      </c>
      <c r="I290" s="55">
        <f t="shared" si="49"/>
        <v>4.9680162523900577</v>
      </c>
      <c r="J290" s="55">
        <f t="shared" si="50"/>
        <v>4.9680162523900577</v>
      </c>
      <c r="K290" s="55" t="e" cm="1">
        <f t="array" ref="K290" xml:space="preserve"> ($D$2*SUM( ( ($B$12:$B$20) * ($B$12:$B$20)* EXP($B$12:$B$20/B290) ) / ( B290*B290* ( EXP(( $B$12:$B$20)/B290)  -1)^2 ) ) +   $D$2 ) / 4.184</f>
        <v>#DIV/0!</v>
      </c>
    </row>
    <row r="291" spans="2:12" x14ac:dyDescent="0.3">
      <c r="B291" s="54">
        <f t="shared" si="51"/>
        <v>2000</v>
      </c>
      <c r="C291" s="55">
        <f t="shared" si="47"/>
        <v>20.786180000000002</v>
      </c>
      <c r="D291" s="55">
        <f t="shared" si="48"/>
        <v>20.786180000000002</v>
      </c>
      <c r="E291" s="55" t="e" cm="1">
        <f t="array" ref="E291">$D$2*SUM( ( ($B$12:$B$20) * ($B$12:$B$20)* EXP($B$12:$B$20/B291) ) / ( B291*B291* ( EXP(( $B$12:$B$20)/B291 )  -1)^2 ) ) +   $D$2</f>
        <v>#DIV/0!</v>
      </c>
      <c r="H291" s="54">
        <f t="shared" si="52"/>
        <v>2000</v>
      </c>
      <c r="I291" s="55">
        <f t="shared" si="49"/>
        <v>4.9680162523900577</v>
      </c>
      <c r="J291" s="55">
        <f t="shared" si="50"/>
        <v>4.9680162523900577</v>
      </c>
      <c r="K291" s="55" t="e" cm="1">
        <f t="array" ref="K291" xml:space="preserve"> ($D$2*SUM( ( ($B$12:$B$20) * ($B$12:$B$20)* EXP($B$12:$B$20/B291) ) / ( B291*B291* ( EXP(( $B$12:$B$20)/B291)  -1)^2 ) ) +   $D$2 ) / 4.184</f>
        <v>#DIV/0!</v>
      </c>
    </row>
    <row r="292" spans="2:12" ht="15" thickBot="1" x14ac:dyDescent="0.35">
      <c r="B292" s="25">
        <f t="shared" si="51"/>
        <v>2100</v>
      </c>
      <c r="C292" s="58">
        <f t="shared" si="47"/>
        <v>20.786180000000002</v>
      </c>
      <c r="D292" s="58">
        <f t="shared" si="48"/>
        <v>20.786180000000002</v>
      </c>
      <c r="E292" s="58" t="e" cm="1">
        <f t="array" ref="E292">$D$2*SUM( ( ($B$12:$B$20) * ($B$12:$B$20)* EXP($B$12:$B$20/B292) ) / ( B292*B292* ( EXP(( $B$12:$B$20)/B292 )  -1)^2 ) ) +   $D$2</f>
        <v>#DIV/0!</v>
      </c>
      <c r="F292" s="53"/>
      <c r="H292" s="25">
        <f t="shared" si="52"/>
        <v>2100</v>
      </c>
      <c r="I292" s="58">
        <f t="shared" si="49"/>
        <v>4.9680162523900577</v>
      </c>
      <c r="J292" s="58">
        <f t="shared" si="50"/>
        <v>4.9680162523900577</v>
      </c>
      <c r="K292" s="58" t="e" cm="1">
        <f t="array" ref="K292" xml:space="preserve"> ($D$2*SUM( ( ($B$12:$B$20) * ($B$12:$B$20)* EXP($B$12:$B$20/B292) ) / ( B292*B292* ( EXP(( $B$12:$B$20)/B292)  -1)^2 ) ) +   $D$2 ) / 4.184</f>
        <v>#DIV/0!</v>
      </c>
      <c r="L292" s="53"/>
    </row>
  </sheetData>
  <mergeCells count="14">
    <mergeCell ref="B272:F272"/>
    <mergeCell ref="H272:L272"/>
    <mergeCell ref="D52:W52"/>
    <mergeCell ref="B174:F174"/>
    <mergeCell ref="H174:K174"/>
    <mergeCell ref="M177:N177"/>
    <mergeCell ref="M178:N178"/>
    <mergeCell ref="B200:F200"/>
    <mergeCell ref="H200:L200"/>
    <mergeCell ref="M204:N204"/>
    <mergeCell ref="M205:N205"/>
    <mergeCell ref="B224:F224"/>
    <mergeCell ref="H224:L224"/>
    <mergeCell ref="M228:N2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E78E7-34E7-4EE9-BCF8-ABD0D6EEB581}">
  <dimension ref="A1:W292"/>
  <sheetViews>
    <sheetView topLeftCell="A119" workbookViewId="0">
      <selection activeCell="J132" sqref="J132"/>
    </sheetView>
  </sheetViews>
  <sheetFormatPr defaultRowHeight="14.4" x14ac:dyDescent="0.3"/>
  <cols>
    <col min="1" max="1" width="29.88671875" style="5" bestFit="1" customWidth="1"/>
    <col min="2" max="2" width="16.5546875" style="5" bestFit="1" customWidth="1"/>
    <col min="3" max="3" width="14.6640625" style="5" bestFit="1" customWidth="1"/>
    <col min="4" max="4" width="29.88671875" style="5" bestFit="1" customWidth="1"/>
    <col min="5" max="5" width="14.6640625" style="5" bestFit="1" customWidth="1"/>
    <col min="6" max="6" width="19.44140625" style="5" bestFit="1" customWidth="1"/>
    <col min="7" max="7" width="16" style="5" bestFit="1" customWidth="1"/>
    <col min="8" max="8" width="19.21875" style="5" bestFit="1" customWidth="1"/>
    <col min="9" max="9" width="16.77734375" style="5" bestFit="1" customWidth="1"/>
    <col min="10" max="10" width="20.33203125" style="5" bestFit="1" customWidth="1"/>
    <col min="11" max="11" width="21.109375" style="5" bestFit="1" customWidth="1"/>
    <col min="12" max="12" width="15.21875" style="5" bestFit="1" customWidth="1"/>
    <col min="13" max="14" width="20.33203125" style="5" bestFit="1" customWidth="1"/>
    <col min="15" max="15" width="14.77734375" style="5" bestFit="1" customWidth="1"/>
    <col min="16" max="16" width="8.88671875" style="5"/>
    <col min="17" max="17" width="12.33203125" style="5" customWidth="1"/>
    <col min="18" max="18" width="12.77734375" style="5" bestFit="1" customWidth="1"/>
    <col min="19" max="19" width="16" style="5" bestFit="1" customWidth="1"/>
    <col min="20" max="16384" width="8.88671875" style="5"/>
  </cols>
  <sheetData>
    <row r="1" spans="1:2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4" t="s">
        <v>11</v>
      </c>
    </row>
    <row r="2" spans="1:21" ht="15" thickBot="1" x14ac:dyDescent="0.35">
      <c r="A2" s="6">
        <v>1.3805999999999999E-23</v>
      </c>
      <c r="B2" s="7">
        <v>3.1415899999999999</v>
      </c>
      <c r="C2" s="7">
        <v>6.626068E-34</v>
      </c>
      <c r="D2" s="7">
        <v>8.3144720000000003</v>
      </c>
      <c r="E2" s="8">
        <f>1.00783*1.66E-27</f>
        <v>1.6729978E-27</v>
      </c>
      <c r="F2" s="7">
        <v>6.0221407599999999E+23</v>
      </c>
      <c r="G2" s="7">
        <f>((2*$E$2*$B$2*$A$2*$H$2)/($C$2*$C$2))^1.5</f>
        <v>9.7835994879254859E+29</v>
      </c>
      <c r="H2" s="8">
        <f>298.15</f>
        <v>298.14999999999998</v>
      </c>
      <c r="I2" s="9">
        <v>29979300000</v>
      </c>
      <c r="J2" s="10">
        <v>101325</v>
      </c>
      <c r="K2" s="9">
        <f>(E2*1000)/1.00783</f>
        <v>1.6600000000000001E-24</v>
      </c>
      <c r="L2" s="10">
        <f>F2*K2</f>
        <v>0.99967536616000008</v>
      </c>
    </row>
    <row r="3" spans="1:21" ht="15" thickBot="1" x14ac:dyDescent="0.35"/>
    <row r="4" spans="1:21" ht="15" thickBot="1" x14ac:dyDescent="0.35">
      <c r="E4" s="11" t="s">
        <v>12</v>
      </c>
      <c r="F4" s="12" t="s">
        <v>13</v>
      </c>
      <c r="G4" s="13" t="s">
        <v>14</v>
      </c>
      <c r="I4" s="11" t="s">
        <v>15</v>
      </c>
      <c r="J4" s="12" t="s">
        <v>16</v>
      </c>
      <c r="K4" s="12" t="s">
        <v>17</v>
      </c>
      <c r="L4" s="14" t="s">
        <v>18</v>
      </c>
    </row>
    <row r="5" spans="1:21" ht="16.8" thickBot="1" x14ac:dyDescent="0.35">
      <c r="B5" s="15" t="s">
        <v>19</v>
      </c>
      <c r="D5" s="16" t="s">
        <v>20</v>
      </c>
      <c r="E5" s="17">
        <v>11.452500000000001</v>
      </c>
      <c r="F5" s="18">
        <v>11.456390000000001</v>
      </c>
      <c r="G5" s="19">
        <v>11.456390000000001</v>
      </c>
      <c r="I5" s="20">
        <v>0</v>
      </c>
      <c r="J5" s="21">
        <f>I5*627.509474</f>
        <v>0</v>
      </c>
      <c r="K5" s="21">
        <f>I5*4.35974E-18</f>
        <v>0</v>
      </c>
      <c r="L5" s="22">
        <f>(2*K5)/(C2)</f>
        <v>0</v>
      </c>
    </row>
    <row r="6" spans="1:21" ht="16.8" thickBot="1" x14ac:dyDescent="0.35">
      <c r="A6" s="23" t="s">
        <v>21</v>
      </c>
      <c r="B6" s="24">
        <v>1</v>
      </c>
      <c r="D6" s="25" t="s">
        <v>22</v>
      </c>
      <c r="E6" s="26">
        <f>E5*1.66E-47</f>
        <v>1.9011150000000002E-46</v>
      </c>
      <c r="F6" s="27">
        <f t="shared" ref="F6:G6" si="0">F5*1.66E-47</f>
        <v>1.9017607399999999E-46</v>
      </c>
      <c r="G6" s="28">
        <f t="shared" si="0"/>
        <v>1.9017607399999999E-46</v>
      </c>
      <c r="U6" s="29"/>
    </row>
    <row r="7" spans="1:21" ht="15" thickBot="1" x14ac:dyDescent="0.35">
      <c r="U7" s="29"/>
    </row>
    <row r="8" spans="1:21" ht="15" thickBot="1" x14ac:dyDescent="0.35">
      <c r="A8" s="5" t="s">
        <v>23</v>
      </c>
      <c r="D8" s="23" t="s">
        <v>24</v>
      </c>
      <c r="E8" s="17">
        <v>157.58485999999999</v>
      </c>
      <c r="F8" s="18">
        <v>157.53139999999999</v>
      </c>
      <c r="G8" s="19">
        <v>157.53139999999999</v>
      </c>
      <c r="U8" s="29"/>
    </row>
    <row r="9" spans="1:21" ht="15" thickBot="1" x14ac:dyDescent="0.35">
      <c r="E9" s="26">
        <f>E8*1000000000</f>
        <v>157584860000</v>
      </c>
      <c r="F9" s="27">
        <f>F8*1000000000</f>
        <v>157531400000</v>
      </c>
      <c r="G9" s="28">
        <f>G8*1000000000</f>
        <v>157531400000</v>
      </c>
    </row>
    <row r="10" spans="1:21" ht="15" customHeight="1" thickBot="1" x14ac:dyDescent="0.35"/>
    <row r="11" spans="1:21" ht="15" customHeight="1" thickBot="1" x14ac:dyDescent="0.35">
      <c r="D11" s="30" t="s">
        <v>25</v>
      </c>
      <c r="E11" s="31">
        <v>7.5628700000000002</v>
      </c>
      <c r="F11" s="31">
        <v>7.5603100000000003</v>
      </c>
      <c r="G11" s="32">
        <v>7.5603100000000003</v>
      </c>
    </row>
    <row r="12" spans="1:21" ht="27" customHeight="1" x14ac:dyDescent="0.3">
      <c r="A12" s="33" t="s">
        <v>26</v>
      </c>
      <c r="B12" s="34"/>
    </row>
    <row r="13" spans="1:21" ht="15" thickBot="1" x14ac:dyDescent="0.35">
      <c r="A13" s="35"/>
      <c r="B13" s="36"/>
      <c r="S13" s="29"/>
      <c r="T13" s="29"/>
    </row>
    <row r="14" spans="1:21" ht="15.6" x14ac:dyDescent="0.3">
      <c r="A14" s="35"/>
      <c r="B14" s="36"/>
      <c r="D14" s="37" t="s">
        <v>27</v>
      </c>
      <c r="E14" s="38"/>
      <c r="F14" s="3" t="s">
        <v>28</v>
      </c>
      <c r="G14" s="3" t="s">
        <v>29</v>
      </c>
      <c r="H14" s="4" t="s">
        <v>30</v>
      </c>
    </row>
    <row r="15" spans="1:21" x14ac:dyDescent="0.3">
      <c r="A15" s="35"/>
      <c r="B15" s="36"/>
      <c r="E15" s="39"/>
      <c r="F15" s="40" t="s">
        <v>31</v>
      </c>
      <c r="G15" s="40" t="s">
        <v>32</v>
      </c>
      <c r="H15" s="41" t="s">
        <v>32</v>
      </c>
    </row>
    <row r="16" spans="1:21" x14ac:dyDescent="0.3">
      <c r="A16" s="35"/>
      <c r="B16" s="36"/>
      <c r="E16" s="39" t="s">
        <v>33</v>
      </c>
      <c r="F16" s="42">
        <v>0.88900000000000001</v>
      </c>
      <c r="G16" s="42">
        <v>2.9809999999999999</v>
      </c>
      <c r="H16" s="41">
        <v>27.391999999999999</v>
      </c>
    </row>
    <row r="17" spans="1:10" x14ac:dyDescent="0.3">
      <c r="A17" s="35"/>
      <c r="B17" s="36"/>
      <c r="E17" s="39" t="s">
        <v>34</v>
      </c>
      <c r="F17" s="42">
        <v>0</v>
      </c>
      <c r="G17" s="42">
        <v>0</v>
      </c>
      <c r="H17" s="41">
        <v>1.377</v>
      </c>
    </row>
    <row r="18" spans="1:10" x14ac:dyDescent="0.3">
      <c r="A18" s="35"/>
      <c r="B18" s="36"/>
      <c r="E18" s="39" t="s">
        <v>36</v>
      </c>
      <c r="F18" s="42">
        <v>0.88900000000000001</v>
      </c>
      <c r="G18" s="42">
        <v>2.9809999999999999</v>
      </c>
      <c r="H18" s="41">
        <v>26.013999999999999</v>
      </c>
    </row>
    <row r="19" spans="1:10" x14ac:dyDescent="0.3">
      <c r="A19" s="35"/>
      <c r="B19" s="36"/>
      <c r="E19" s="39" t="s">
        <v>37</v>
      </c>
      <c r="F19" s="42">
        <v>0</v>
      </c>
      <c r="G19" s="42">
        <v>0</v>
      </c>
      <c r="H19" s="41">
        <v>0</v>
      </c>
    </row>
    <row r="20" spans="1:10" ht="15" thickBot="1" x14ac:dyDescent="0.35">
      <c r="A20" s="26"/>
      <c r="B20" s="28"/>
      <c r="E20" s="44" t="s">
        <v>38</v>
      </c>
      <c r="F20" s="45">
        <v>0</v>
      </c>
      <c r="G20" s="45">
        <v>0</v>
      </c>
      <c r="H20" s="144">
        <v>0</v>
      </c>
    </row>
    <row r="21" spans="1:10" ht="15" thickBot="1" x14ac:dyDescent="0.35">
      <c r="F21" s="47"/>
      <c r="G21" s="47"/>
      <c r="H21" s="47"/>
    </row>
    <row r="22" spans="1:10" x14ac:dyDescent="0.3">
      <c r="E22" s="38"/>
      <c r="F22" s="4" t="s">
        <v>39</v>
      </c>
    </row>
    <row r="23" spans="1:10" x14ac:dyDescent="0.3">
      <c r="E23" s="39" t="s">
        <v>40</v>
      </c>
      <c r="F23" s="145">
        <v>79535.8</v>
      </c>
      <c r="J23"/>
    </row>
    <row r="24" spans="1:10" x14ac:dyDescent="0.3">
      <c r="E24" s="39" t="s">
        <v>41</v>
      </c>
      <c r="F24" s="145">
        <v>79535.8</v>
      </c>
    </row>
    <row r="25" spans="1:10" x14ac:dyDescent="0.3">
      <c r="E25" s="39" t="s">
        <v>42</v>
      </c>
      <c r="F25" s="145">
        <v>1</v>
      </c>
    </row>
    <row r="26" spans="1:10" x14ac:dyDescent="0.3">
      <c r="E26" s="39" t="s">
        <v>43</v>
      </c>
      <c r="F26" s="145">
        <v>1</v>
      </c>
      <c r="G26" s="5" t="s">
        <v>44</v>
      </c>
    </row>
    <row r="27" spans="1:10" x14ac:dyDescent="0.3">
      <c r="E27" s="39" t="s">
        <v>34</v>
      </c>
      <c r="F27" s="145">
        <v>2</v>
      </c>
      <c r="G27" s="50"/>
    </row>
    <row r="28" spans="1:10" x14ac:dyDescent="0.3">
      <c r="E28" s="39" t="s">
        <v>36</v>
      </c>
      <c r="F28" s="145">
        <v>39767.9</v>
      </c>
      <c r="G28" s="50"/>
    </row>
    <row r="29" spans="1:10" ht="15" thickBot="1" x14ac:dyDescent="0.35">
      <c r="E29" s="44" t="s">
        <v>37</v>
      </c>
      <c r="F29" s="146">
        <v>1</v>
      </c>
      <c r="G29" s="50"/>
    </row>
    <row r="30" spans="1:10" ht="15" thickBot="1" x14ac:dyDescent="0.35"/>
    <row r="31" spans="1:10" ht="16.2" x14ac:dyDescent="0.3">
      <c r="A31" s="17" t="s">
        <v>45</v>
      </c>
      <c r="B31" s="18" t="s">
        <v>46</v>
      </c>
      <c r="C31" s="52" t="s">
        <v>47</v>
      </c>
      <c r="D31" s="52" t="s">
        <v>48</v>
      </c>
      <c r="E31" s="16" t="s">
        <v>49</v>
      </c>
    </row>
    <row r="32" spans="1:10" x14ac:dyDescent="0.3">
      <c r="A32" s="35"/>
      <c r="B32" s="53">
        <f t="shared" ref="B32:B40" si="1">A32*$I$2</f>
        <v>0</v>
      </c>
      <c r="C32" s="54">
        <f>298.15</f>
        <v>298.14999999999998</v>
      </c>
      <c r="D32" s="55">
        <f>($A$2*C32)/$J$2</f>
        <v>4.062431680236861E-26</v>
      </c>
      <c r="E32" s="56">
        <f>$F$2*($F$83*D32)/($D$2*C32)</f>
        <v>0.99996338110898686</v>
      </c>
    </row>
    <row r="33" spans="1:5" x14ac:dyDescent="0.3">
      <c r="A33" s="35"/>
      <c r="B33" s="53">
        <f t="shared" si="1"/>
        <v>0</v>
      </c>
      <c r="C33" s="54">
        <f>300+100</f>
        <v>400</v>
      </c>
      <c r="D33" s="55">
        <f t="shared" ref="D33:D50" si="2">($A$2*C33)/$J$2</f>
        <v>5.4501850481125095E-26</v>
      </c>
      <c r="E33" s="56">
        <f t="shared" ref="E33:E50" si="3">$F$2*($F$83*D33)/($D$2*C33)</f>
        <v>0.99996338110898686</v>
      </c>
    </row>
    <row r="34" spans="1:5" x14ac:dyDescent="0.3">
      <c r="A34" s="35"/>
      <c r="B34" s="53">
        <f t="shared" si="1"/>
        <v>0</v>
      </c>
      <c r="C34" s="54">
        <f t="shared" ref="C34:C50" si="4">C33+100</f>
        <v>500</v>
      </c>
      <c r="D34" s="55">
        <f t="shared" si="2"/>
        <v>6.8127313101406362E-26</v>
      </c>
      <c r="E34" s="56">
        <f t="shared" si="3"/>
        <v>0.99996338110898675</v>
      </c>
    </row>
    <row r="35" spans="1:5" x14ac:dyDescent="0.3">
      <c r="A35" s="35"/>
      <c r="B35" s="53">
        <f t="shared" si="1"/>
        <v>0</v>
      </c>
      <c r="C35" s="54">
        <f t="shared" si="4"/>
        <v>600</v>
      </c>
      <c r="D35" s="55">
        <f t="shared" si="2"/>
        <v>8.175277572168763E-26</v>
      </c>
      <c r="E35" s="56">
        <f t="shared" si="3"/>
        <v>0.99996338110898653</v>
      </c>
    </row>
    <row r="36" spans="1:5" x14ac:dyDescent="0.3">
      <c r="A36" s="35"/>
      <c r="B36" s="53">
        <f t="shared" si="1"/>
        <v>0</v>
      </c>
      <c r="C36" s="54">
        <f t="shared" si="4"/>
        <v>700</v>
      </c>
      <c r="D36" s="55">
        <f t="shared" si="2"/>
        <v>9.5378238341968898E-26</v>
      </c>
      <c r="E36" s="56">
        <f t="shared" si="3"/>
        <v>0.99996338110898653</v>
      </c>
    </row>
    <row r="37" spans="1:5" x14ac:dyDescent="0.3">
      <c r="A37" s="35"/>
      <c r="B37" s="53">
        <f t="shared" si="1"/>
        <v>0</v>
      </c>
      <c r="C37" s="54">
        <f t="shared" si="4"/>
        <v>800</v>
      </c>
      <c r="D37" s="55">
        <f t="shared" si="2"/>
        <v>1.0900370096225019E-25</v>
      </c>
      <c r="E37" s="56">
        <f t="shared" si="3"/>
        <v>0.99996338110898686</v>
      </c>
    </row>
    <row r="38" spans="1:5" x14ac:dyDescent="0.3">
      <c r="A38" s="35"/>
      <c r="B38" s="53">
        <f t="shared" si="1"/>
        <v>0</v>
      </c>
      <c r="C38" s="54">
        <f t="shared" si="4"/>
        <v>900</v>
      </c>
      <c r="D38" s="55">
        <f t="shared" si="2"/>
        <v>1.2262916358253145E-25</v>
      </c>
      <c r="E38" s="56">
        <f t="shared" si="3"/>
        <v>0.99996338110898675</v>
      </c>
    </row>
    <row r="39" spans="1:5" x14ac:dyDescent="0.3">
      <c r="A39" s="35"/>
      <c r="B39" s="53">
        <f t="shared" si="1"/>
        <v>0</v>
      </c>
      <c r="C39" s="54">
        <f t="shared" si="4"/>
        <v>1000</v>
      </c>
      <c r="D39" s="55">
        <f t="shared" si="2"/>
        <v>1.3625462620281272E-25</v>
      </c>
      <c r="E39" s="56">
        <f t="shared" si="3"/>
        <v>0.99996338110898675</v>
      </c>
    </row>
    <row r="40" spans="1:5" ht="15" thickBot="1" x14ac:dyDescent="0.35">
      <c r="A40" s="26"/>
      <c r="B40" s="57">
        <f t="shared" si="1"/>
        <v>0</v>
      </c>
      <c r="C40" s="54">
        <f t="shared" si="4"/>
        <v>1100</v>
      </c>
      <c r="D40" s="55">
        <f t="shared" si="2"/>
        <v>1.4988008882309398E-25</v>
      </c>
      <c r="E40" s="56">
        <f t="shared" si="3"/>
        <v>0.99996338110898653</v>
      </c>
    </row>
    <row r="41" spans="1:5" x14ac:dyDescent="0.3">
      <c r="B41" s="53"/>
      <c r="C41" s="54">
        <f t="shared" si="4"/>
        <v>1200</v>
      </c>
      <c r="D41" s="55">
        <f t="shared" si="2"/>
        <v>1.6350555144337526E-25</v>
      </c>
      <c r="E41" s="56">
        <f t="shared" si="3"/>
        <v>0.99996338110898653</v>
      </c>
    </row>
    <row r="42" spans="1:5" x14ac:dyDescent="0.3">
      <c r="B42" s="53"/>
      <c r="C42" s="54">
        <f t="shared" si="4"/>
        <v>1300</v>
      </c>
      <c r="D42" s="55">
        <f t="shared" si="2"/>
        <v>1.7713101406365654E-25</v>
      </c>
      <c r="E42" s="56">
        <f t="shared" si="3"/>
        <v>0.99996338110898675</v>
      </c>
    </row>
    <row r="43" spans="1:5" x14ac:dyDescent="0.3">
      <c r="B43" s="53"/>
      <c r="C43" s="54">
        <f t="shared" si="4"/>
        <v>1400</v>
      </c>
      <c r="D43" s="55">
        <f t="shared" si="2"/>
        <v>1.907564766839378E-25</v>
      </c>
      <c r="E43" s="56">
        <f t="shared" si="3"/>
        <v>0.99996338110898653</v>
      </c>
    </row>
    <row r="44" spans="1:5" x14ac:dyDescent="0.3">
      <c r="B44" s="53"/>
      <c r="C44" s="54">
        <f t="shared" si="4"/>
        <v>1500</v>
      </c>
      <c r="D44" s="55">
        <f t="shared" si="2"/>
        <v>2.0438193930421908E-25</v>
      </c>
      <c r="E44" s="56">
        <f t="shared" si="3"/>
        <v>0.99996338110898675</v>
      </c>
    </row>
    <row r="45" spans="1:5" x14ac:dyDescent="0.3">
      <c r="B45" s="53"/>
      <c r="C45" s="54">
        <f t="shared" si="4"/>
        <v>1600</v>
      </c>
      <c r="D45" s="55">
        <f t="shared" si="2"/>
        <v>2.1800740192450038E-25</v>
      </c>
      <c r="E45" s="56">
        <f t="shared" si="3"/>
        <v>0.99996338110898686</v>
      </c>
    </row>
    <row r="46" spans="1:5" x14ac:dyDescent="0.3">
      <c r="B46" s="53"/>
      <c r="C46" s="54">
        <f t="shared" si="4"/>
        <v>1700</v>
      </c>
      <c r="D46" s="55">
        <f t="shared" si="2"/>
        <v>2.3163286454478159E-25</v>
      </c>
      <c r="E46" s="56">
        <f t="shared" si="3"/>
        <v>0.99996338110898664</v>
      </c>
    </row>
    <row r="47" spans="1:5" x14ac:dyDescent="0.3">
      <c r="B47" s="53"/>
      <c r="C47" s="54">
        <f t="shared" si="4"/>
        <v>1800</v>
      </c>
      <c r="D47" s="55">
        <f t="shared" si="2"/>
        <v>2.4525832716506289E-25</v>
      </c>
      <c r="E47" s="56">
        <f t="shared" si="3"/>
        <v>0.99996338110898675</v>
      </c>
    </row>
    <row r="48" spans="1:5" x14ac:dyDescent="0.3">
      <c r="B48" s="53"/>
      <c r="C48" s="54">
        <f t="shared" si="4"/>
        <v>1900</v>
      </c>
      <c r="D48" s="55">
        <f t="shared" si="2"/>
        <v>2.5888378978534419E-25</v>
      </c>
      <c r="E48" s="56">
        <f t="shared" si="3"/>
        <v>0.99996338110898686</v>
      </c>
    </row>
    <row r="49" spans="1:23" x14ac:dyDescent="0.3">
      <c r="B49" s="53"/>
      <c r="C49" s="54">
        <f t="shared" si="4"/>
        <v>2000</v>
      </c>
      <c r="D49" s="55">
        <f t="shared" si="2"/>
        <v>2.7250925240562545E-25</v>
      </c>
      <c r="E49" s="56">
        <f t="shared" si="3"/>
        <v>0.99996338110898675</v>
      </c>
    </row>
    <row r="50" spans="1:23" ht="15" thickBot="1" x14ac:dyDescent="0.35">
      <c r="C50" s="25">
        <f t="shared" si="4"/>
        <v>2100</v>
      </c>
      <c r="D50" s="58">
        <f t="shared" si="2"/>
        <v>2.8613471502590675E-25</v>
      </c>
      <c r="E50" s="59">
        <f t="shared" si="3"/>
        <v>0.99996338110898664</v>
      </c>
    </row>
    <row r="51" spans="1:23" ht="15" thickBot="1" x14ac:dyDescent="0.35"/>
    <row r="52" spans="1:23" ht="18.600000000000001" thickBot="1" x14ac:dyDescent="0.35">
      <c r="D52" s="209" t="s">
        <v>50</v>
      </c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1"/>
    </row>
    <row r="53" spans="1:23" x14ac:dyDescent="0.3">
      <c r="A53" s="11" t="s">
        <v>51</v>
      </c>
      <c r="B53" s="61">
        <f>1</f>
        <v>1</v>
      </c>
      <c r="D53" s="62" t="s">
        <v>52</v>
      </c>
      <c r="E53" s="63">
        <v>298.14999999999998</v>
      </c>
      <c r="F53" s="63">
        <f>300+100</f>
        <v>400</v>
      </c>
      <c r="G53" s="63">
        <f t="shared" ref="G53:W53" si="5">F53+100</f>
        <v>500</v>
      </c>
      <c r="H53" s="63">
        <f t="shared" si="5"/>
        <v>600</v>
      </c>
      <c r="I53" s="63">
        <f t="shared" si="5"/>
        <v>700</v>
      </c>
      <c r="J53" s="63">
        <f t="shared" si="5"/>
        <v>800</v>
      </c>
      <c r="K53" s="63">
        <f t="shared" si="5"/>
        <v>900</v>
      </c>
      <c r="L53" s="63">
        <f t="shared" si="5"/>
        <v>1000</v>
      </c>
      <c r="M53" s="63">
        <f t="shared" si="5"/>
        <v>1100</v>
      </c>
      <c r="N53" s="63">
        <f t="shared" si="5"/>
        <v>1200</v>
      </c>
      <c r="O53" s="63">
        <f t="shared" si="5"/>
        <v>1300</v>
      </c>
      <c r="P53" s="63">
        <f t="shared" si="5"/>
        <v>1400</v>
      </c>
      <c r="Q53" s="63">
        <f t="shared" si="5"/>
        <v>1500</v>
      </c>
      <c r="R53" s="63">
        <f t="shared" si="5"/>
        <v>1600</v>
      </c>
      <c r="S53" s="63">
        <f t="shared" si="5"/>
        <v>1700</v>
      </c>
      <c r="T53" s="63">
        <f t="shared" si="5"/>
        <v>1800</v>
      </c>
      <c r="U53" s="63">
        <f t="shared" si="5"/>
        <v>1900</v>
      </c>
      <c r="V53" s="63">
        <f t="shared" si="5"/>
        <v>2000</v>
      </c>
      <c r="W53" s="64">
        <f t="shared" si="5"/>
        <v>2100</v>
      </c>
    </row>
    <row r="54" spans="1:23" x14ac:dyDescent="0.3">
      <c r="A54" s="35"/>
      <c r="B54" s="65">
        <f>1</f>
        <v>1</v>
      </c>
      <c r="D54" s="66">
        <f t="shared" ref="D54:D62" si="6">A32*$I$2</f>
        <v>0</v>
      </c>
      <c r="E54" s="53">
        <v>1</v>
      </c>
      <c r="F54" s="53">
        <v>1</v>
      </c>
      <c r="G54" s="53">
        <v>1</v>
      </c>
      <c r="H54" s="53">
        <v>1</v>
      </c>
      <c r="I54" s="53">
        <v>1</v>
      </c>
      <c r="J54" s="53">
        <v>1</v>
      </c>
      <c r="K54" s="53">
        <v>1</v>
      </c>
      <c r="L54" s="53">
        <v>1</v>
      </c>
      <c r="M54" s="53">
        <v>1</v>
      </c>
      <c r="N54" s="53">
        <v>1</v>
      </c>
      <c r="O54" s="53">
        <v>1</v>
      </c>
      <c r="P54" s="53">
        <v>1</v>
      </c>
      <c r="Q54" s="53">
        <v>1</v>
      </c>
      <c r="R54" s="53">
        <v>1</v>
      </c>
      <c r="S54" s="53">
        <v>1</v>
      </c>
      <c r="T54" s="53">
        <v>1</v>
      </c>
      <c r="U54" s="53">
        <v>1</v>
      </c>
      <c r="V54" s="53">
        <v>1</v>
      </c>
      <c r="W54" s="65">
        <v>1</v>
      </c>
    </row>
    <row r="55" spans="1:23" x14ac:dyDescent="0.3">
      <c r="A55" s="35"/>
      <c r="B55" s="65">
        <f>1</f>
        <v>1</v>
      </c>
      <c r="D55" s="66">
        <f t="shared" si="6"/>
        <v>0</v>
      </c>
      <c r="E55" s="53">
        <v>1</v>
      </c>
      <c r="F55" s="53">
        <v>1</v>
      </c>
      <c r="G55" s="53">
        <v>1</v>
      </c>
      <c r="H55" s="53">
        <v>1</v>
      </c>
      <c r="I55" s="53">
        <v>1</v>
      </c>
      <c r="J55" s="53">
        <v>1</v>
      </c>
      <c r="K55" s="53">
        <v>1</v>
      </c>
      <c r="L55" s="53">
        <v>1</v>
      </c>
      <c r="M55" s="53">
        <v>1</v>
      </c>
      <c r="N55" s="53">
        <v>1</v>
      </c>
      <c r="O55" s="53">
        <v>1</v>
      </c>
      <c r="P55" s="53">
        <v>1</v>
      </c>
      <c r="Q55" s="53">
        <v>1</v>
      </c>
      <c r="R55" s="53">
        <v>1</v>
      </c>
      <c r="S55" s="53">
        <v>1</v>
      </c>
      <c r="T55" s="53">
        <v>1</v>
      </c>
      <c r="U55" s="53">
        <v>1</v>
      </c>
      <c r="V55" s="53">
        <v>1</v>
      </c>
      <c r="W55" s="65">
        <v>1</v>
      </c>
    </row>
    <row r="56" spans="1:23" x14ac:dyDescent="0.3">
      <c r="A56" s="35"/>
      <c r="B56" s="65">
        <f>1</f>
        <v>1</v>
      </c>
      <c r="D56" s="66">
        <f t="shared" si="6"/>
        <v>0</v>
      </c>
      <c r="E56" s="53">
        <v>1</v>
      </c>
      <c r="F56" s="53">
        <v>1</v>
      </c>
      <c r="G56" s="53">
        <v>1</v>
      </c>
      <c r="H56" s="53">
        <v>1</v>
      </c>
      <c r="I56" s="53">
        <v>1</v>
      </c>
      <c r="J56" s="53">
        <v>1</v>
      </c>
      <c r="K56" s="53">
        <v>1</v>
      </c>
      <c r="L56" s="53">
        <v>1</v>
      </c>
      <c r="M56" s="53">
        <v>1</v>
      </c>
      <c r="N56" s="53">
        <v>1</v>
      </c>
      <c r="O56" s="53">
        <v>1</v>
      </c>
      <c r="P56" s="53">
        <v>1</v>
      </c>
      <c r="Q56" s="53">
        <v>1</v>
      </c>
      <c r="R56" s="53">
        <v>1</v>
      </c>
      <c r="S56" s="53">
        <v>1</v>
      </c>
      <c r="T56" s="53">
        <v>1</v>
      </c>
      <c r="U56" s="53">
        <v>1</v>
      </c>
      <c r="V56" s="53">
        <v>1</v>
      </c>
      <c r="W56" s="65">
        <v>1</v>
      </c>
    </row>
    <row r="57" spans="1:23" x14ac:dyDescent="0.3">
      <c r="A57" s="35"/>
      <c r="B57" s="65">
        <f>1</f>
        <v>1</v>
      </c>
      <c r="D57" s="66">
        <f t="shared" si="6"/>
        <v>0</v>
      </c>
      <c r="E57" s="53">
        <v>1</v>
      </c>
      <c r="F57" s="53">
        <v>1</v>
      </c>
      <c r="G57" s="53">
        <v>1</v>
      </c>
      <c r="H57" s="53">
        <v>1</v>
      </c>
      <c r="I57" s="53">
        <v>1</v>
      </c>
      <c r="J57" s="53">
        <v>1</v>
      </c>
      <c r="K57" s="53">
        <v>1</v>
      </c>
      <c r="L57" s="53">
        <v>1</v>
      </c>
      <c r="M57" s="53">
        <v>1</v>
      </c>
      <c r="N57" s="53">
        <v>1</v>
      </c>
      <c r="O57" s="53">
        <v>1</v>
      </c>
      <c r="P57" s="53">
        <v>1</v>
      </c>
      <c r="Q57" s="53">
        <v>1</v>
      </c>
      <c r="R57" s="53">
        <v>1</v>
      </c>
      <c r="S57" s="53">
        <v>1</v>
      </c>
      <c r="T57" s="53">
        <v>1</v>
      </c>
      <c r="U57" s="53">
        <v>1</v>
      </c>
      <c r="V57" s="53">
        <v>1</v>
      </c>
      <c r="W57" s="65">
        <v>1</v>
      </c>
    </row>
    <row r="58" spans="1:23" x14ac:dyDescent="0.3">
      <c r="A58" s="35"/>
      <c r="B58" s="65">
        <f>1</f>
        <v>1</v>
      </c>
      <c r="D58" s="66">
        <f t="shared" si="6"/>
        <v>0</v>
      </c>
      <c r="E58" s="53">
        <v>1</v>
      </c>
      <c r="F58" s="53">
        <v>1</v>
      </c>
      <c r="G58" s="53">
        <v>1</v>
      </c>
      <c r="H58" s="53">
        <v>1</v>
      </c>
      <c r="I58" s="53">
        <v>1</v>
      </c>
      <c r="J58" s="53">
        <v>1</v>
      </c>
      <c r="K58" s="53">
        <v>1</v>
      </c>
      <c r="L58" s="53">
        <v>1</v>
      </c>
      <c r="M58" s="53">
        <v>1</v>
      </c>
      <c r="N58" s="53">
        <v>1</v>
      </c>
      <c r="O58" s="53">
        <v>1</v>
      </c>
      <c r="P58" s="53">
        <v>1</v>
      </c>
      <c r="Q58" s="53">
        <v>1</v>
      </c>
      <c r="R58" s="53">
        <v>1</v>
      </c>
      <c r="S58" s="53">
        <v>1</v>
      </c>
      <c r="T58" s="53">
        <v>1</v>
      </c>
      <c r="U58" s="53">
        <v>1</v>
      </c>
      <c r="V58" s="53">
        <v>1</v>
      </c>
      <c r="W58" s="65">
        <v>1</v>
      </c>
    </row>
    <row r="59" spans="1:23" x14ac:dyDescent="0.3">
      <c r="A59" s="35"/>
      <c r="B59" s="65">
        <f>1</f>
        <v>1</v>
      </c>
      <c r="D59" s="66">
        <f t="shared" si="6"/>
        <v>0</v>
      </c>
      <c r="E59" s="53">
        <v>1</v>
      </c>
      <c r="F59" s="53">
        <v>1</v>
      </c>
      <c r="G59" s="53">
        <v>1</v>
      </c>
      <c r="H59" s="53">
        <v>1</v>
      </c>
      <c r="I59" s="53">
        <v>1</v>
      </c>
      <c r="J59" s="53">
        <v>1</v>
      </c>
      <c r="K59" s="53">
        <v>1</v>
      </c>
      <c r="L59" s="53">
        <v>1</v>
      </c>
      <c r="M59" s="53">
        <v>1</v>
      </c>
      <c r="N59" s="53">
        <v>1</v>
      </c>
      <c r="O59" s="53">
        <v>1</v>
      </c>
      <c r="P59" s="53">
        <v>1</v>
      </c>
      <c r="Q59" s="53">
        <v>1</v>
      </c>
      <c r="R59" s="53">
        <v>1</v>
      </c>
      <c r="S59" s="53">
        <v>1</v>
      </c>
      <c r="T59" s="53">
        <v>1</v>
      </c>
      <c r="U59" s="53">
        <v>1</v>
      </c>
      <c r="V59" s="53">
        <v>1</v>
      </c>
      <c r="W59" s="65">
        <v>1</v>
      </c>
    </row>
    <row r="60" spans="1:23" x14ac:dyDescent="0.3">
      <c r="A60" s="35"/>
      <c r="B60" s="65">
        <f>1</f>
        <v>1</v>
      </c>
      <c r="D60" s="66">
        <f t="shared" si="6"/>
        <v>0</v>
      </c>
      <c r="E60" s="53">
        <v>1</v>
      </c>
      <c r="F60" s="53">
        <v>1</v>
      </c>
      <c r="G60" s="53">
        <v>1</v>
      </c>
      <c r="H60" s="53">
        <v>1</v>
      </c>
      <c r="I60" s="53">
        <v>1</v>
      </c>
      <c r="J60" s="53">
        <v>1</v>
      </c>
      <c r="K60" s="53">
        <v>1</v>
      </c>
      <c r="L60" s="53">
        <v>1</v>
      </c>
      <c r="M60" s="53">
        <v>1</v>
      </c>
      <c r="N60" s="53">
        <v>1</v>
      </c>
      <c r="O60" s="53">
        <v>1</v>
      </c>
      <c r="P60" s="53">
        <v>1</v>
      </c>
      <c r="Q60" s="53">
        <v>1</v>
      </c>
      <c r="R60" s="53">
        <v>1</v>
      </c>
      <c r="S60" s="53">
        <v>1</v>
      </c>
      <c r="T60" s="53">
        <v>1</v>
      </c>
      <c r="U60" s="53">
        <v>1</v>
      </c>
      <c r="V60" s="53">
        <v>1</v>
      </c>
      <c r="W60" s="65">
        <v>1</v>
      </c>
    </row>
    <row r="61" spans="1:23" ht="15" thickBot="1" x14ac:dyDescent="0.35">
      <c r="A61" s="26"/>
      <c r="B61" s="67">
        <f>1</f>
        <v>1</v>
      </c>
      <c r="D61" s="66">
        <f t="shared" si="6"/>
        <v>0</v>
      </c>
      <c r="E61" s="53">
        <v>1</v>
      </c>
      <c r="F61" s="53">
        <v>1</v>
      </c>
      <c r="G61" s="53">
        <v>1</v>
      </c>
      <c r="H61" s="53">
        <v>1</v>
      </c>
      <c r="I61" s="53">
        <v>1</v>
      </c>
      <c r="J61" s="53">
        <v>1</v>
      </c>
      <c r="K61" s="53">
        <v>1</v>
      </c>
      <c r="L61" s="53">
        <v>1</v>
      </c>
      <c r="M61" s="53">
        <v>1</v>
      </c>
      <c r="N61" s="53">
        <v>1</v>
      </c>
      <c r="O61" s="53">
        <v>1</v>
      </c>
      <c r="P61" s="53">
        <v>1</v>
      </c>
      <c r="Q61" s="53">
        <v>1</v>
      </c>
      <c r="R61" s="53">
        <v>1</v>
      </c>
      <c r="S61" s="53">
        <v>1</v>
      </c>
      <c r="T61" s="53">
        <v>1</v>
      </c>
      <c r="U61" s="53">
        <v>1</v>
      </c>
      <c r="V61" s="53">
        <v>1</v>
      </c>
      <c r="W61" s="65">
        <v>1</v>
      </c>
    </row>
    <row r="62" spans="1:23" ht="15" thickBot="1" x14ac:dyDescent="0.35">
      <c r="B62" s="53"/>
      <c r="D62" s="68">
        <f t="shared" si="6"/>
        <v>0</v>
      </c>
      <c r="E62" s="57">
        <v>1</v>
      </c>
      <c r="F62" s="57">
        <v>1</v>
      </c>
      <c r="G62" s="57">
        <v>1</v>
      </c>
      <c r="H62" s="57">
        <v>1</v>
      </c>
      <c r="I62" s="57">
        <v>1</v>
      </c>
      <c r="J62" s="57">
        <v>1</v>
      </c>
      <c r="K62" s="57">
        <v>1</v>
      </c>
      <c r="L62" s="57">
        <v>1</v>
      </c>
      <c r="M62" s="57">
        <v>1</v>
      </c>
      <c r="N62" s="57">
        <v>1</v>
      </c>
      <c r="O62" s="57">
        <v>1</v>
      </c>
      <c r="P62" s="57">
        <v>1</v>
      </c>
      <c r="Q62" s="57">
        <v>1</v>
      </c>
      <c r="R62" s="57">
        <v>1</v>
      </c>
      <c r="S62" s="57">
        <v>1</v>
      </c>
      <c r="T62" s="57">
        <v>1</v>
      </c>
      <c r="U62" s="57">
        <v>1</v>
      </c>
      <c r="V62" s="57">
        <v>1</v>
      </c>
      <c r="W62" s="67">
        <v>1</v>
      </c>
    </row>
    <row r="63" spans="1:23" x14ac:dyDescent="0.3">
      <c r="B63" s="53"/>
      <c r="D63" s="69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</row>
    <row r="64" spans="1:23" ht="15" thickBot="1" x14ac:dyDescent="0.35">
      <c r="B64" s="53"/>
      <c r="D64" s="69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</row>
    <row r="65" spans="1:23" x14ac:dyDescent="0.3">
      <c r="B65" s="53"/>
      <c r="D65" s="70" t="s">
        <v>53</v>
      </c>
      <c r="E65" s="71">
        <v>298.14999999999998</v>
      </c>
      <c r="F65" s="71">
        <f>300+100</f>
        <v>400</v>
      </c>
      <c r="G65" s="71">
        <f t="shared" ref="G65:W65" si="7">F65+100</f>
        <v>500</v>
      </c>
      <c r="H65" s="71">
        <f t="shared" si="7"/>
        <v>600</v>
      </c>
      <c r="I65" s="71">
        <f t="shared" si="7"/>
        <v>700</v>
      </c>
      <c r="J65" s="71">
        <f t="shared" si="7"/>
        <v>800</v>
      </c>
      <c r="K65" s="71">
        <f t="shared" si="7"/>
        <v>900</v>
      </c>
      <c r="L65" s="71">
        <f t="shared" si="7"/>
        <v>1000</v>
      </c>
      <c r="M65" s="71">
        <f t="shared" si="7"/>
        <v>1100</v>
      </c>
      <c r="N65" s="71">
        <f t="shared" si="7"/>
        <v>1200</v>
      </c>
      <c r="O65" s="71">
        <f t="shared" si="7"/>
        <v>1300</v>
      </c>
      <c r="P65" s="71">
        <f t="shared" si="7"/>
        <v>1400</v>
      </c>
      <c r="Q65" s="71">
        <f t="shared" si="7"/>
        <v>1500</v>
      </c>
      <c r="R65" s="71">
        <f t="shared" si="7"/>
        <v>1600</v>
      </c>
      <c r="S65" s="71">
        <f t="shared" si="7"/>
        <v>1700</v>
      </c>
      <c r="T65" s="71">
        <f t="shared" si="7"/>
        <v>1800</v>
      </c>
      <c r="U65" s="71">
        <f t="shared" si="7"/>
        <v>1900</v>
      </c>
      <c r="V65" s="71">
        <f t="shared" si="7"/>
        <v>2000</v>
      </c>
      <c r="W65" s="72">
        <f t="shared" si="7"/>
        <v>2100</v>
      </c>
    </row>
    <row r="66" spans="1:23" ht="15" thickBot="1" x14ac:dyDescent="0.35">
      <c r="B66" s="53"/>
      <c r="D66" s="68" t="s">
        <v>54</v>
      </c>
      <c r="E66" s="57">
        <f>PRODUCT(E54:E62)</f>
        <v>1</v>
      </c>
      <c r="F66" s="57">
        <f>PRODUCT(F54:F62)</f>
        <v>1</v>
      </c>
      <c r="G66" s="57">
        <f t="shared" ref="G66:W66" si="8">PRODUCT(G54:G62)</f>
        <v>1</v>
      </c>
      <c r="H66" s="57">
        <f t="shared" si="8"/>
        <v>1</v>
      </c>
      <c r="I66" s="57">
        <f t="shared" si="8"/>
        <v>1</v>
      </c>
      <c r="J66" s="57">
        <f t="shared" si="8"/>
        <v>1</v>
      </c>
      <c r="K66" s="57">
        <f t="shared" si="8"/>
        <v>1</v>
      </c>
      <c r="L66" s="57">
        <f t="shared" si="8"/>
        <v>1</v>
      </c>
      <c r="M66" s="57">
        <f t="shared" si="8"/>
        <v>1</v>
      </c>
      <c r="N66" s="57">
        <f t="shared" si="8"/>
        <v>1</v>
      </c>
      <c r="O66" s="57">
        <f t="shared" si="8"/>
        <v>1</v>
      </c>
      <c r="P66" s="57">
        <f t="shared" si="8"/>
        <v>1</v>
      </c>
      <c r="Q66" s="57">
        <f t="shared" si="8"/>
        <v>1</v>
      </c>
      <c r="R66" s="57">
        <f t="shared" si="8"/>
        <v>1</v>
      </c>
      <c r="S66" s="57">
        <f t="shared" si="8"/>
        <v>1</v>
      </c>
      <c r="T66" s="57">
        <f t="shared" si="8"/>
        <v>1</v>
      </c>
      <c r="U66" s="57">
        <f t="shared" si="8"/>
        <v>1</v>
      </c>
      <c r="V66" s="57">
        <f t="shared" si="8"/>
        <v>1</v>
      </c>
      <c r="W66" s="67">
        <f t="shared" si="8"/>
        <v>1</v>
      </c>
    </row>
    <row r="67" spans="1:23" x14ac:dyDescent="0.3">
      <c r="B67" s="53"/>
      <c r="D67" s="69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</row>
    <row r="68" spans="1:23" x14ac:dyDescent="0.3">
      <c r="B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</row>
    <row r="69" spans="1:23" x14ac:dyDescent="0.3">
      <c r="B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</row>
    <row r="70" spans="1:23" x14ac:dyDescent="0.3">
      <c r="B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</row>
    <row r="71" spans="1:23" ht="15" thickBot="1" x14ac:dyDescent="0.35"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</row>
    <row r="72" spans="1:23" x14ac:dyDescent="0.3">
      <c r="A72" s="17" t="s">
        <v>55</v>
      </c>
      <c r="B72" s="19">
        <f>COUNT(B53:B70)</f>
        <v>9</v>
      </c>
    </row>
    <row r="73" spans="1:23" ht="21" thickBot="1" x14ac:dyDescent="0.35">
      <c r="A73" s="73" t="s">
        <v>56</v>
      </c>
      <c r="B73" s="147">
        <f>PRODUCT(B53:B61)</f>
        <v>1</v>
      </c>
    </row>
    <row r="76" spans="1:23" ht="15" thickBot="1" x14ac:dyDescent="0.35"/>
    <row r="77" spans="1:23" x14ac:dyDescent="0.3">
      <c r="A77" s="16" t="s">
        <v>57</v>
      </c>
    </row>
    <row r="78" spans="1:23" x14ac:dyDescent="0.3">
      <c r="A78" s="75">
        <v>1</v>
      </c>
    </row>
    <row r="79" spans="1:23" x14ac:dyDescent="0.3">
      <c r="A79" s="76" t="s">
        <v>58</v>
      </c>
    </row>
    <row r="80" spans="1:23" ht="15" thickBot="1" x14ac:dyDescent="0.35">
      <c r="A80" s="77">
        <f>ABS(B73-A78)/B73</f>
        <v>0</v>
      </c>
    </row>
    <row r="81" spans="2:10" ht="15" thickBot="1" x14ac:dyDescent="0.35"/>
    <row r="82" spans="2:10" ht="18" x14ac:dyDescent="0.3">
      <c r="D82" s="11" t="s">
        <v>47</v>
      </c>
      <c r="E82" s="60" t="s">
        <v>59</v>
      </c>
      <c r="F82" s="52" t="s">
        <v>9</v>
      </c>
    </row>
    <row r="83" spans="2:10" ht="18.600000000000001" thickBot="1" x14ac:dyDescent="0.35">
      <c r="B83" s="78"/>
      <c r="D83" s="35">
        <f>298.15</f>
        <v>298.14999999999998</v>
      </c>
      <c r="E83" s="65">
        <f xml:space="preserve"> ( (2*$B$2*$E$2*$A$2*D83)/($C$2*$C$2) )^(1.5) * ($A$2*D83) /$F$83</f>
        <v>39745.204506497626</v>
      </c>
      <c r="F83" s="25">
        <v>101325</v>
      </c>
      <c r="H83" s="5" t="s">
        <v>60</v>
      </c>
    </row>
    <row r="84" spans="2:10" ht="15" thickBot="1" x14ac:dyDescent="0.35">
      <c r="D84" s="35">
        <f>300+100</f>
        <v>400</v>
      </c>
      <c r="E84" s="65">
        <f t="shared" ref="E84:E101" si="9" xml:space="preserve"> ( (2*$B$2*$E$2*$A$2*D84)/($C$2*$C$2) )^(1.5) * ($A$2*D84) /$F$83</f>
        <v>82860.524892792659</v>
      </c>
    </row>
    <row r="85" spans="2:10" ht="15" thickBot="1" x14ac:dyDescent="0.35">
      <c r="D85" s="35">
        <f t="shared" ref="D85:D101" si="10">D84+100</f>
        <v>500</v>
      </c>
      <c r="E85" s="65">
        <f t="shared" si="9"/>
        <v>144751.37993093667</v>
      </c>
      <c r="J85" s="16" t="s">
        <v>61</v>
      </c>
    </row>
    <row r="86" spans="2:10" x14ac:dyDescent="0.3">
      <c r="D86" s="35">
        <f t="shared" si="10"/>
        <v>600</v>
      </c>
      <c r="E86" s="65">
        <f t="shared" si="9"/>
        <v>228336.7565323434</v>
      </c>
      <c r="H86" s="79" t="s">
        <v>62</v>
      </c>
      <c r="I86" s="17" t="s">
        <v>63</v>
      </c>
      <c r="J86" s="148">
        <f xml:space="preserve"> ( (2*$B$2*$E$2*$A$2*298.15)/($C$2*$C$2) )^(1.5) * ($A$2*D83) /$F$83</f>
        <v>39745.204506497626</v>
      </c>
    </row>
    <row r="87" spans="2:10" ht="15" thickBot="1" x14ac:dyDescent="0.35">
      <c r="D87" s="35">
        <f t="shared" si="10"/>
        <v>700</v>
      </c>
      <c r="E87" s="65">
        <f t="shared" si="9"/>
        <v>335693.39925499359</v>
      </c>
      <c r="H87" s="63" t="s">
        <v>64</v>
      </c>
      <c r="I87" s="26" t="s">
        <v>63</v>
      </c>
      <c r="J87" s="149">
        <v>39767.9</v>
      </c>
    </row>
    <row r="88" spans="2:10" x14ac:dyDescent="0.3">
      <c r="D88" s="35">
        <f t="shared" si="10"/>
        <v>800</v>
      </c>
      <c r="E88" s="65">
        <f t="shared" si="9"/>
        <v>468729.9123549647</v>
      </c>
      <c r="J88" s="82" t="s">
        <v>58</v>
      </c>
    </row>
    <row r="89" spans="2:10" x14ac:dyDescent="0.3">
      <c r="D89" s="35">
        <f t="shared" si="10"/>
        <v>900</v>
      </c>
      <c r="E89" s="65">
        <f t="shared" si="9"/>
        <v>629222.11090465414</v>
      </c>
      <c r="J89" s="83">
        <f>(J86-J87)/J87</f>
        <v>-5.7069881744761547E-4</v>
      </c>
    </row>
    <row r="90" spans="2:10" x14ac:dyDescent="0.3">
      <c r="D90" s="35">
        <f t="shared" si="10"/>
        <v>1000</v>
      </c>
      <c r="E90" s="65">
        <f t="shared" si="9"/>
        <v>818837.45868220751</v>
      </c>
    </row>
    <row r="91" spans="2:10" x14ac:dyDescent="0.3">
      <c r="D91" s="35">
        <f t="shared" si="10"/>
        <v>1100</v>
      </c>
      <c r="E91" s="65">
        <f t="shared" si="9"/>
        <v>1039152.8059736693</v>
      </c>
    </row>
    <row r="92" spans="2:10" x14ac:dyDescent="0.3">
      <c r="D92" s="35">
        <f t="shared" si="10"/>
        <v>1200</v>
      </c>
      <c r="E92" s="65">
        <f t="shared" si="9"/>
        <v>1291667.7515052971</v>
      </c>
    </row>
    <row r="93" spans="2:10" x14ac:dyDescent="0.3">
      <c r="D93" s="35">
        <f t="shared" si="10"/>
        <v>1300</v>
      </c>
      <c r="E93" s="65">
        <f t="shared" si="9"/>
        <v>1577815.0073427462</v>
      </c>
    </row>
    <row r="94" spans="2:10" x14ac:dyDescent="0.3">
      <c r="D94" s="35">
        <f t="shared" si="10"/>
        <v>1400</v>
      </c>
      <c r="E94" s="65">
        <f t="shared" si="9"/>
        <v>1898968.6321021579</v>
      </c>
    </row>
    <row r="95" spans="2:10" x14ac:dyDescent="0.3">
      <c r="D95" s="35">
        <f t="shared" si="10"/>
        <v>1500</v>
      </c>
      <c r="E95" s="65">
        <f t="shared" si="9"/>
        <v>2256450.7005548179</v>
      </c>
    </row>
    <row r="96" spans="2:10" x14ac:dyDescent="0.3">
      <c r="D96" s="35">
        <f t="shared" si="10"/>
        <v>1600</v>
      </c>
      <c r="E96" s="65">
        <f t="shared" si="9"/>
        <v>2651536.7965693804</v>
      </c>
    </row>
    <row r="97" spans="1:10" x14ac:dyDescent="0.3">
      <c r="D97" s="35">
        <f t="shared" si="10"/>
        <v>1700</v>
      </c>
      <c r="E97" s="65">
        <f t="shared" si="9"/>
        <v>3085460.6012042118</v>
      </c>
    </row>
    <row r="98" spans="1:10" x14ac:dyDescent="0.3">
      <c r="D98" s="35">
        <f t="shared" si="10"/>
        <v>1800</v>
      </c>
      <c r="E98" s="65">
        <f t="shared" si="9"/>
        <v>3559417.7719455184</v>
      </c>
    </row>
    <row r="99" spans="1:10" x14ac:dyDescent="0.3">
      <c r="D99" s="35">
        <f t="shared" si="10"/>
        <v>1900</v>
      </c>
      <c r="E99" s="65">
        <f t="shared" si="9"/>
        <v>4074569.2576352647</v>
      </c>
    </row>
    <row r="100" spans="1:10" x14ac:dyDescent="0.3">
      <c r="D100" s="35">
        <f t="shared" si="10"/>
        <v>2000</v>
      </c>
      <c r="E100" s="65">
        <f t="shared" si="9"/>
        <v>4632044.1577899996</v>
      </c>
    </row>
    <row r="101" spans="1:10" ht="15" thickBot="1" x14ac:dyDescent="0.35">
      <c r="D101" s="26">
        <f t="shared" si="10"/>
        <v>2100</v>
      </c>
      <c r="E101" s="67">
        <f t="shared" si="9"/>
        <v>5232942.2094763611</v>
      </c>
    </row>
    <row r="104" spans="1:10" ht="15" thickBot="1" x14ac:dyDescent="0.35"/>
    <row r="105" spans="1:10" ht="18" x14ac:dyDescent="0.3">
      <c r="D105" s="11" t="s">
        <v>47</v>
      </c>
      <c r="E105" s="60" t="s">
        <v>65</v>
      </c>
    </row>
    <row r="106" spans="1:10" x14ac:dyDescent="0.3">
      <c r="D106" s="35">
        <f>298.15</f>
        <v>298.14999999999998</v>
      </c>
      <c r="E106" s="65">
        <v>1</v>
      </c>
    </row>
    <row r="107" spans="1:10" x14ac:dyDescent="0.3">
      <c r="D107" s="35">
        <f>300+100</f>
        <v>400</v>
      </c>
      <c r="E107" s="65">
        <v>1</v>
      </c>
    </row>
    <row r="108" spans="1:10" x14ac:dyDescent="0.3">
      <c r="D108" s="35">
        <f t="shared" ref="D108:D124" si="11">D107+100</f>
        <v>500</v>
      </c>
      <c r="E108" s="65">
        <v>1</v>
      </c>
      <c r="H108" s="5" t="s">
        <v>60</v>
      </c>
    </row>
    <row r="109" spans="1:10" ht="15" thickBot="1" x14ac:dyDescent="0.35">
      <c r="D109" s="35">
        <f t="shared" si="11"/>
        <v>600</v>
      </c>
      <c r="E109" s="65">
        <v>1</v>
      </c>
    </row>
    <row r="110" spans="1:10" ht="18.600000000000001" thickBot="1" x14ac:dyDescent="0.35">
      <c r="A110" s="84"/>
      <c r="B110" s="78"/>
      <c r="D110" s="35">
        <f t="shared" si="11"/>
        <v>700</v>
      </c>
      <c r="E110" s="65">
        <v>1</v>
      </c>
      <c r="J110" s="16" t="s">
        <v>61</v>
      </c>
    </row>
    <row r="111" spans="1:10" x14ac:dyDescent="0.3">
      <c r="D111" s="35">
        <f t="shared" si="11"/>
        <v>800</v>
      </c>
      <c r="E111" s="65">
        <v>1</v>
      </c>
      <c r="H111" s="79" t="s">
        <v>62</v>
      </c>
      <c r="I111" s="17" t="s">
        <v>66</v>
      </c>
      <c r="J111" s="80">
        <f>E106</f>
        <v>1</v>
      </c>
    </row>
    <row r="112" spans="1:10" ht="15" thickBot="1" x14ac:dyDescent="0.35">
      <c r="D112" s="35">
        <f t="shared" si="11"/>
        <v>900</v>
      </c>
      <c r="E112" s="65">
        <v>1</v>
      </c>
      <c r="H112" s="63" t="s">
        <v>64</v>
      </c>
      <c r="I112" s="26" t="s">
        <v>66</v>
      </c>
      <c r="J112" s="81">
        <v>1</v>
      </c>
    </row>
    <row r="113" spans="4:10" x14ac:dyDescent="0.3">
      <c r="D113" s="35">
        <f t="shared" si="11"/>
        <v>1000</v>
      </c>
      <c r="E113" s="65">
        <v>1</v>
      </c>
      <c r="J113" s="82" t="s">
        <v>58</v>
      </c>
    </row>
    <row r="114" spans="4:10" x14ac:dyDescent="0.3">
      <c r="D114" s="35">
        <f t="shared" si="11"/>
        <v>1100</v>
      </c>
      <c r="E114" s="65">
        <v>1</v>
      </c>
      <c r="J114" s="83">
        <f>(J111-J112)/J112</f>
        <v>0</v>
      </c>
    </row>
    <row r="115" spans="4:10" x14ac:dyDescent="0.3">
      <c r="D115" s="35">
        <f t="shared" si="11"/>
        <v>1200</v>
      </c>
      <c r="E115" s="65">
        <v>1</v>
      </c>
    </row>
    <row r="116" spans="4:10" x14ac:dyDescent="0.3">
      <c r="D116" s="35">
        <f t="shared" si="11"/>
        <v>1300</v>
      </c>
      <c r="E116" s="65">
        <v>1</v>
      </c>
      <c r="H116" s="86"/>
    </row>
    <row r="117" spans="4:10" x14ac:dyDescent="0.3">
      <c r="D117" s="35">
        <f t="shared" si="11"/>
        <v>1400</v>
      </c>
      <c r="E117" s="65">
        <v>1</v>
      </c>
    </row>
    <row r="118" spans="4:10" x14ac:dyDescent="0.3">
      <c r="D118" s="35">
        <f t="shared" si="11"/>
        <v>1500</v>
      </c>
      <c r="E118" s="65">
        <v>1</v>
      </c>
    </row>
    <row r="119" spans="4:10" x14ac:dyDescent="0.3">
      <c r="D119" s="35">
        <f t="shared" si="11"/>
        <v>1600</v>
      </c>
      <c r="E119" s="65">
        <v>1</v>
      </c>
    </row>
    <row r="120" spans="4:10" x14ac:dyDescent="0.3">
      <c r="D120" s="35">
        <f t="shared" si="11"/>
        <v>1700</v>
      </c>
      <c r="E120" s="65">
        <v>1</v>
      </c>
    </row>
    <row r="121" spans="4:10" x14ac:dyDescent="0.3">
      <c r="D121" s="35">
        <f t="shared" si="11"/>
        <v>1800</v>
      </c>
      <c r="E121" s="65">
        <v>1</v>
      </c>
    </row>
    <row r="122" spans="4:10" x14ac:dyDescent="0.3">
      <c r="D122" s="35">
        <f t="shared" si="11"/>
        <v>1900</v>
      </c>
      <c r="E122" s="65">
        <v>1</v>
      </c>
    </row>
    <row r="123" spans="4:10" x14ac:dyDescent="0.3">
      <c r="D123" s="35">
        <f t="shared" si="11"/>
        <v>2000</v>
      </c>
      <c r="E123" s="65">
        <v>1</v>
      </c>
    </row>
    <row r="124" spans="4:10" ht="15" thickBot="1" x14ac:dyDescent="0.35">
      <c r="D124" s="26">
        <f t="shared" si="11"/>
        <v>2100</v>
      </c>
      <c r="E124" s="67">
        <v>1</v>
      </c>
    </row>
    <row r="126" spans="4:10" ht="15" thickBot="1" x14ac:dyDescent="0.35"/>
    <row r="127" spans="4:10" ht="18" x14ac:dyDescent="0.3">
      <c r="D127" s="11" t="s">
        <v>47</v>
      </c>
      <c r="E127" s="13" t="s">
        <v>67</v>
      </c>
      <c r="F127" s="52" t="s">
        <v>68</v>
      </c>
    </row>
    <row r="128" spans="4:10" ht="15.6" x14ac:dyDescent="0.3">
      <c r="D128" s="35">
        <f>298.15</f>
        <v>298.14999999999998</v>
      </c>
      <c r="E128" s="87">
        <f>$B$135*EXP($B$134/($A$2*D128) )</f>
        <v>1.630928949633292E-230</v>
      </c>
      <c r="F128" s="150">
        <f>$B$135</f>
        <v>2</v>
      </c>
      <c r="G128" s="5" t="s">
        <v>69</v>
      </c>
      <c r="H128" s="88">
        <f>$B$135*EXP($B$134/($A$2*298.15) )</f>
        <v>1.630928949633292E-230</v>
      </c>
    </row>
    <row r="129" spans="1:10" ht="15.6" x14ac:dyDescent="0.2">
      <c r="A129" s="89"/>
      <c r="D129" s="35">
        <f>300+100</f>
        <v>400</v>
      </c>
      <c r="E129" s="87">
        <f t="shared" ref="E129:E146" si="12">$B$135*EXP($B$134/($A$2*D129) )</f>
        <v>6.291345441824129E-172</v>
      </c>
      <c r="F129" s="150">
        <f t="shared" ref="F129:F146" si="13">$B$135</f>
        <v>2</v>
      </c>
    </row>
    <row r="130" spans="1:10" ht="16.2" thickBot="1" x14ac:dyDescent="0.35">
      <c r="D130" s="35">
        <f t="shared" ref="D130:D146" si="14">D129+100</f>
        <v>500</v>
      </c>
      <c r="E130" s="87">
        <f t="shared" si="12"/>
        <v>1.2566109060490926E-137</v>
      </c>
      <c r="F130" s="150">
        <f t="shared" si="13"/>
        <v>2</v>
      </c>
    </row>
    <row r="131" spans="1:10" ht="15.6" x14ac:dyDescent="0.3">
      <c r="A131" s="90" t="s">
        <v>70</v>
      </c>
      <c r="B131" s="91">
        <v>-0.50027278419099996</v>
      </c>
      <c r="D131" s="35">
        <f t="shared" si="14"/>
        <v>600</v>
      </c>
      <c r="E131" s="87">
        <f t="shared" si="12"/>
        <v>9.2506522037997393E-115</v>
      </c>
      <c r="F131" s="150">
        <f t="shared" si="13"/>
        <v>2</v>
      </c>
      <c r="H131" s="17"/>
      <c r="I131" s="18" t="s">
        <v>171</v>
      </c>
      <c r="J131" s="19" t="s">
        <v>131</v>
      </c>
    </row>
    <row r="132" spans="1:10" ht="18.600000000000001" thickBot="1" x14ac:dyDescent="0.35">
      <c r="A132" s="90" t="s">
        <v>71</v>
      </c>
      <c r="B132" s="92">
        <f>B131/(229400000000000000)</f>
        <v>-2.1807880740671315E-18</v>
      </c>
      <c r="D132" s="35">
        <f t="shared" si="14"/>
        <v>700</v>
      </c>
      <c r="E132" s="87">
        <f t="shared" si="12"/>
        <v>1.9939921530990367E-98</v>
      </c>
      <c r="F132" s="150">
        <f t="shared" si="13"/>
        <v>2</v>
      </c>
      <c r="H132" s="196" t="s">
        <v>172</v>
      </c>
      <c r="I132" s="197">
        <f>$I$5+$B$131</f>
        <v>-0.50027278419099996</v>
      </c>
      <c r="J132" s="28">
        <f>$I$132*627.503</f>
        <v>-313.92267289820506</v>
      </c>
    </row>
    <row r="133" spans="1:10" ht="15.6" x14ac:dyDescent="0.3">
      <c r="A133" s="90" t="s">
        <v>72</v>
      </c>
      <c r="B133" s="90">
        <v>0</v>
      </c>
      <c r="D133" s="35">
        <f t="shared" si="14"/>
        <v>800</v>
      </c>
      <c r="E133" s="87">
        <f t="shared" si="12"/>
        <v>3.5472088863849361E-86</v>
      </c>
      <c r="F133" s="150">
        <f t="shared" si="13"/>
        <v>2</v>
      </c>
    </row>
    <row r="134" spans="1:10" ht="18" x14ac:dyDescent="0.3">
      <c r="A134" s="90" t="s">
        <v>73</v>
      </c>
      <c r="B134" s="92">
        <f>B132+B133</f>
        <v>-2.1807880740671315E-18</v>
      </c>
      <c r="D134" s="35">
        <f t="shared" si="14"/>
        <v>900</v>
      </c>
      <c r="E134" s="87">
        <f t="shared" si="12"/>
        <v>1.1961663126123631E-76</v>
      </c>
      <c r="F134" s="150">
        <f t="shared" si="13"/>
        <v>2</v>
      </c>
    </row>
    <row r="135" spans="1:10" ht="18" x14ac:dyDescent="0.3">
      <c r="A135" s="90" t="s">
        <v>74</v>
      </c>
      <c r="B135" s="90">
        <v>2</v>
      </c>
      <c r="D135" s="35">
        <f t="shared" si="14"/>
        <v>1000</v>
      </c>
      <c r="E135" s="87">
        <f t="shared" si="12"/>
        <v>5.0132043765421987E-69</v>
      </c>
      <c r="F135" s="150">
        <f t="shared" si="13"/>
        <v>2</v>
      </c>
    </row>
    <row r="136" spans="1:10" ht="15.6" x14ac:dyDescent="0.3">
      <c r="A136" s="5" t="s">
        <v>75</v>
      </c>
      <c r="B136" s="53">
        <f>A2*D128</f>
        <v>4.1162588999999997E-21</v>
      </c>
      <c r="D136" s="35">
        <f t="shared" si="14"/>
        <v>1100</v>
      </c>
      <c r="E136" s="87">
        <f t="shared" si="12"/>
        <v>8.6409638977226669E-63</v>
      </c>
      <c r="F136" s="150">
        <f t="shared" si="13"/>
        <v>2</v>
      </c>
    </row>
    <row r="137" spans="1:10" ht="15.6" x14ac:dyDescent="0.3">
      <c r="D137" s="35">
        <f t="shared" si="14"/>
        <v>1200</v>
      </c>
      <c r="E137" s="87">
        <f t="shared" si="12"/>
        <v>1.3601950010053513E-57</v>
      </c>
      <c r="F137" s="150">
        <f t="shared" si="13"/>
        <v>2</v>
      </c>
    </row>
    <row r="138" spans="1:10" ht="15.6" x14ac:dyDescent="0.3">
      <c r="D138" s="35">
        <f t="shared" si="14"/>
        <v>1300</v>
      </c>
      <c r="E138" s="87">
        <f t="shared" si="12"/>
        <v>3.3970011907667372E-53</v>
      </c>
      <c r="F138" s="150">
        <f t="shared" si="13"/>
        <v>2</v>
      </c>
    </row>
    <row r="139" spans="1:10" ht="15.6" x14ac:dyDescent="0.3">
      <c r="D139" s="35">
        <f t="shared" si="14"/>
        <v>1400</v>
      </c>
      <c r="E139" s="87">
        <f t="shared" si="12"/>
        <v>1.9969938172658604E-49</v>
      </c>
      <c r="F139" s="150">
        <f t="shared" si="13"/>
        <v>2</v>
      </c>
    </row>
    <row r="140" spans="1:10" ht="15.6" x14ac:dyDescent="0.3">
      <c r="D140" s="35">
        <f t="shared" si="14"/>
        <v>1500</v>
      </c>
      <c r="E140" s="87">
        <f t="shared" si="12"/>
        <v>3.6905146923933724E-46</v>
      </c>
      <c r="F140" s="150">
        <f t="shared" si="13"/>
        <v>2</v>
      </c>
    </row>
    <row r="141" spans="1:10" ht="15.6" x14ac:dyDescent="0.3">
      <c r="D141" s="35">
        <f t="shared" si="14"/>
        <v>1600</v>
      </c>
      <c r="E141" s="87">
        <f t="shared" si="12"/>
        <v>2.6635348266485783E-43</v>
      </c>
      <c r="F141" s="150">
        <f t="shared" si="13"/>
        <v>2</v>
      </c>
    </row>
    <row r="142" spans="1:10" ht="15.6" x14ac:dyDescent="0.3">
      <c r="D142" s="35">
        <f t="shared" si="14"/>
        <v>1700</v>
      </c>
      <c r="E142" s="87">
        <f t="shared" si="12"/>
        <v>8.8623893867190417E-41</v>
      </c>
      <c r="F142" s="150">
        <f t="shared" si="13"/>
        <v>2</v>
      </c>
    </row>
    <row r="143" spans="1:10" ht="15.6" x14ac:dyDescent="0.3">
      <c r="D143" s="35">
        <f t="shared" si="14"/>
        <v>1800</v>
      </c>
      <c r="E143" s="87">
        <f t="shared" si="12"/>
        <v>1.5467167242985143E-38</v>
      </c>
      <c r="F143" s="150">
        <f t="shared" si="13"/>
        <v>2</v>
      </c>
    </row>
    <row r="144" spans="1:10" ht="15.6" x14ac:dyDescent="0.3">
      <c r="D144" s="35">
        <f t="shared" si="14"/>
        <v>1900</v>
      </c>
      <c r="E144" s="87">
        <f t="shared" si="12"/>
        <v>1.56778128899492E-36</v>
      </c>
      <c r="F144" s="150">
        <f t="shared" si="13"/>
        <v>2</v>
      </c>
    </row>
    <row r="145" spans="4:13" ht="15.6" x14ac:dyDescent="0.3">
      <c r="D145" s="35">
        <f t="shared" si="14"/>
        <v>2000</v>
      </c>
      <c r="E145" s="87">
        <f t="shared" si="12"/>
        <v>1.0013195670256523E-34</v>
      </c>
      <c r="F145" s="150">
        <f t="shared" si="13"/>
        <v>2</v>
      </c>
    </row>
    <row r="146" spans="4:13" ht="16.2" thickBot="1" x14ac:dyDescent="0.35">
      <c r="D146" s="26">
        <f t="shared" si="14"/>
        <v>2100</v>
      </c>
      <c r="E146" s="93">
        <f t="shared" si="12"/>
        <v>4.3045505481005367E-33</v>
      </c>
      <c r="F146" s="151">
        <f t="shared" si="13"/>
        <v>2</v>
      </c>
    </row>
    <row r="151" spans="4:13" ht="15" thickBot="1" x14ac:dyDescent="0.35">
      <c r="H151" s="5" t="s">
        <v>76</v>
      </c>
    </row>
    <row r="152" spans="4:13" ht="20.399999999999999" x14ac:dyDescent="0.3">
      <c r="D152" s="94" t="s">
        <v>47</v>
      </c>
      <c r="E152" s="95" t="s">
        <v>77</v>
      </c>
      <c r="F152" s="96" t="s">
        <v>78</v>
      </c>
      <c r="G152" s="96" t="s">
        <v>79</v>
      </c>
      <c r="H152" s="96" t="s">
        <v>80</v>
      </c>
      <c r="I152" s="97" t="s">
        <v>81</v>
      </c>
    </row>
    <row r="153" spans="4:13" ht="15.6" x14ac:dyDescent="0.3">
      <c r="D153" s="35">
        <f>298.15</f>
        <v>298.14999999999998</v>
      </c>
      <c r="E153" s="98">
        <v>1</v>
      </c>
      <c r="F153" s="92">
        <v>2</v>
      </c>
      <c r="G153" s="53">
        <f xml:space="preserve"> ( (2*$B$2*$E$2*$A$2*D153)/($C$2*$C$2) )^(1.5) * ($A$2*D153) /$F$83</f>
        <v>39745.204506497626</v>
      </c>
      <c r="H153" s="53">
        <f>PRODUCT(E54:E62)</f>
        <v>1</v>
      </c>
      <c r="I153" s="152">
        <f>PRODUCT(E153:H153)</f>
        <v>79490.409012995253</v>
      </c>
      <c r="J153" s="63"/>
      <c r="K153" s="86"/>
      <c r="M153" s="53"/>
    </row>
    <row r="154" spans="4:13" ht="15.6" x14ac:dyDescent="0.3">
      <c r="D154" s="35">
        <f>300+100</f>
        <v>400</v>
      </c>
      <c r="E154" s="98">
        <v>1</v>
      </c>
      <c r="F154" s="92">
        <v>2</v>
      </c>
      <c r="G154" s="53">
        <f t="shared" ref="G154:G171" si="15" xml:space="preserve"> ( (2*$B$2*$E$2*$A$2*D154)/($C$2*$C$2) )^(1.5) * ($A$2*D154) /$F$83</f>
        <v>82860.524892792659</v>
      </c>
      <c r="H154" s="53">
        <f>PRODUCT(F54:F62)</f>
        <v>1</v>
      </c>
      <c r="I154" s="65">
        <f>PRODUCT(E154:H154)</f>
        <v>165721.04978558532</v>
      </c>
      <c r="M154" s="100"/>
    </row>
    <row r="155" spans="4:13" ht="15.6" x14ac:dyDescent="0.3">
      <c r="D155" s="35">
        <f t="shared" ref="D155:D171" si="16">D154+100</f>
        <v>500</v>
      </c>
      <c r="E155" s="98">
        <v>1</v>
      </c>
      <c r="F155" s="92">
        <v>2</v>
      </c>
      <c r="G155" s="53">
        <f t="shared" si="15"/>
        <v>144751.37993093667</v>
      </c>
      <c r="H155" s="53">
        <f>PRODUCT(G54:G62)</f>
        <v>1</v>
      </c>
      <c r="I155" s="65">
        <f>PRODUCT(E155:H155)</f>
        <v>289502.75986187335</v>
      </c>
      <c r="J155" s="5" t="s">
        <v>82</v>
      </c>
    </row>
    <row r="156" spans="4:13" ht="16.2" thickBot="1" x14ac:dyDescent="0.35">
      <c r="D156" s="35">
        <f t="shared" si="16"/>
        <v>600</v>
      </c>
      <c r="E156" s="98">
        <v>1</v>
      </c>
      <c r="F156" s="92">
        <v>2</v>
      </c>
      <c r="G156" s="53">
        <f t="shared" si="15"/>
        <v>228336.7565323434</v>
      </c>
      <c r="H156" s="53">
        <f>PRODUCT(H54:H62)</f>
        <v>1</v>
      </c>
      <c r="I156" s="65">
        <f t="shared" ref="I156:I171" si="17">PRODUCT(E156:H156)</f>
        <v>456673.51306468679</v>
      </c>
    </row>
    <row r="157" spans="4:13" ht="16.2" thickBot="1" x14ac:dyDescent="0.35">
      <c r="D157" s="35">
        <f t="shared" si="16"/>
        <v>700</v>
      </c>
      <c r="E157" s="98">
        <v>1</v>
      </c>
      <c r="F157" s="92">
        <v>2</v>
      </c>
      <c r="G157" s="53">
        <f t="shared" si="15"/>
        <v>335693.39925499359</v>
      </c>
      <c r="H157" s="53">
        <f>PRODUCT(I54:I62)</f>
        <v>1</v>
      </c>
      <c r="I157" s="65">
        <f t="shared" si="17"/>
        <v>671386.79850998719</v>
      </c>
      <c r="L157" s="16" t="s">
        <v>61</v>
      </c>
    </row>
    <row r="158" spans="4:13" ht="15.6" x14ac:dyDescent="0.3">
      <c r="D158" s="35">
        <f t="shared" si="16"/>
        <v>800</v>
      </c>
      <c r="E158" s="98">
        <v>1</v>
      </c>
      <c r="F158" s="92">
        <v>2</v>
      </c>
      <c r="G158" s="53">
        <f t="shared" si="15"/>
        <v>468729.9123549647</v>
      </c>
      <c r="H158" s="53">
        <f>PRODUCT(J54:J62)</f>
        <v>1</v>
      </c>
      <c r="I158" s="65">
        <f t="shared" si="17"/>
        <v>937459.82470992941</v>
      </c>
      <c r="J158" s="79" t="s">
        <v>62</v>
      </c>
      <c r="K158" s="17" t="s">
        <v>83</v>
      </c>
      <c r="L158" s="80">
        <f>I153</f>
        <v>79490.409012995253</v>
      </c>
    </row>
    <row r="159" spans="4:13" ht="16.2" thickBot="1" x14ac:dyDescent="0.35">
      <c r="D159" s="35">
        <f t="shared" si="16"/>
        <v>900</v>
      </c>
      <c r="E159" s="98">
        <v>1</v>
      </c>
      <c r="F159" s="92">
        <v>2</v>
      </c>
      <c r="G159" s="53">
        <f t="shared" si="15"/>
        <v>629222.11090465414</v>
      </c>
      <c r="H159" s="53">
        <f>PRODUCT(K54:K62)</f>
        <v>1</v>
      </c>
      <c r="I159" s="65">
        <f t="shared" si="17"/>
        <v>1258444.2218093083</v>
      </c>
      <c r="J159" s="63" t="s">
        <v>64</v>
      </c>
      <c r="K159" s="26" t="s">
        <v>83</v>
      </c>
      <c r="L159" s="81">
        <v>79535.8</v>
      </c>
    </row>
    <row r="160" spans="4:13" ht="15.6" x14ac:dyDescent="0.3">
      <c r="D160" s="35">
        <f t="shared" si="16"/>
        <v>1000</v>
      </c>
      <c r="E160" s="98">
        <v>1</v>
      </c>
      <c r="F160" s="92">
        <v>2</v>
      </c>
      <c r="G160" s="53">
        <f t="shared" si="15"/>
        <v>818837.45868220751</v>
      </c>
      <c r="H160" s="53">
        <f>PRODUCT(L54:L62)</f>
        <v>1</v>
      </c>
      <c r="I160" s="65">
        <f t="shared" si="17"/>
        <v>1637674.917364415</v>
      </c>
      <c r="L160" s="82" t="s">
        <v>58</v>
      </c>
    </row>
    <row r="161" spans="1:12" ht="15.6" x14ac:dyDescent="0.3">
      <c r="D161" s="35">
        <f t="shared" si="16"/>
        <v>1100</v>
      </c>
      <c r="E161" s="98">
        <v>1</v>
      </c>
      <c r="F161" s="92">
        <v>2</v>
      </c>
      <c r="G161" s="53">
        <f t="shared" si="15"/>
        <v>1039152.8059736693</v>
      </c>
      <c r="H161" s="53">
        <f>PRODUCT(M54:M62)</f>
        <v>1</v>
      </c>
      <c r="I161" s="65">
        <f t="shared" si="17"/>
        <v>2078305.6119473386</v>
      </c>
      <c r="L161" s="101">
        <f>ABS(L158-L159)/L159</f>
        <v>5.7069881744761547E-4</v>
      </c>
    </row>
    <row r="162" spans="1:12" ht="15.6" x14ac:dyDescent="0.3">
      <c r="D162" s="35">
        <f t="shared" si="16"/>
        <v>1200</v>
      </c>
      <c r="E162" s="98">
        <v>1</v>
      </c>
      <c r="F162" s="92">
        <v>2</v>
      </c>
      <c r="G162" s="53">
        <f t="shared" si="15"/>
        <v>1291667.7515052971</v>
      </c>
      <c r="H162" s="53">
        <f>PRODUCT(N54:N62)</f>
        <v>1</v>
      </c>
      <c r="I162" s="65">
        <f t="shared" si="17"/>
        <v>2583335.5030105943</v>
      </c>
      <c r="J162" s="5" t="s">
        <v>84</v>
      </c>
    </row>
    <row r="163" spans="1:12" ht="15.6" x14ac:dyDescent="0.3">
      <c r="D163" s="35">
        <f t="shared" si="16"/>
        <v>1300</v>
      </c>
      <c r="E163" s="98">
        <v>1</v>
      </c>
      <c r="F163" s="92">
        <v>2</v>
      </c>
      <c r="G163" s="53">
        <f t="shared" si="15"/>
        <v>1577815.0073427462</v>
      </c>
      <c r="H163" s="53">
        <f>PRODUCT(O54:O62)</f>
        <v>1</v>
      </c>
      <c r="I163" s="65">
        <f t="shared" si="17"/>
        <v>3155630.0146854925</v>
      </c>
      <c r="J163" s="86">
        <f>L158/L159</f>
        <v>0.99942930118255235</v>
      </c>
    </row>
    <row r="164" spans="1:12" ht="15.6" x14ac:dyDescent="0.3">
      <c r="D164" s="35">
        <f t="shared" si="16"/>
        <v>1400</v>
      </c>
      <c r="E164" s="98">
        <v>1</v>
      </c>
      <c r="F164" s="92">
        <v>2</v>
      </c>
      <c r="G164" s="53">
        <f t="shared" si="15"/>
        <v>1898968.6321021579</v>
      </c>
      <c r="H164" s="53">
        <f>PRODUCT(P54:P62)</f>
        <v>1</v>
      </c>
      <c r="I164" s="65">
        <f t="shared" si="17"/>
        <v>3797937.2642043158</v>
      </c>
    </row>
    <row r="165" spans="1:12" ht="15.6" x14ac:dyDescent="0.3">
      <c r="D165" s="35">
        <f t="shared" si="16"/>
        <v>1500</v>
      </c>
      <c r="E165" s="98">
        <v>1</v>
      </c>
      <c r="F165" s="92">
        <v>2</v>
      </c>
      <c r="G165" s="53">
        <f t="shared" si="15"/>
        <v>2256450.7005548179</v>
      </c>
      <c r="H165" s="53">
        <f>PRODUCT(Q54:Q62)</f>
        <v>1</v>
      </c>
      <c r="I165" s="65">
        <f t="shared" si="17"/>
        <v>4512901.4011096358</v>
      </c>
    </row>
    <row r="166" spans="1:12" ht="15.6" x14ac:dyDescent="0.3">
      <c r="D166" s="35">
        <f t="shared" si="16"/>
        <v>1600</v>
      </c>
      <c r="E166" s="98">
        <v>1</v>
      </c>
      <c r="F166" s="92">
        <v>2</v>
      </c>
      <c r="G166" s="53">
        <f t="shared" si="15"/>
        <v>2651536.7965693804</v>
      </c>
      <c r="H166" s="53">
        <f>PRODUCT(R54:R62)</f>
        <v>1</v>
      </c>
      <c r="I166" s="65">
        <f t="shared" si="17"/>
        <v>5303073.5931387609</v>
      </c>
    </row>
    <row r="167" spans="1:12" ht="15.6" x14ac:dyDescent="0.3">
      <c r="D167" s="35">
        <f t="shared" si="16"/>
        <v>1700</v>
      </c>
      <c r="E167" s="98">
        <v>1</v>
      </c>
      <c r="F167" s="92">
        <v>2</v>
      </c>
      <c r="G167" s="53">
        <f t="shared" si="15"/>
        <v>3085460.6012042118</v>
      </c>
      <c r="H167" s="53">
        <f>PRODUCT(S54:S62)</f>
        <v>1</v>
      </c>
      <c r="I167" s="65">
        <f t="shared" si="17"/>
        <v>6170921.2024084236</v>
      </c>
    </row>
    <row r="168" spans="1:12" ht="15.6" x14ac:dyDescent="0.3">
      <c r="D168" s="35">
        <f t="shared" si="16"/>
        <v>1800</v>
      </c>
      <c r="E168" s="98">
        <v>1</v>
      </c>
      <c r="F168" s="92">
        <v>2</v>
      </c>
      <c r="G168" s="53">
        <f t="shared" si="15"/>
        <v>3559417.7719455184</v>
      </c>
      <c r="H168" s="53">
        <f>PRODUCT(T54:T62)</f>
        <v>1</v>
      </c>
      <c r="I168" s="65">
        <f t="shared" si="17"/>
        <v>7118835.5438910369</v>
      </c>
    </row>
    <row r="169" spans="1:12" ht="15.6" x14ac:dyDescent="0.3">
      <c r="D169" s="35">
        <f t="shared" si="16"/>
        <v>1900</v>
      </c>
      <c r="E169" s="98">
        <v>1</v>
      </c>
      <c r="F169" s="92">
        <v>2</v>
      </c>
      <c r="G169" s="53">
        <f t="shared" si="15"/>
        <v>4074569.2576352647</v>
      </c>
      <c r="H169" s="53">
        <f>PRODUCT(U54:U62)</f>
        <v>1</v>
      </c>
      <c r="I169" s="65">
        <f>PRODUCT(E169:H169)</f>
        <v>8149138.5152705293</v>
      </c>
    </row>
    <row r="170" spans="1:12" ht="15.6" x14ac:dyDescent="0.3">
      <c r="D170" s="35">
        <f t="shared" si="16"/>
        <v>2000</v>
      </c>
      <c r="E170" s="98">
        <v>1</v>
      </c>
      <c r="F170" s="92">
        <v>2</v>
      </c>
      <c r="G170" s="53">
        <f t="shared" si="15"/>
        <v>4632044.1577899996</v>
      </c>
      <c r="H170" s="53">
        <f>PRODUCT(V54:V62)</f>
        <v>1</v>
      </c>
      <c r="I170" s="65">
        <f t="shared" si="17"/>
        <v>9264088.3155799992</v>
      </c>
    </row>
    <row r="171" spans="1:12" ht="16.2" thickBot="1" x14ac:dyDescent="0.35">
      <c r="D171" s="26">
        <f t="shared" si="16"/>
        <v>2100</v>
      </c>
      <c r="E171" s="102">
        <v>1</v>
      </c>
      <c r="F171" s="103">
        <v>2</v>
      </c>
      <c r="G171" s="57">
        <f t="shared" si="15"/>
        <v>5232942.2094763611</v>
      </c>
      <c r="H171" s="57">
        <f>PRODUCT(W54:W62)</f>
        <v>1</v>
      </c>
      <c r="I171" s="67">
        <f t="shared" si="17"/>
        <v>10465884.418952722</v>
      </c>
    </row>
    <row r="174" spans="1:12" ht="15" thickBot="1" x14ac:dyDescent="0.35">
      <c r="A174" s="5" t="s">
        <v>85</v>
      </c>
      <c r="B174" s="208" t="s">
        <v>86</v>
      </c>
      <c r="C174" s="208"/>
      <c r="D174" s="208"/>
      <c r="E174" s="208"/>
      <c r="F174" s="208"/>
      <c r="G174" s="104"/>
      <c r="H174" s="208" t="s">
        <v>87</v>
      </c>
      <c r="I174" s="208"/>
      <c r="J174" s="208"/>
      <c r="K174" s="208"/>
    </row>
    <row r="175" spans="1:12" ht="18" x14ac:dyDescent="0.3">
      <c r="A175" s="5" t="s">
        <v>88</v>
      </c>
      <c r="B175" s="95" t="s">
        <v>47</v>
      </c>
      <c r="C175" s="16" t="s">
        <v>89</v>
      </c>
      <c r="D175" s="16" t="s">
        <v>37</v>
      </c>
      <c r="E175" s="16" t="s">
        <v>38</v>
      </c>
      <c r="F175" s="16" t="s">
        <v>90</v>
      </c>
      <c r="G175" s="104" t="s">
        <v>91</v>
      </c>
      <c r="H175" s="95" t="s">
        <v>47</v>
      </c>
      <c r="I175" s="16" t="s">
        <v>89</v>
      </c>
      <c r="J175" s="16" t="s">
        <v>37</v>
      </c>
      <c r="K175" s="16" t="s">
        <v>38</v>
      </c>
      <c r="L175" s="16" t="s">
        <v>90</v>
      </c>
    </row>
    <row r="176" spans="1:12" ht="15" thickBot="1" x14ac:dyDescent="0.35">
      <c r="B176" s="35">
        <f>298.15</f>
        <v>298.14999999999998</v>
      </c>
      <c r="C176" s="55">
        <f>3/2*$D$2*B176</f>
        <v>3718.4397401999995</v>
      </c>
      <c r="D176" s="55">
        <v>0</v>
      </c>
      <c r="E176" s="55">
        <f>D176</f>
        <v>0</v>
      </c>
      <c r="F176" s="58">
        <v>0</v>
      </c>
      <c r="H176" s="35">
        <f>298.15</f>
        <v>298.14999999999998</v>
      </c>
      <c r="I176" s="105">
        <f>3/2*$D$2*H176 /4184</f>
        <v>0.8887284273900572</v>
      </c>
      <c r="J176" s="105">
        <v>0</v>
      </c>
      <c r="K176" s="105">
        <f>E176</f>
        <v>0</v>
      </c>
      <c r="L176" s="106">
        <f xml:space="preserve"> F176/4184</f>
        <v>0</v>
      </c>
    </row>
    <row r="177" spans="2:14" x14ac:dyDescent="0.3">
      <c r="B177" s="35">
        <f>300+100</f>
        <v>400</v>
      </c>
      <c r="C177" s="55">
        <f t="shared" ref="C177:C194" si="18">3/2*$D$2*B177</f>
        <v>4988.6831999999995</v>
      </c>
      <c r="D177" s="55">
        <v>0</v>
      </c>
      <c r="E177" s="55">
        <f t="shared" ref="E177:E194" si="19">D177</f>
        <v>0</v>
      </c>
      <c r="H177" s="35">
        <f>300+100</f>
        <v>400</v>
      </c>
      <c r="I177" s="55">
        <f t="shared" ref="I177:I194" si="20">3/2*$D$2*H177 /4184</f>
        <v>1.1923239005736137</v>
      </c>
      <c r="J177" s="55">
        <v>0</v>
      </c>
      <c r="K177" s="55">
        <f>E177</f>
        <v>0</v>
      </c>
      <c r="M177" s="212" t="s">
        <v>92</v>
      </c>
      <c r="N177" s="212"/>
    </row>
    <row r="178" spans="2:14" ht="18.600000000000001" thickBot="1" x14ac:dyDescent="0.35">
      <c r="B178" s="35">
        <f t="shared" ref="B178:B194" si="21">B177+100</f>
        <v>500</v>
      </c>
      <c r="C178" s="55">
        <f t="shared" si="18"/>
        <v>6235.8539999999994</v>
      </c>
      <c r="D178" s="55">
        <v>0</v>
      </c>
      <c r="E178" s="55">
        <f t="shared" si="19"/>
        <v>0</v>
      </c>
      <c r="H178" s="35">
        <f t="shared" ref="H178:H194" si="22">H177+100</f>
        <v>500</v>
      </c>
      <c r="I178" s="55">
        <f t="shared" si="20"/>
        <v>1.490404875717017</v>
      </c>
      <c r="J178" s="55">
        <v>0</v>
      </c>
      <c r="K178" s="55">
        <f t="shared" ref="K178:K194" si="23">E178</f>
        <v>0</v>
      </c>
      <c r="M178" s="213" t="s">
        <v>93</v>
      </c>
      <c r="N178" s="213"/>
    </row>
    <row r="179" spans="2:14" x14ac:dyDescent="0.3">
      <c r="B179" s="35">
        <f t="shared" si="21"/>
        <v>600</v>
      </c>
      <c r="C179" s="55">
        <f t="shared" si="18"/>
        <v>7483.0248000000001</v>
      </c>
      <c r="D179" s="55">
        <v>0</v>
      </c>
      <c r="E179" s="55">
        <f t="shared" si="19"/>
        <v>0</v>
      </c>
      <c r="H179" s="35">
        <f t="shared" si="22"/>
        <v>600</v>
      </c>
      <c r="I179" s="55">
        <f t="shared" si="20"/>
        <v>1.7884858508604207</v>
      </c>
      <c r="J179" s="55">
        <v>0</v>
      </c>
      <c r="K179" s="55">
        <f t="shared" si="23"/>
        <v>0</v>
      </c>
      <c r="M179" s="38"/>
      <c r="N179" s="4" t="s">
        <v>28</v>
      </c>
    </row>
    <row r="180" spans="2:14" x14ac:dyDescent="0.3">
      <c r="B180" s="35">
        <f t="shared" si="21"/>
        <v>700</v>
      </c>
      <c r="C180" s="55">
        <f t="shared" si="18"/>
        <v>8730.1955999999991</v>
      </c>
      <c r="D180" s="55">
        <v>0</v>
      </c>
      <c r="E180" s="55">
        <f t="shared" si="19"/>
        <v>0</v>
      </c>
      <c r="H180" s="35">
        <f t="shared" si="22"/>
        <v>700</v>
      </c>
      <c r="I180" s="55">
        <f t="shared" si="20"/>
        <v>2.0865668260038239</v>
      </c>
      <c r="J180" s="55">
        <v>0</v>
      </c>
      <c r="K180" s="55">
        <f t="shared" si="23"/>
        <v>0</v>
      </c>
      <c r="M180" s="39"/>
      <c r="N180" s="41" t="s">
        <v>31</v>
      </c>
    </row>
    <row r="181" spans="2:14" x14ac:dyDescent="0.3">
      <c r="B181" s="35">
        <f t="shared" si="21"/>
        <v>800</v>
      </c>
      <c r="C181" s="55">
        <f t="shared" si="18"/>
        <v>9977.366399999999</v>
      </c>
      <c r="D181" s="55">
        <v>0</v>
      </c>
      <c r="E181" s="55">
        <f t="shared" si="19"/>
        <v>0</v>
      </c>
      <c r="H181" s="35">
        <f t="shared" si="22"/>
        <v>800</v>
      </c>
      <c r="I181" s="55">
        <f t="shared" si="20"/>
        <v>2.3846478011472274</v>
      </c>
      <c r="J181" s="55">
        <v>0</v>
      </c>
      <c r="K181" s="55">
        <f t="shared" si="23"/>
        <v>0</v>
      </c>
      <c r="M181" s="39" t="s">
        <v>33</v>
      </c>
      <c r="N181" s="42">
        <v>0.88900000000000001</v>
      </c>
    </row>
    <row r="182" spans="2:14" x14ac:dyDescent="0.3">
      <c r="B182" s="35">
        <f t="shared" si="21"/>
        <v>900</v>
      </c>
      <c r="C182" s="55">
        <f t="shared" si="18"/>
        <v>11224.537199999999</v>
      </c>
      <c r="D182" s="55">
        <v>0</v>
      </c>
      <c r="E182" s="55">
        <f t="shared" si="19"/>
        <v>0</v>
      </c>
      <c r="H182" s="35">
        <f t="shared" si="22"/>
        <v>900</v>
      </c>
      <c r="I182" s="55">
        <f t="shared" si="20"/>
        <v>2.6827287762906309</v>
      </c>
      <c r="J182" s="55">
        <v>0</v>
      </c>
      <c r="K182" s="55">
        <f t="shared" si="23"/>
        <v>0</v>
      </c>
      <c r="M182" s="39" t="s">
        <v>34</v>
      </c>
      <c r="N182" s="42">
        <v>0</v>
      </c>
    </row>
    <row r="183" spans="2:14" x14ac:dyDescent="0.3">
      <c r="B183" s="35">
        <f t="shared" si="21"/>
        <v>1000</v>
      </c>
      <c r="C183" s="55">
        <f t="shared" si="18"/>
        <v>12471.707999999999</v>
      </c>
      <c r="D183" s="55">
        <v>0</v>
      </c>
      <c r="E183" s="55">
        <f t="shared" si="19"/>
        <v>0</v>
      </c>
      <c r="H183" s="35">
        <f t="shared" si="22"/>
        <v>1000</v>
      </c>
      <c r="I183" s="55">
        <f t="shared" si="20"/>
        <v>2.9808097514340339</v>
      </c>
      <c r="J183" s="55">
        <v>0</v>
      </c>
      <c r="K183" s="55">
        <f t="shared" si="23"/>
        <v>0</v>
      </c>
      <c r="M183" s="39" t="s">
        <v>36</v>
      </c>
      <c r="N183" s="42">
        <v>0.88900000000000001</v>
      </c>
    </row>
    <row r="184" spans="2:14" x14ac:dyDescent="0.3">
      <c r="B184" s="35">
        <f t="shared" si="21"/>
        <v>1100</v>
      </c>
      <c r="C184" s="55">
        <f t="shared" si="18"/>
        <v>13718.8788</v>
      </c>
      <c r="D184" s="55">
        <v>0</v>
      </c>
      <c r="E184" s="55">
        <f t="shared" si="19"/>
        <v>0</v>
      </c>
      <c r="H184" s="35">
        <f t="shared" si="22"/>
        <v>1100</v>
      </c>
      <c r="I184" s="55">
        <f t="shared" si="20"/>
        <v>3.2788907265774379</v>
      </c>
      <c r="J184" s="55">
        <v>0</v>
      </c>
      <c r="K184" s="55">
        <f t="shared" si="23"/>
        <v>0</v>
      </c>
      <c r="M184" s="39" t="s">
        <v>37</v>
      </c>
      <c r="N184" s="42">
        <v>0</v>
      </c>
    </row>
    <row r="185" spans="2:14" ht="15" thickBot="1" x14ac:dyDescent="0.35">
      <c r="B185" s="35">
        <f t="shared" si="21"/>
        <v>1200</v>
      </c>
      <c r="C185" s="55">
        <f t="shared" si="18"/>
        <v>14966.0496</v>
      </c>
      <c r="D185" s="55">
        <v>0</v>
      </c>
      <c r="E185" s="55">
        <f t="shared" si="19"/>
        <v>0</v>
      </c>
      <c r="H185" s="35">
        <f t="shared" si="22"/>
        <v>1200</v>
      </c>
      <c r="I185" s="55">
        <f t="shared" si="20"/>
        <v>3.5769717017208413</v>
      </c>
      <c r="J185" s="55">
        <v>0</v>
      </c>
      <c r="K185" s="55">
        <f t="shared" si="23"/>
        <v>0</v>
      </c>
      <c r="M185" s="44" t="s">
        <v>38</v>
      </c>
      <c r="N185" s="45">
        <v>0</v>
      </c>
    </row>
    <row r="186" spans="2:14" x14ac:dyDescent="0.3">
      <c r="B186" s="35">
        <f t="shared" si="21"/>
        <v>1300</v>
      </c>
      <c r="C186" s="55">
        <f t="shared" si="18"/>
        <v>16213.2204</v>
      </c>
      <c r="D186" s="55">
        <v>0</v>
      </c>
      <c r="E186" s="55">
        <f t="shared" si="19"/>
        <v>0</v>
      </c>
      <c r="H186" s="35">
        <f t="shared" si="22"/>
        <v>1300</v>
      </c>
      <c r="I186" s="55">
        <f t="shared" si="20"/>
        <v>3.8750526768642448</v>
      </c>
      <c r="J186" s="55">
        <v>0</v>
      </c>
      <c r="K186" s="55">
        <f t="shared" si="23"/>
        <v>0</v>
      </c>
      <c r="N186" s="47"/>
    </row>
    <row r="187" spans="2:14" x14ac:dyDescent="0.3">
      <c r="B187" s="35">
        <f t="shared" si="21"/>
        <v>1400</v>
      </c>
      <c r="C187" s="55">
        <f t="shared" si="18"/>
        <v>17460.391199999998</v>
      </c>
      <c r="D187" s="55">
        <v>0</v>
      </c>
      <c r="E187" s="55">
        <f t="shared" si="19"/>
        <v>0</v>
      </c>
      <c r="H187" s="35">
        <f t="shared" si="22"/>
        <v>1400</v>
      </c>
      <c r="I187" s="55">
        <f t="shared" si="20"/>
        <v>4.1731336520076479</v>
      </c>
      <c r="J187" s="55">
        <v>0</v>
      </c>
      <c r="K187" s="55">
        <f t="shared" si="23"/>
        <v>0</v>
      </c>
    </row>
    <row r="188" spans="2:14" ht="15" thickBot="1" x14ac:dyDescent="0.35">
      <c r="B188" s="35">
        <f t="shared" si="21"/>
        <v>1500</v>
      </c>
      <c r="C188" s="55">
        <f t="shared" si="18"/>
        <v>18707.561999999998</v>
      </c>
      <c r="D188" s="55">
        <v>0</v>
      </c>
      <c r="E188" s="55">
        <f t="shared" si="19"/>
        <v>0</v>
      </c>
      <c r="H188" s="35">
        <f t="shared" si="22"/>
        <v>1500</v>
      </c>
      <c r="I188" s="55">
        <f t="shared" si="20"/>
        <v>4.4712146271510509</v>
      </c>
      <c r="J188" s="55">
        <v>0</v>
      </c>
      <c r="K188" s="55">
        <f t="shared" si="23"/>
        <v>0</v>
      </c>
    </row>
    <row r="189" spans="2:14" ht="15" thickBot="1" x14ac:dyDescent="0.35">
      <c r="B189" s="35">
        <f t="shared" si="21"/>
        <v>1600</v>
      </c>
      <c r="C189" s="55">
        <f t="shared" si="18"/>
        <v>19954.732799999998</v>
      </c>
      <c r="D189" s="55">
        <v>0</v>
      </c>
      <c r="E189" s="55">
        <f t="shared" si="19"/>
        <v>0</v>
      </c>
      <c r="H189" s="35">
        <f t="shared" si="22"/>
        <v>1600</v>
      </c>
      <c r="I189" s="55">
        <f t="shared" si="20"/>
        <v>4.7692956022944548</v>
      </c>
      <c r="J189" s="55">
        <v>0</v>
      </c>
      <c r="K189" s="55">
        <f t="shared" si="23"/>
        <v>0</v>
      </c>
      <c r="M189" s="30" t="s">
        <v>94</v>
      </c>
      <c r="N189" s="107">
        <f>SUM(I176:L176)</f>
        <v>0.8887284273900572</v>
      </c>
    </row>
    <row r="190" spans="2:14" x14ac:dyDescent="0.3">
      <c r="B190" s="35">
        <f t="shared" si="21"/>
        <v>1700</v>
      </c>
      <c r="C190" s="55">
        <f t="shared" si="18"/>
        <v>21201.903599999998</v>
      </c>
      <c r="D190" s="55">
        <v>0</v>
      </c>
      <c r="E190" s="55">
        <f t="shared" si="19"/>
        <v>0</v>
      </c>
      <c r="H190" s="35">
        <f t="shared" si="22"/>
        <v>1700</v>
      </c>
      <c r="I190" s="55">
        <f t="shared" si="20"/>
        <v>5.0673765774378579</v>
      </c>
      <c r="J190" s="55">
        <v>0</v>
      </c>
      <c r="K190" s="55">
        <f t="shared" si="23"/>
        <v>0</v>
      </c>
    </row>
    <row r="191" spans="2:14" x14ac:dyDescent="0.3">
      <c r="B191" s="35">
        <f t="shared" si="21"/>
        <v>1800</v>
      </c>
      <c r="C191" s="55">
        <f t="shared" si="18"/>
        <v>22449.074399999998</v>
      </c>
      <c r="D191" s="55">
        <v>0</v>
      </c>
      <c r="E191" s="55">
        <f t="shared" si="19"/>
        <v>0</v>
      </c>
      <c r="H191" s="35">
        <f t="shared" si="22"/>
        <v>1800</v>
      </c>
      <c r="I191" s="55">
        <f t="shared" si="20"/>
        <v>5.3654575525812618</v>
      </c>
      <c r="J191" s="55">
        <v>0</v>
      </c>
      <c r="K191" s="55">
        <f t="shared" si="23"/>
        <v>0</v>
      </c>
    </row>
    <row r="192" spans="2:14" x14ac:dyDescent="0.3">
      <c r="B192" s="35">
        <f t="shared" si="21"/>
        <v>1900</v>
      </c>
      <c r="C192" s="55">
        <f t="shared" si="18"/>
        <v>23696.245199999998</v>
      </c>
      <c r="D192" s="55">
        <v>0</v>
      </c>
      <c r="E192" s="55">
        <f t="shared" si="19"/>
        <v>0</v>
      </c>
      <c r="H192" s="35">
        <f t="shared" si="22"/>
        <v>1900</v>
      </c>
      <c r="I192" s="55">
        <f t="shared" si="20"/>
        <v>5.6635385277246648</v>
      </c>
      <c r="J192" s="55">
        <v>0</v>
      </c>
      <c r="K192" s="55">
        <f t="shared" si="23"/>
        <v>0</v>
      </c>
    </row>
    <row r="193" spans="1:15" x14ac:dyDescent="0.3">
      <c r="B193" s="35">
        <f t="shared" si="21"/>
        <v>2000</v>
      </c>
      <c r="C193" s="55">
        <f t="shared" si="18"/>
        <v>24943.415999999997</v>
      </c>
      <c r="D193" s="55">
        <v>0</v>
      </c>
      <c r="E193" s="55">
        <f t="shared" si="19"/>
        <v>0</v>
      </c>
      <c r="H193" s="35">
        <f t="shared" si="22"/>
        <v>2000</v>
      </c>
      <c r="I193" s="55">
        <f t="shared" si="20"/>
        <v>5.9616195028680679</v>
      </c>
      <c r="J193" s="55">
        <v>0</v>
      </c>
      <c r="K193" s="55">
        <f t="shared" si="23"/>
        <v>0</v>
      </c>
    </row>
    <row r="194" spans="1:15" ht="15" thickBot="1" x14ac:dyDescent="0.35">
      <c r="B194" s="26">
        <f t="shared" si="21"/>
        <v>2100</v>
      </c>
      <c r="C194" s="58">
        <f t="shared" si="18"/>
        <v>26190.586799999997</v>
      </c>
      <c r="D194" s="58">
        <v>0</v>
      </c>
      <c r="E194" s="58">
        <f t="shared" si="19"/>
        <v>0</v>
      </c>
      <c r="F194" s="53"/>
      <c r="H194" s="26">
        <f t="shared" si="22"/>
        <v>2100</v>
      </c>
      <c r="I194" s="58">
        <f t="shared" si="20"/>
        <v>6.2597004780114718</v>
      </c>
      <c r="J194" s="58">
        <v>0</v>
      </c>
      <c r="K194" s="58">
        <f t="shared" si="23"/>
        <v>0</v>
      </c>
      <c r="L194" s="53"/>
    </row>
    <row r="196" spans="1:15" ht="15" thickBot="1" x14ac:dyDescent="0.35"/>
    <row r="197" spans="1:15" ht="15" thickBot="1" x14ac:dyDescent="0.35">
      <c r="F197" s="17"/>
      <c r="G197" s="18"/>
      <c r="H197" s="18"/>
      <c r="I197" s="19"/>
      <c r="K197" s="52" t="s">
        <v>95</v>
      </c>
    </row>
    <row r="198" spans="1:15" ht="16.8" thickBot="1" x14ac:dyDescent="0.35">
      <c r="B198" s="108" t="s">
        <v>96</v>
      </c>
      <c r="C198" s="109">
        <f xml:space="preserve"> ($C$2*$C$2) /(8*$B$2*$B$2*$A$2*$H$198)</f>
        <v>1.222890457844473</v>
      </c>
      <c r="F198" s="35"/>
      <c r="H198" s="5">
        <f>SQRT(E6*E6+F6*F6+G6*G6)</f>
        <v>3.2935734495583509E-46</v>
      </c>
      <c r="I198" s="36" t="s">
        <v>97</v>
      </c>
      <c r="K198" s="25">
        <v>1.18</v>
      </c>
    </row>
    <row r="199" spans="1:15" ht="15" thickBot="1" x14ac:dyDescent="0.35">
      <c r="F199" s="26"/>
      <c r="G199" s="27"/>
      <c r="H199" s="27"/>
      <c r="I199" s="28"/>
    </row>
    <row r="200" spans="1:15" ht="15" thickBot="1" x14ac:dyDescent="0.35">
      <c r="A200" s="5" t="s">
        <v>98</v>
      </c>
      <c r="B200" s="208" t="s">
        <v>99</v>
      </c>
      <c r="C200" s="208"/>
      <c r="D200" s="208"/>
      <c r="E200" s="208"/>
      <c r="F200" s="208"/>
      <c r="H200" s="208" t="s">
        <v>100</v>
      </c>
      <c r="I200" s="208"/>
      <c r="J200" s="208"/>
      <c r="K200" s="208"/>
      <c r="L200" s="208"/>
    </row>
    <row r="201" spans="1:15" ht="18" x14ac:dyDescent="0.3">
      <c r="A201" s="5" t="s">
        <v>99</v>
      </c>
      <c r="B201" s="94" t="s">
        <v>47</v>
      </c>
      <c r="C201" s="16" t="s">
        <v>101</v>
      </c>
      <c r="D201" s="16" t="s">
        <v>89</v>
      </c>
      <c r="E201" s="16" t="s">
        <v>37</v>
      </c>
      <c r="F201" s="16" t="s">
        <v>38</v>
      </c>
      <c r="G201" s="16" t="s">
        <v>90</v>
      </c>
      <c r="H201" s="94" t="s">
        <v>47</v>
      </c>
      <c r="I201" s="16" t="s">
        <v>89</v>
      </c>
      <c r="J201" s="16" t="s">
        <v>37</v>
      </c>
      <c r="K201" s="16" t="s">
        <v>38</v>
      </c>
      <c r="L201" s="16" t="s">
        <v>90</v>
      </c>
      <c r="O201" s="82"/>
    </row>
    <row r="202" spans="1:15" ht="15" thickBot="1" x14ac:dyDescent="0.35">
      <c r="B202" s="35">
        <f>298.15</f>
        <v>298.14999999999998</v>
      </c>
      <c r="C202" s="55">
        <f>($A$2*B202)/$J$2</f>
        <v>4.062431680236861E-26</v>
      </c>
      <c r="D202" s="110">
        <f xml:space="preserve"> $D$2 *( 5/2  +   LN(  ((2*$B$2*$E$2*$A$2*B202)/($C$2*$C$2) )^1.5  * ($D$2*B202 )/($F$2*$J$2)  ) )</f>
        <v>108.83877560341737</v>
      </c>
      <c r="E202" s="55">
        <v>0</v>
      </c>
      <c r="F202" s="55">
        <f>0</f>
        <v>0</v>
      </c>
      <c r="G202" s="58">
        <f>$D$2*LN(K198)</f>
        <v>1.3761651643175061</v>
      </c>
      <c r="H202" s="35">
        <f>298.15</f>
        <v>298.14999999999998</v>
      </c>
      <c r="I202" s="105">
        <f xml:space="preserve"> $D$2 *( 5/2  +   LN(  ((2*$B$2*$E$2*$A$2*B202)/($C$2*$C$2) )^1.5  * ($D$2*B202 )/($F$2*$J$2)  ) ) / 4.184</f>
        <v>26.013091683417155</v>
      </c>
      <c r="J202" s="105">
        <v>0</v>
      </c>
      <c r="K202" s="105">
        <f>F202</f>
        <v>0</v>
      </c>
      <c r="L202" s="112">
        <f>$D$2*LN(K198)</f>
        <v>1.3761651643175061</v>
      </c>
      <c r="O202" s="82"/>
    </row>
    <row r="203" spans="1:15" x14ac:dyDescent="0.3">
      <c r="B203" s="35">
        <f>300+100</f>
        <v>400</v>
      </c>
      <c r="C203" s="55">
        <f t="shared" ref="C203:C220" si="24">($A$2*B203)/$J$2</f>
        <v>5.4501850481125095E-26</v>
      </c>
      <c r="D203" s="110">
        <f t="shared" ref="D203:D220" si="25" xml:space="preserve"> $D$2 *( 5/2  +   LN(  ((2*$B$2*$E$2*$A$2*B203)/($C$2*$C$2) )^1.5  * ($D$2*B203 )/($F$2*$J$2)  ) )</f>
        <v>114.9471652459938</v>
      </c>
      <c r="E203" s="55">
        <v>0</v>
      </c>
      <c r="F203" s="55">
        <f>0</f>
        <v>0</v>
      </c>
      <c r="H203" s="35">
        <f>300+100</f>
        <v>400</v>
      </c>
      <c r="I203" s="110">
        <f xml:space="preserve"> $D$2 *( 5/2  +   LN(  ((2*$B$2*$E$2*$A$2*B203)/($C$2*$C$2) )^1.5  * ($D$2*B203 )/($F$2*$J$2)  ) )/ 4.184</f>
        <v>27.473031846556836</v>
      </c>
      <c r="J203" s="55">
        <v>0</v>
      </c>
      <c r="K203" s="55">
        <f>F203</f>
        <v>0</v>
      </c>
      <c r="O203" s="47"/>
    </row>
    <row r="204" spans="1:15" ht="18" x14ac:dyDescent="0.3">
      <c r="B204" s="35">
        <f t="shared" ref="B204:B220" si="26">B203+100</f>
        <v>500</v>
      </c>
      <c r="C204" s="55">
        <f t="shared" si="24"/>
        <v>6.8127313101406362E-26</v>
      </c>
      <c r="D204" s="110">
        <f t="shared" si="25"/>
        <v>119.58546726945025</v>
      </c>
      <c r="E204" s="55">
        <v>0</v>
      </c>
      <c r="F204" s="55">
        <f>0</f>
        <v>0</v>
      </c>
      <c r="H204" s="35">
        <f t="shared" ref="H204:H220" si="27">H203+100</f>
        <v>500</v>
      </c>
      <c r="I204" s="110">
        <f t="shared" ref="I204:I220" si="28" xml:space="preserve"> $D$2 *( 5/2  +   LN(  ((2*$B$2*$E$2*$A$2*B204)/($C$2*$C$2) )^1.5  * ($D$2*B204 )/($F$2*$J$2)  ) )/ 4.184</f>
        <v>28.581612636101873</v>
      </c>
      <c r="J204" s="55">
        <v>0</v>
      </c>
      <c r="K204" s="55">
        <f t="shared" ref="K204:K220" si="29">F204</f>
        <v>0</v>
      </c>
      <c r="M204" s="214"/>
      <c r="N204" s="214"/>
      <c r="O204" s="47"/>
    </row>
    <row r="205" spans="1:15" ht="18.600000000000001" thickBot="1" x14ac:dyDescent="0.35">
      <c r="B205" s="35">
        <f t="shared" si="26"/>
        <v>600</v>
      </c>
      <c r="C205" s="55">
        <f t="shared" si="24"/>
        <v>8.175277572168763E-26</v>
      </c>
      <c r="D205" s="110">
        <f t="shared" si="25"/>
        <v>123.37523596684963</v>
      </c>
      <c r="E205" s="55">
        <v>0</v>
      </c>
      <c r="F205" s="55">
        <f>0</f>
        <v>0</v>
      </c>
      <c r="H205" s="35">
        <f t="shared" si="27"/>
        <v>600</v>
      </c>
      <c r="I205" s="110">
        <f t="shared" si="28"/>
        <v>29.487389093415302</v>
      </c>
      <c r="J205" s="55">
        <v>0</v>
      </c>
      <c r="K205" s="55">
        <f t="shared" si="29"/>
        <v>0</v>
      </c>
      <c r="M205" s="214" t="s">
        <v>93</v>
      </c>
      <c r="N205" s="214"/>
      <c r="O205" s="47"/>
    </row>
    <row r="206" spans="1:15" x14ac:dyDescent="0.3">
      <c r="B206" s="35">
        <f t="shared" si="26"/>
        <v>700</v>
      </c>
      <c r="C206" s="55">
        <f t="shared" si="24"/>
        <v>9.5378238341968898E-26</v>
      </c>
      <c r="D206" s="110">
        <f t="shared" si="25"/>
        <v>126.57943974486139</v>
      </c>
      <c r="E206" s="55">
        <v>0</v>
      </c>
      <c r="F206" s="55">
        <f>0</f>
        <v>0</v>
      </c>
      <c r="H206" s="35">
        <f t="shared" si="27"/>
        <v>700</v>
      </c>
      <c r="I206" s="110">
        <f t="shared" si="28"/>
        <v>30.253212176114097</v>
      </c>
      <c r="J206" s="55">
        <v>0</v>
      </c>
      <c r="K206" s="55">
        <f t="shared" si="29"/>
        <v>0</v>
      </c>
      <c r="M206" s="38"/>
      <c r="N206" s="4" t="s">
        <v>30</v>
      </c>
      <c r="O206" s="47"/>
    </row>
    <row r="207" spans="1:15" x14ac:dyDescent="0.3">
      <c r="B207" s="35">
        <f t="shared" si="26"/>
        <v>800</v>
      </c>
      <c r="C207" s="55">
        <f t="shared" si="24"/>
        <v>1.0900370096225019E-25</v>
      </c>
      <c r="D207" s="110">
        <f t="shared" si="25"/>
        <v>129.35504730760536</v>
      </c>
      <c r="E207" s="55">
        <v>0</v>
      </c>
      <c r="F207" s="55">
        <f>0</f>
        <v>0</v>
      </c>
      <c r="H207" s="35">
        <f t="shared" si="27"/>
        <v>800</v>
      </c>
      <c r="I207" s="110">
        <f t="shared" si="28"/>
        <v>30.916598304876999</v>
      </c>
      <c r="J207" s="55">
        <v>0</v>
      </c>
      <c r="K207" s="55">
        <f t="shared" si="29"/>
        <v>0</v>
      </c>
      <c r="M207" s="39"/>
      <c r="N207" s="41" t="s">
        <v>32</v>
      </c>
      <c r="O207" s="47"/>
    </row>
    <row r="208" spans="1:15" x14ac:dyDescent="0.3">
      <c r="B208" s="35">
        <f t="shared" si="26"/>
        <v>900</v>
      </c>
      <c r="C208" s="55">
        <f t="shared" si="24"/>
        <v>1.2262916358253145E-25</v>
      </c>
      <c r="D208" s="110">
        <f t="shared" si="25"/>
        <v>131.80330668770546</v>
      </c>
      <c r="E208" s="55">
        <v>0</v>
      </c>
      <c r="F208" s="55">
        <f>0</f>
        <v>0</v>
      </c>
      <c r="H208" s="35">
        <f t="shared" si="27"/>
        <v>900</v>
      </c>
      <c r="I208" s="110">
        <f t="shared" si="28"/>
        <v>31.501746340273769</v>
      </c>
      <c r="J208" s="55">
        <v>0</v>
      </c>
      <c r="K208" s="55">
        <f t="shared" si="29"/>
        <v>0</v>
      </c>
      <c r="M208" s="39" t="s">
        <v>33</v>
      </c>
      <c r="N208" s="41">
        <v>27.391999999999999</v>
      </c>
      <c r="O208" s="47"/>
    </row>
    <row r="209" spans="1:14" x14ac:dyDescent="0.3">
      <c r="B209" s="35">
        <f t="shared" si="26"/>
        <v>1000</v>
      </c>
      <c r="C209" s="55">
        <f t="shared" si="24"/>
        <v>1.3625462620281272E-25</v>
      </c>
      <c r="D209" s="110">
        <f t="shared" si="25"/>
        <v>133.99334933106181</v>
      </c>
      <c r="E209" s="55">
        <v>0</v>
      </c>
      <c r="F209" s="55">
        <f>0</f>
        <v>0</v>
      </c>
      <c r="H209" s="35">
        <f t="shared" si="27"/>
        <v>1000</v>
      </c>
      <c r="I209" s="110">
        <f t="shared" si="28"/>
        <v>32.025179094422036</v>
      </c>
      <c r="J209" s="55">
        <v>0</v>
      </c>
      <c r="K209" s="55">
        <f t="shared" si="29"/>
        <v>0</v>
      </c>
      <c r="M209" s="39" t="s">
        <v>34</v>
      </c>
      <c r="N209" s="41">
        <v>1.377</v>
      </c>
    </row>
    <row r="210" spans="1:14" x14ac:dyDescent="0.3">
      <c r="B210" s="35">
        <f t="shared" si="26"/>
        <v>1100</v>
      </c>
      <c r="C210" s="55">
        <f t="shared" si="24"/>
        <v>1.4988008882309398E-25</v>
      </c>
      <c r="D210" s="110">
        <f t="shared" si="25"/>
        <v>135.97448388430692</v>
      </c>
      <c r="E210" s="55">
        <v>0</v>
      </c>
      <c r="F210" s="55">
        <f>0</f>
        <v>0</v>
      </c>
      <c r="H210" s="35">
        <f t="shared" si="27"/>
        <v>1100</v>
      </c>
      <c r="I210" s="110">
        <f t="shared" si="28"/>
        <v>32.498681616708154</v>
      </c>
      <c r="J210" s="55">
        <v>0</v>
      </c>
      <c r="K210" s="55">
        <f t="shared" si="29"/>
        <v>0</v>
      </c>
      <c r="M210" s="39" t="s">
        <v>36</v>
      </c>
      <c r="N210" s="41">
        <v>26.013999999999999</v>
      </c>
    </row>
    <row r="211" spans="1:14" x14ac:dyDescent="0.3">
      <c r="A211" s="53"/>
      <c r="B211" s="35">
        <f t="shared" si="26"/>
        <v>1200</v>
      </c>
      <c r="C211" s="55">
        <f t="shared" si="24"/>
        <v>1.6350555144337526E-25</v>
      </c>
      <c r="D211" s="110">
        <f t="shared" si="25"/>
        <v>137.78311802846119</v>
      </c>
      <c r="E211" s="55">
        <v>0</v>
      </c>
      <c r="F211" s="55">
        <f>0</f>
        <v>0</v>
      </c>
      <c r="H211" s="35">
        <f t="shared" si="27"/>
        <v>1200</v>
      </c>
      <c r="I211" s="110">
        <f t="shared" si="28"/>
        <v>32.930955551735465</v>
      </c>
      <c r="J211" s="55">
        <v>0</v>
      </c>
      <c r="K211" s="55">
        <f t="shared" si="29"/>
        <v>0</v>
      </c>
      <c r="M211" s="39" t="s">
        <v>37</v>
      </c>
      <c r="N211" s="41">
        <v>0</v>
      </c>
    </row>
    <row r="212" spans="1:14" ht="15" thickBot="1" x14ac:dyDescent="0.35">
      <c r="B212" s="35">
        <f t="shared" si="26"/>
        <v>1300</v>
      </c>
      <c r="C212" s="55">
        <f t="shared" si="24"/>
        <v>1.7713101406365654E-25</v>
      </c>
      <c r="D212" s="110">
        <f t="shared" si="25"/>
        <v>139.44690015785071</v>
      </c>
      <c r="E212" s="55">
        <v>0</v>
      </c>
      <c r="F212" s="55">
        <f>0</f>
        <v>0</v>
      </c>
      <c r="H212" s="35">
        <f t="shared" si="27"/>
        <v>1300</v>
      </c>
      <c r="I212" s="110">
        <f t="shared" si="28"/>
        <v>33.328609024342903</v>
      </c>
      <c r="J212" s="55">
        <v>0</v>
      </c>
      <c r="K212" s="55">
        <f t="shared" si="29"/>
        <v>0</v>
      </c>
      <c r="M212" s="44" t="s">
        <v>38</v>
      </c>
      <c r="N212" s="144">
        <v>0</v>
      </c>
    </row>
    <row r="213" spans="1:14" x14ac:dyDescent="0.3">
      <c r="B213" s="35">
        <f t="shared" si="26"/>
        <v>1400</v>
      </c>
      <c r="C213" s="55">
        <f t="shared" si="24"/>
        <v>1.907564766839378E-25</v>
      </c>
      <c r="D213" s="110">
        <f t="shared" si="25"/>
        <v>140.98732180647292</v>
      </c>
      <c r="E213" s="55">
        <v>0</v>
      </c>
      <c r="F213" s="55">
        <f>0</f>
        <v>0</v>
      </c>
      <c r="H213" s="35">
        <f t="shared" si="27"/>
        <v>1400</v>
      </c>
      <c r="I213" s="110">
        <f t="shared" si="28"/>
        <v>33.696778634434253</v>
      </c>
      <c r="J213" s="55">
        <v>0</v>
      </c>
      <c r="K213" s="55">
        <f t="shared" si="29"/>
        <v>0</v>
      </c>
    </row>
    <row r="214" spans="1:14" x14ac:dyDescent="0.3">
      <c r="B214" s="35">
        <f t="shared" si="26"/>
        <v>1500</v>
      </c>
      <c r="C214" s="55">
        <f t="shared" si="24"/>
        <v>2.0438193930421908E-25</v>
      </c>
      <c r="D214" s="110">
        <f t="shared" si="25"/>
        <v>142.42142005191764</v>
      </c>
      <c r="E214" s="55">
        <v>0</v>
      </c>
      <c r="F214" s="55">
        <f>0</f>
        <v>0</v>
      </c>
      <c r="H214" s="35">
        <f t="shared" si="27"/>
        <v>1500</v>
      </c>
      <c r="I214" s="110">
        <f t="shared" si="28"/>
        <v>34.039536341280503</v>
      </c>
      <c r="J214" s="55">
        <v>0</v>
      </c>
      <c r="K214" s="55">
        <f t="shared" si="29"/>
        <v>0</v>
      </c>
    </row>
    <row r="215" spans="1:14" x14ac:dyDescent="0.3">
      <c r="B215" s="35">
        <f t="shared" si="26"/>
        <v>1600</v>
      </c>
      <c r="C215" s="55">
        <f t="shared" si="24"/>
        <v>2.1800740192450038E-25</v>
      </c>
      <c r="D215" s="110">
        <f t="shared" si="25"/>
        <v>143.76292936921692</v>
      </c>
      <c r="E215" s="55">
        <v>0</v>
      </c>
      <c r="F215" s="55">
        <f>0</f>
        <v>0</v>
      </c>
      <c r="H215" s="35">
        <f t="shared" si="27"/>
        <v>1600</v>
      </c>
      <c r="I215" s="110">
        <f t="shared" si="28"/>
        <v>34.360164763197162</v>
      </c>
      <c r="J215" s="55">
        <v>0</v>
      </c>
      <c r="K215" s="55">
        <f t="shared" si="29"/>
        <v>0</v>
      </c>
      <c r="M215" s="5" t="s">
        <v>94</v>
      </c>
      <c r="N215" s="113">
        <f>SUM(I202:L202)</f>
        <v>27.389256847734661</v>
      </c>
    </row>
    <row r="216" spans="1:14" x14ac:dyDescent="0.3">
      <c r="B216" s="35">
        <f t="shared" si="26"/>
        <v>1700</v>
      </c>
      <c r="C216" s="55">
        <f t="shared" si="24"/>
        <v>2.3163286454478159E-25</v>
      </c>
      <c r="D216" s="110">
        <f t="shared" si="25"/>
        <v>145.0230836707253</v>
      </c>
      <c r="E216" s="55">
        <v>0</v>
      </c>
      <c r="F216" s="55">
        <f>0</f>
        <v>0</v>
      </c>
      <c r="H216" s="35">
        <f t="shared" si="27"/>
        <v>1700</v>
      </c>
      <c r="I216" s="110">
        <f t="shared" si="28"/>
        <v>34.661348869676218</v>
      </c>
      <c r="J216" s="55">
        <v>0</v>
      </c>
      <c r="K216" s="55">
        <f t="shared" si="29"/>
        <v>0</v>
      </c>
    </row>
    <row r="217" spans="1:14" x14ac:dyDescent="0.3">
      <c r="B217" s="35">
        <f t="shared" si="26"/>
        <v>1800</v>
      </c>
      <c r="C217" s="55">
        <f t="shared" si="24"/>
        <v>2.4525832716506289E-25</v>
      </c>
      <c r="D217" s="110">
        <f t="shared" si="25"/>
        <v>146.21118874931688</v>
      </c>
      <c r="E217" s="55">
        <v>0</v>
      </c>
      <c r="F217" s="55">
        <f>0</f>
        <v>0</v>
      </c>
      <c r="H217" s="35">
        <f t="shared" si="27"/>
        <v>1800</v>
      </c>
      <c r="I217" s="110">
        <f t="shared" si="28"/>
        <v>34.945312798593896</v>
      </c>
      <c r="J217" s="55">
        <v>0</v>
      </c>
      <c r="K217" s="55">
        <f t="shared" si="29"/>
        <v>0</v>
      </c>
    </row>
    <row r="218" spans="1:14" x14ac:dyDescent="0.3">
      <c r="B218" s="35">
        <f t="shared" si="26"/>
        <v>1900</v>
      </c>
      <c r="C218" s="55">
        <f t="shared" si="24"/>
        <v>2.5888378978534419E-25</v>
      </c>
      <c r="D218" s="110">
        <f t="shared" si="25"/>
        <v>147.33503974274069</v>
      </c>
      <c r="E218" s="55">
        <v>0</v>
      </c>
      <c r="F218" s="55">
        <f>0</f>
        <v>0</v>
      </c>
      <c r="H218" s="35">
        <f t="shared" si="27"/>
        <v>1900</v>
      </c>
      <c r="I218" s="110">
        <f t="shared" si="28"/>
        <v>35.213919632586205</v>
      </c>
      <c r="J218" s="55">
        <v>0</v>
      </c>
      <c r="K218" s="55">
        <f t="shared" si="29"/>
        <v>0</v>
      </c>
    </row>
    <row r="219" spans="1:14" x14ac:dyDescent="0.3">
      <c r="B219" s="35">
        <f t="shared" si="26"/>
        <v>2000</v>
      </c>
      <c r="C219" s="55">
        <f t="shared" si="24"/>
        <v>2.7250925240562545E-25</v>
      </c>
      <c r="D219" s="110">
        <f t="shared" si="25"/>
        <v>148.40123139267337</v>
      </c>
      <c r="E219" s="55">
        <v>0</v>
      </c>
      <c r="F219" s="55">
        <f>0</f>
        <v>0</v>
      </c>
      <c r="H219" s="35">
        <f t="shared" si="27"/>
        <v>2000</v>
      </c>
      <c r="I219" s="110">
        <f t="shared" si="28"/>
        <v>35.468745552742199</v>
      </c>
      <c r="J219" s="55">
        <v>0</v>
      </c>
      <c r="K219" s="55">
        <f t="shared" si="29"/>
        <v>0</v>
      </c>
    </row>
    <row r="220" spans="1:14" ht="15" thickBot="1" x14ac:dyDescent="0.35">
      <c r="B220" s="26">
        <f t="shared" si="26"/>
        <v>2100</v>
      </c>
      <c r="C220" s="58">
        <f t="shared" si="24"/>
        <v>2.8613471502590675E-25</v>
      </c>
      <c r="D220" s="114">
        <f t="shared" si="25"/>
        <v>149.41539252732866</v>
      </c>
      <c r="E220" s="58">
        <v>0</v>
      </c>
      <c r="F220" s="58">
        <f>0</f>
        <v>0</v>
      </c>
      <c r="G220" s="53"/>
      <c r="H220" s="26">
        <f t="shared" si="27"/>
        <v>2100</v>
      </c>
      <c r="I220" s="114">
        <f t="shared" si="28"/>
        <v>35.711135881292698</v>
      </c>
      <c r="J220" s="58">
        <v>0</v>
      </c>
      <c r="K220" s="58">
        <f t="shared" si="29"/>
        <v>0</v>
      </c>
      <c r="L220" s="53"/>
    </row>
    <row r="224" spans="1:14" ht="15" thickBot="1" x14ac:dyDescent="0.35">
      <c r="A224" s="5" t="s">
        <v>102</v>
      </c>
      <c r="B224" s="208" t="s">
        <v>103</v>
      </c>
      <c r="C224" s="208"/>
      <c r="D224" s="208"/>
      <c r="E224" s="208"/>
      <c r="F224" s="208"/>
      <c r="H224" s="208" t="s">
        <v>104</v>
      </c>
      <c r="I224" s="208"/>
      <c r="J224" s="208"/>
      <c r="K224" s="208"/>
      <c r="L224" s="208"/>
    </row>
    <row r="225" spans="1:15" ht="18" x14ac:dyDescent="0.3">
      <c r="A225" s="5" t="s">
        <v>99</v>
      </c>
      <c r="B225" s="94" t="s">
        <v>47</v>
      </c>
      <c r="C225" s="16" t="s">
        <v>89</v>
      </c>
      <c r="D225" s="16" t="s">
        <v>37</v>
      </c>
      <c r="E225" s="16" t="s">
        <v>38</v>
      </c>
      <c r="F225" s="16" t="s">
        <v>90</v>
      </c>
      <c r="H225" s="94" t="s">
        <v>47</v>
      </c>
      <c r="I225" s="16" t="s">
        <v>89</v>
      </c>
      <c r="J225" s="16" t="s">
        <v>37</v>
      </c>
      <c r="K225" s="16" t="s">
        <v>38</v>
      </c>
      <c r="L225" s="16" t="s">
        <v>90</v>
      </c>
    </row>
    <row r="226" spans="1:15" ht="15" thickBot="1" x14ac:dyDescent="0.35">
      <c r="B226" s="35">
        <f>298.15</f>
        <v>298.14999999999998</v>
      </c>
      <c r="C226" s="55">
        <f>3/2*$D$2</f>
        <v>12.471708</v>
      </c>
      <c r="D226" s="55">
        <v>0</v>
      </c>
      <c r="E226" s="55">
        <v>0</v>
      </c>
      <c r="F226" s="58">
        <v>0</v>
      </c>
      <c r="H226" s="35">
        <f>298.15</f>
        <v>298.14999999999998</v>
      </c>
      <c r="I226" s="105">
        <f>3/2*$D$2 / 4.184</f>
        <v>2.9808097514340344</v>
      </c>
      <c r="J226" s="105">
        <f>D226</f>
        <v>0</v>
      </c>
      <c r="K226" s="105">
        <f>E226</f>
        <v>0</v>
      </c>
      <c r="L226" s="112">
        <v>0</v>
      </c>
    </row>
    <row r="227" spans="1:15" x14ac:dyDescent="0.3">
      <c r="B227" s="35">
        <f>300+100</f>
        <v>400</v>
      </c>
      <c r="C227" s="55">
        <f t="shared" ref="C227:C244" si="30">3/2*$D$2</f>
        <v>12.471708</v>
      </c>
      <c r="D227" s="55">
        <v>0</v>
      </c>
      <c r="E227" s="55">
        <v>0</v>
      </c>
      <c r="H227" s="35">
        <f>300+100</f>
        <v>400</v>
      </c>
      <c r="I227" s="55">
        <f t="shared" ref="I227:I244" si="31">3/2*$D$2 / 4.184</f>
        <v>2.9808097514340344</v>
      </c>
      <c r="J227" s="55">
        <f>D227</f>
        <v>0</v>
      </c>
      <c r="K227" s="55">
        <f>E227</f>
        <v>0</v>
      </c>
    </row>
    <row r="228" spans="1:15" ht="18.600000000000001" thickBot="1" x14ac:dyDescent="0.35">
      <c r="B228" s="35">
        <f t="shared" ref="B228:B244" si="32">B227+100</f>
        <v>500</v>
      </c>
      <c r="C228" s="55">
        <f t="shared" si="30"/>
        <v>12.471708</v>
      </c>
      <c r="D228" s="55">
        <v>0</v>
      </c>
      <c r="E228" s="55">
        <v>0</v>
      </c>
      <c r="H228" s="35">
        <f t="shared" ref="H228:H244" si="33">H227+100</f>
        <v>500</v>
      </c>
      <c r="I228" s="55">
        <f t="shared" si="31"/>
        <v>2.9808097514340344</v>
      </c>
      <c r="J228" s="55">
        <f t="shared" ref="J228:K244" si="34">D228</f>
        <v>0</v>
      </c>
      <c r="K228" s="55">
        <f t="shared" si="34"/>
        <v>0</v>
      </c>
      <c r="M228" s="214" t="s">
        <v>93</v>
      </c>
      <c r="N228" s="214"/>
    </row>
    <row r="229" spans="1:15" x14ac:dyDescent="0.3">
      <c r="B229" s="35">
        <f t="shared" si="32"/>
        <v>600</v>
      </c>
      <c r="C229" s="55">
        <f t="shared" si="30"/>
        <v>12.471708</v>
      </c>
      <c r="D229" s="55">
        <v>0</v>
      </c>
      <c r="E229" s="55">
        <v>0</v>
      </c>
      <c r="H229" s="35">
        <f t="shared" si="33"/>
        <v>600</v>
      </c>
      <c r="I229" s="55">
        <f t="shared" si="31"/>
        <v>2.9808097514340344</v>
      </c>
      <c r="J229" s="55">
        <f t="shared" si="34"/>
        <v>0</v>
      </c>
      <c r="K229" s="55">
        <f t="shared" si="34"/>
        <v>0</v>
      </c>
      <c r="M229" s="38"/>
      <c r="N229" s="4" t="s">
        <v>29</v>
      </c>
      <c r="O229" s="82"/>
    </row>
    <row r="230" spans="1:15" x14ac:dyDescent="0.3">
      <c r="B230" s="35">
        <f t="shared" si="32"/>
        <v>700</v>
      </c>
      <c r="C230" s="55">
        <f t="shared" si="30"/>
        <v>12.471708</v>
      </c>
      <c r="D230" s="55">
        <v>0</v>
      </c>
      <c r="E230" s="55">
        <v>0</v>
      </c>
      <c r="H230" s="35">
        <f t="shared" si="33"/>
        <v>700</v>
      </c>
      <c r="I230" s="55">
        <f t="shared" si="31"/>
        <v>2.9808097514340344</v>
      </c>
      <c r="J230" s="55">
        <f t="shared" si="34"/>
        <v>0</v>
      </c>
      <c r="K230" s="55">
        <f t="shared" si="34"/>
        <v>0</v>
      </c>
      <c r="M230" s="39"/>
      <c r="N230" s="41" t="s">
        <v>32</v>
      </c>
      <c r="O230" s="82"/>
    </row>
    <row r="231" spans="1:15" x14ac:dyDescent="0.3">
      <c r="B231" s="35">
        <f t="shared" si="32"/>
        <v>800</v>
      </c>
      <c r="C231" s="55">
        <f t="shared" si="30"/>
        <v>12.471708</v>
      </c>
      <c r="D231" s="55">
        <v>0</v>
      </c>
      <c r="E231" s="55">
        <v>0</v>
      </c>
      <c r="H231" s="35">
        <f t="shared" si="33"/>
        <v>800</v>
      </c>
      <c r="I231" s="55">
        <f t="shared" si="31"/>
        <v>2.9808097514340344</v>
      </c>
      <c r="J231" s="55">
        <f t="shared" si="34"/>
        <v>0</v>
      </c>
      <c r="K231" s="55">
        <f t="shared" si="34"/>
        <v>0</v>
      </c>
      <c r="M231" s="39" t="s">
        <v>33</v>
      </c>
      <c r="N231" s="43">
        <v>2.9809999999999999</v>
      </c>
      <c r="O231" s="47"/>
    </row>
    <row r="232" spans="1:15" x14ac:dyDescent="0.3">
      <c r="B232" s="35">
        <f t="shared" si="32"/>
        <v>900</v>
      </c>
      <c r="C232" s="55">
        <f t="shared" si="30"/>
        <v>12.471708</v>
      </c>
      <c r="D232" s="55">
        <v>0</v>
      </c>
      <c r="E232" s="55">
        <v>0</v>
      </c>
      <c r="H232" s="35">
        <f t="shared" si="33"/>
        <v>900</v>
      </c>
      <c r="I232" s="55">
        <f t="shared" si="31"/>
        <v>2.9808097514340344</v>
      </c>
      <c r="J232" s="55">
        <f t="shared" si="34"/>
        <v>0</v>
      </c>
      <c r="K232" s="55">
        <f t="shared" si="34"/>
        <v>0</v>
      </c>
      <c r="M232" s="39" t="s">
        <v>34</v>
      </c>
      <c r="N232" s="43">
        <v>0</v>
      </c>
      <c r="O232" s="47"/>
    </row>
    <row r="233" spans="1:15" x14ac:dyDescent="0.3">
      <c r="B233" s="35">
        <f t="shared" si="32"/>
        <v>1000</v>
      </c>
      <c r="C233" s="55">
        <f t="shared" si="30"/>
        <v>12.471708</v>
      </c>
      <c r="D233" s="55">
        <v>0</v>
      </c>
      <c r="E233" s="55">
        <v>0</v>
      </c>
      <c r="H233" s="35">
        <f t="shared" si="33"/>
        <v>1000</v>
      </c>
      <c r="I233" s="55">
        <f t="shared" si="31"/>
        <v>2.9808097514340344</v>
      </c>
      <c r="J233" s="55">
        <f t="shared" si="34"/>
        <v>0</v>
      </c>
      <c r="K233" s="55">
        <f t="shared" si="34"/>
        <v>0</v>
      </c>
      <c r="M233" s="39" t="s">
        <v>36</v>
      </c>
      <c r="N233" s="43">
        <v>2.9809999999999999</v>
      </c>
      <c r="O233" s="47"/>
    </row>
    <row r="234" spans="1:15" x14ac:dyDescent="0.3">
      <c r="B234" s="35">
        <f t="shared" si="32"/>
        <v>1100</v>
      </c>
      <c r="C234" s="55">
        <f t="shared" si="30"/>
        <v>12.471708</v>
      </c>
      <c r="D234" s="55">
        <v>0</v>
      </c>
      <c r="E234" s="55">
        <v>0</v>
      </c>
      <c r="H234" s="35">
        <f t="shared" si="33"/>
        <v>1100</v>
      </c>
      <c r="I234" s="55">
        <f t="shared" si="31"/>
        <v>2.9808097514340344</v>
      </c>
      <c r="J234" s="55">
        <f t="shared" si="34"/>
        <v>0</v>
      </c>
      <c r="K234" s="55">
        <f t="shared" si="34"/>
        <v>0</v>
      </c>
      <c r="M234" s="39" t="s">
        <v>37</v>
      </c>
      <c r="N234" s="43">
        <v>0</v>
      </c>
      <c r="O234" s="47"/>
    </row>
    <row r="235" spans="1:15" ht="15" thickBot="1" x14ac:dyDescent="0.35">
      <c r="B235" s="35">
        <f t="shared" si="32"/>
        <v>1200</v>
      </c>
      <c r="C235" s="55">
        <f t="shared" si="30"/>
        <v>12.471708</v>
      </c>
      <c r="D235" s="55">
        <v>0</v>
      </c>
      <c r="E235" s="55">
        <v>0</v>
      </c>
      <c r="H235" s="35">
        <f t="shared" si="33"/>
        <v>1200</v>
      </c>
      <c r="I235" s="55">
        <f t="shared" si="31"/>
        <v>2.9808097514340344</v>
      </c>
      <c r="J235" s="55">
        <f t="shared" si="34"/>
        <v>0</v>
      </c>
      <c r="K235" s="55">
        <f t="shared" si="34"/>
        <v>0</v>
      </c>
      <c r="M235" s="44" t="s">
        <v>38</v>
      </c>
      <c r="N235" s="46">
        <v>0</v>
      </c>
      <c r="O235" s="47"/>
    </row>
    <row r="236" spans="1:15" x14ac:dyDescent="0.3">
      <c r="B236" s="35">
        <f t="shared" si="32"/>
        <v>1300</v>
      </c>
      <c r="C236" s="55">
        <f t="shared" si="30"/>
        <v>12.471708</v>
      </c>
      <c r="D236" s="55">
        <v>0</v>
      </c>
      <c r="E236" s="55">
        <v>0</v>
      </c>
      <c r="H236" s="35">
        <f t="shared" si="33"/>
        <v>1300</v>
      </c>
      <c r="I236" s="55">
        <f t="shared" si="31"/>
        <v>2.9808097514340344</v>
      </c>
      <c r="J236" s="55">
        <f t="shared" si="34"/>
        <v>0</v>
      </c>
      <c r="K236" s="55">
        <f t="shared" si="34"/>
        <v>0</v>
      </c>
      <c r="N236" s="47"/>
      <c r="O236" s="47"/>
    </row>
    <row r="237" spans="1:15" x14ac:dyDescent="0.3">
      <c r="B237" s="35">
        <f t="shared" si="32"/>
        <v>1400</v>
      </c>
      <c r="C237" s="55">
        <f t="shared" si="30"/>
        <v>12.471708</v>
      </c>
      <c r="D237" s="55">
        <v>0</v>
      </c>
      <c r="E237" s="55">
        <v>0</v>
      </c>
      <c r="H237" s="35">
        <f t="shared" si="33"/>
        <v>1400</v>
      </c>
      <c r="I237" s="55">
        <f t="shared" si="31"/>
        <v>2.9808097514340344</v>
      </c>
      <c r="J237" s="55">
        <f t="shared" si="34"/>
        <v>0</v>
      </c>
      <c r="K237" s="55">
        <f t="shared" si="34"/>
        <v>0</v>
      </c>
    </row>
    <row r="238" spans="1:15" x14ac:dyDescent="0.3">
      <c r="B238" s="35">
        <f t="shared" si="32"/>
        <v>1500</v>
      </c>
      <c r="C238" s="55">
        <f t="shared" si="30"/>
        <v>12.471708</v>
      </c>
      <c r="D238" s="55">
        <v>0</v>
      </c>
      <c r="E238" s="55">
        <v>0</v>
      </c>
      <c r="H238" s="35">
        <f t="shared" si="33"/>
        <v>1500</v>
      </c>
      <c r="I238" s="55">
        <f t="shared" si="31"/>
        <v>2.9808097514340344</v>
      </c>
      <c r="J238" s="55">
        <f t="shared" si="34"/>
        <v>0</v>
      </c>
      <c r="K238" s="55">
        <f t="shared" si="34"/>
        <v>0</v>
      </c>
    </row>
    <row r="239" spans="1:15" x14ac:dyDescent="0.3">
      <c r="B239" s="35">
        <f t="shared" si="32"/>
        <v>1600</v>
      </c>
      <c r="C239" s="55">
        <f t="shared" si="30"/>
        <v>12.471708</v>
      </c>
      <c r="D239" s="55">
        <v>0</v>
      </c>
      <c r="E239" s="55">
        <v>0</v>
      </c>
      <c r="H239" s="35">
        <f t="shared" si="33"/>
        <v>1600</v>
      </c>
      <c r="I239" s="55">
        <f t="shared" si="31"/>
        <v>2.9808097514340344</v>
      </c>
      <c r="J239" s="55">
        <f t="shared" si="34"/>
        <v>0</v>
      </c>
      <c r="K239" s="55">
        <f t="shared" si="34"/>
        <v>0</v>
      </c>
      <c r="M239" s="5" t="s">
        <v>94</v>
      </c>
      <c r="N239" s="115">
        <f>SUM(I226:L226)</f>
        <v>2.9808097514340344</v>
      </c>
    </row>
    <row r="240" spans="1:15" x14ac:dyDescent="0.3">
      <c r="B240" s="35">
        <f t="shared" si="32"/>
        <v>1700</v>
      </c>
      <c r="C240" s="55">
        <f t="shared" si="30"/>
        <v>12.471708</v>
      </c>
      <c r="D240" s="55">
        <v>0</v>
      </c>
      <c r="E240" s="55">
        <v>0</v>
      </c>
      <c r="H240" s="35">
        <f t="shared" si="33"/>
        <v>1700</v>
      </c>
      <c r="I240" s="55">
        <f t="shared" si="31"/>
        <v>2.9808097514340344</v>
      </c>
      <c r="J240" s="55">
        <f t="shared" si="34"/>
        <v>0</v>
      </c>
      <c r="K240" s="55">
        <f t="shared" si="34"/>
        <v>0</v>
      </c>
    </row>
    <row r="241" spans="2:12" x14ac:dyDescent="0.3">
      <c r="B241" s="35">
        <f t="shared" si="32"/>
        <v>1800</v>
      </c>
      <c r="C241" s="55">
        <f t="shared" si="30"/>
        <v>12.471708</v>
      </c>
      <c r="D241" s="55">
        <v>0</v>
      </c>
      <c r="E241" s="55">
        <v>0</v>
      </c>
      <c r="H241" s="35">
        <f t="shared" si="33"/>
        <v>1800</v>
      </c>
      <c r="I241" s="55">
        <f t="shared" si="31"/>
        <v>2.9808097514340344</v>
      </c>
      <c r="J241" s="55">
        <f t="shared" si="34"/>
        <v>0</v>
      </c>
      <c r="K241" s="55">
        <f t="shared" si="34"/>
        <v>0</v>
      </c>
    </row>
    <row r="242" spans="2:12" x14ac:dyDescent="0.3">
      <c r="B242" s="35">
        <f t="shared" si="32"/>
        <v>1900</v>
      </c>
      <c r="C242" s="55">
        <f t="shared" si="30"/>
        <v>12.471708</v>
      </c>
      <c r="D242" s="55">
        <v>0</v>
      </c>
      <c r="E242" s="55">
        <v>0</v>
      </c>
      <c r="H242" s="35">
        <f t="shared" si="33"/>
        <v>1900</v>
      </c>
      <c r="I242" s="55">
        <f t="shared" si="31"/>
        <v>2.9808097514340344</v>
      </c>
      <c r="J242" s="55">
        <f t="shared" si="34"/>
        <v>0</v>
      </c>
      <c r="K242" s="55">
        <f t="shared" si="34"/>
        <v>0</v>
      </c>
    </row>
    <row r="243" spans="2:12" x14ac:dyDescent="0.3">
      <c r="B243" s="35">
        <f t="shared" si="32"/>
        <v>2000</v>
      </c>
      <c r="C243" s="55">
        <f t="shared" si="30"/>
        <v>12.471708</v>
      </c>
      <c r="D243" s="55">
        <v>0</v>
      </c>
      <c r="E243" s="55">
        <v>0</v>
      </c>
      <c r="H243" s="35">
        <f t="shared" si="33"/>
        <v>2000</v>
      </c>
      <c r="I243" s="55">
        <f t="shared" si="31"/>
        <v>2.9808097514340344</v>
      </c>
      <c r="J243" s="55">
        <f t="shared" si="34"/>
        <v>0</v>
      </c>
      <c r="K243" s="55">
        <f t="shared" si="34"/>
        <v>0</v>
      </c>
    </row>
    <row r="244" spans="2:12" ht="15" thickBot="1" x14ac:dyDescent="0.35">
      <c r="B244" s="26">
        <f t="shared" si="32"/>
        <v>2100</v>
      </c>
      <c r="C244" s="58">
        <f t="shared" si="30"/>
        <v>12.471708</v>
      </c>
      <c r="D244" s="58">
        <v>0</v>
      </c>
      <c r="E244" s="58">
        <v>0</v>
      </c>
      <c r="F244" s="53"/>
      <c r="H244" s="26">
        <f t="shared" si="33"/>
        <v>2100</v>
      </c>
      <c r="I244" s="58">
        <f t="shared" si="31"/>
        <v>2.9808097514340344</v>
      </c>
      <c r="J244" s="58">
        <f t="shared" si="34"/>
        <v>0</v>
      </c>
      <c r="K244" s="58">
        <f t="shared" si="34"/>
        <v>0</v>
      </c>
      <c r="L244" s="53"/>
    </row>
    <row r="248" spans="2:12" ht="18" x14ac:dyDescent="0.3">
      <c r="B248" s="84"/>
    </row>
    <row r="249" spans="2:12" x14ac:dyDescent="0.3">
      <c r="C249" s="53"/>
      <c r="D249" s="53"/>
      <c r="E249" s="53"/>
      <c r="F249" s="53"/>
    </row>
    <row r="250" spans="2:12" x14ac:dyDescent="0.3">
      <c r="C250" s="53"/>
      <c r="D250" s="53"/>
      <c r="E250" s="53"/>
    </row>
    <row r="251" spans="2:12" x14ac:dyDescent="0.3">
      <c r="C251" s="53"/>
      <c r="D251" s="53"/>
      <c r="E251" s="53"/>
    </row>
    <row r="252" spans="2:12" x14ac:dyDescent="0.3">
      <c r="C252" s="53"/>
      <c r="D252" s="53"/>
      <c r="E252" s="53"/>
    </row>
    <row r="253" spans="2:12" x14ac:dyDescent="0.3">
      <c r="C253" s="53"/>
      <c r="D253" s="53"/>
      <c r="E253" s="53"/>
    </row>
    <row r="254" spans="2:12" x14ac:dyDescent="0.3">
      <c r="C254" s="53"/>
      <c r="D254" s="53"/>
      <c r="E254" s="53"/>
    </row>
    <row r="255" spans="2:12" x14ac:dyDescent="0.3">
      <c r="C255" s="53"/>
      <c r="D255" s="53"/>
      <c r="E255" s="53"/>
    </row>
    <row r="256" spans="2:12" x14ac:dyDescent="0.3">
      <c r="C256" s="53"/>
      <c r="D256" s="53"/>
      <c r="E256" s="53"/>
    </row>
    <row r="257" spans="1:12" x14ac:dyDescent="0.3">
      <c r="C257" s="53"/>
      <c r="D257" s="53"/>
      <c r="E257" s="53"/>
    </row>
    <row r="258" spans="1:12" x14ac:dyDescent="0.3">
      <c r="C258" s="53"/>
      <c r="D258" s="53"/>
      <c r="E258" s="53"/>
    </row>
    <row r="259" spans="1:12" x14ac:dyDescent="0.3">
      <c r="C259" s="53"/>
      <c r="D259" s="53"/>
      <c r="E259" s="53"/>
    </row>
    <row r="260" spans="1:12" x14ac:dyDescent="0.3">
      <c r="C260" s="53"/>
      <c r="D260" s="53"/>
      <c r="E260" s="53"/>
    </row>
    <row r="261" spans="1:12" x14ac:dyDescent="0.3">
      <c r="C261" s="53"/>
      <c r="D261" s="53"/>
      <c r="E261" s="53"/>
    </row>
    <row r="262" spans="1:12" x14ac:dyDescent="0.3">
      <c r="C262" s="53"/>
      <c r="D262" s="53"/>
      <c r="E262" s="53"/>
    </row>
    <row r="263" spans="1:12" x14ac:dyDescent="0.3">
      <c r="C263" s="53"/>
      <c r="D263" s="53"/>
      <c r="E263" s="53"/>
    </row>
    <row r="264" spans="1:12" x14ac:dyDescent="0.3">
      <c r="C264" s="53"/>
      <c r="D264" s="53"/>
      <c r="E264" s="53"/>
    </row>
    <row r="265" spans="1:12" x14ac:dyDescent="0.3">
      <c r="C265" s="53"/>
      <c r="D265" s="53"/>
      <c r="E265" s="53"/>
    </row>
    <row r="266" spans="1:12" x14ac:dyDescent="0.3">
      <c r="C266" s="53"/>
      <c r="D266" s="53"/>
      <c r="E266" s="53"/>
    </row>
    <row r="267" spans="1:12" x14ac:dyDescent="0.3">
      <c r="C267" s="53"/>
      <c r="D267" s="53"/>
      <c r="E267" s="53"/>
      <c r="F267" s="53"/>
    </row>
    <row r="272" spans="1:12" ht="15" thickBot="1" x14ac:dyDescent="0.35">
      <c r="A272" s="5" t="s">
        <v>106</v>
      </c>
      <c r="B272" s="208" t="s">
        <v>103</v>
      </c>
      <c r="C272" s="208"/>
      <c r="D272" s="208"/>
      <c r="E272" s="208"/>
      <c r="F272" s="208"/>
      <c r="H272" s="208" t="s">
        <v>104</v>
      </c>
      <c r="I272" s="208"/>
      <c r="J272" s="208"/>
      <c r="K272" s="208"/>
      <c r="L272" s="208"/>
    </row>
    <row r="273" spans="1:12" ht="18" x14ac:dyDescent="0.3">
      <c r="A273" s="5" t="s">
        <v>99</v>
      </c>
      <c r="B273" s="94" t="s">
        <v>47</v>
      </c>
      <c r="C273" s="16" t="s">
        <v>89</v>
      </c>
      <c r="D273" s="16" t="s">
        <v>37</v>
      </c>
      <c r="E273" s="16" t="s">
        <v>38</v>
      </c>
      <c r="F273" s="16" t="s">
        <v>90</v>
      </c>
      <c r="H273" s="94" t="s">
        <v>47</v>
      </c>
      <c r="I273" s="116" t="s">
        <v>89</v>
      </c>
      <c r="J273" s="116" t="s">
        <v>37</v>
      </c>
      <c r="K273" s="116" t="s">
        <v>38</v>
      </c>
      <c r="L273" s="16" t="s">
        <v>90</v>
      </c>
    </row>
    <row r="274" spans="1:12" ht="15" thickBot="1" x14ac:dyDescent="0.35">
      <c r="B274" s="35">
        <f>298.15</f>
        <v>298.14999999999998</v>
      </c>
      <c r="C274" s="55">
        <f>3/2*$D$2 + $D$2</f>
        <v>20.786180000000002</v>
      </c>
      <c r="D274" s="55">
        <f>3/2*$D$2  + $D$2</f>
        <v>20.786180000000002</v>
      </c>
      <c r="E274" s="55" t="e" cm="1">
        <f t="array" ref="E274">$D$2*SUM( ( ($B$12:$B$20) * ($B$12:$B$20)* EXP($B$12:$B$20/B274) ) / ( B274*B274* ( EXP(( $B$12:$B$20)/B274 )  -1)^2 ) ) +   $D$2</f>
        <v>#DIV/0!</v>
      </c>
      <c r="F274" s="58" t="s">
        <v>107</v>
      </c>
      <c r="H274" s="35">
        <f>298.15</f>
        <v>298.14999999999998</v>
      </c>
      <c r="I274" s="105">
        <f>(3/2*$D$2  + $D$2)/ 4.184</f>
        <v>4.9680162523900577</v>
      </c>
      <c r="J274" s="105">
        <f>(3/2*$D$2 + $D$2) / 4.184</f>
        <v>4.9680162523900577</v>
      </c>
      <c r="K274" s="105" t="e" cm="1">
        <f t="array" ref="K274" xml:space="preserve"> ($D$2*SUM( ( ($B$12:$B$20) * ($B$12:$B$20)* EXP($B$12:$B$20/B274) ) / ( B274*B274* ( EXP(( $B$12:$B$20)/B274 )  -1)^2 ) ) +   $D$2 ) / 4.184</f>
        <v>#DIV/0!</v>
      </c>
      <c r="L274" s="117" t="s">
        <v>107</v>
      </c>
    </row>
    <row r="275" spans="1:12" x14ac:dyDescent="0.3">
      <c r="B275" s="35">
        <f>300+100</f>
        <v>400</v>
      </c>
      <c r="C275" s="55">
        <f t="shared" ref="C275:C292" si="35">3/2*$D$2 + $D$2</f>
        <v>20.786180000000002</v>
      </c>
      <c r="D275" s="55">
        <f t="shared" ref="D275:D292" si="36">3/2*$D$2  + $D$2</f>
        <v>20.786180000000002</v>
      </c>
      <c r="E275" s="55" t="e" cm="1">
        <f t="array" ref="E275">$D$2*SUM( ( ($B$12:$B$20) * ($B$12:$B$20)* EXP($B$12:$B$20/B275) ) / ( B275*B275* ( EXP(( $B$12:$B$20)/B275 )  -1)^2 ) ) +   $D$2</f>
        <v>#DIV/0!</v>
      </c>
      <c r="H275" s="35">
        <f>300+100</f>
        <v>400</v>
      </c>
      <c r="I275" s="55">
        <f t="shared" ref="I275:I292" si="37">(3/2*$D$2  + $D$2)/ 4.184</f>
        <v>4.9680162523900577</v>
      </c>
      <c r="J275" s="55">
        <f t="shared" ref="J275:J292" si="38">(3/2*$D$2 + $D$2) / 4.184</f>
        <v>4.9680162523900577</v>
      </c>
      <c r="K275" s="55" t="e" cm="1">
        <f t="array" ref="K275" xml:space="preserve"> ($D$2*SUM( ( ($B$12:$B$20) * ($B$12:$B$20)* EXP($B$12:$B$20/B275) ) / ( B275*B275* ( EXP(( $B$12:$B$20)/B275)  -1)^2 ) ) +   $D$2 ) / 4.184</f>
        <v>#DIV/0!</v>
      </c>
    </row>
    <row r="276" spans="1:12" x14ac:dyDescent="0.3">
      <c r="B276" s="35">
        <f t="shared" ref="B276:B292" si="39">B275+100</f>
        <v>500</v>
      </c>
      <c r="C276" s="55">
        <f t="shared" si="35"/>
        <v>20.786180000000002</v>
      </c>
      <c r="D276" s="55">
        <f t="shared" si="36"/>
        <v>20.786180000000002</v>
      </c>
      <c r="E276" s="55" t="e" cm="1">
        <f t="array" ref="E276">$D$2*SUM( ( ($B$12:$B$20) * ($B$12:$B$20)* EXP($B$12:$B$20/B276) ) / ( B276*B276* ( EXP(( $B$12:$B$20)/B276 )  -1)^2 ) ) +   $D$2</f>
        <v>#DIV/0!</v>
      </c>
      <c r="H276" s="35">
        <f t="shared" ref="H276:H292" si="40">H275+100</f>
        <v>500</v>
      </c>
      <c r="I276" s="55">
        <f t="shared" si="37"/>
        <v>4.9680162523900577</v>
      </c>
      <c r="J276" s="55">
        <f t="shared" si="38"/>
        <v>4.9680162523900577</v>
      </c>
      <c r="K276" s="55" t="e" cm="1">
        <f t="array" ref="K276" xml:space="preserve"> ($D$2*SUM( ( ($B$12:$B$20) * ($B$12:$B$20)* EXP($B$12:$B$20/B276) ) / ( B276*B276* ( EXP(( $B$12:$B$20)/B276)  -1)^2 ) ) +   $D$2 ) / 4.184</f>
        <v>#DIV/0!</v>
      </c>
    </row>
    <row r="277" spans="1:12" x14ac:dyDescent="0.3">
      <c r="B277" s="35">
        <f t="shared" si="39"/>
        <v>600</v>
      </c>
      <c r="C277" s="55">
        <f t="shared" si="35"/>
        <v>20.786180000000002</v>
      </c>
      <c r="D277" s="55">
        <f t="shared" si="36"/>
        <v>20.786180000000002</v>
      </c>
      <c r="E277" s="55" t="e" cm="1">
        <f t="array" ref="E277">$D$2*SUM( ( ($B$12:$B$20) * ($B$12:$B$20)* EXP($B$12:$B$20/B277) ) / ( B277*B277* ( EXP(( $B$12:$B$20)/B277 )  -1)^2 ) ) +   $D$2</f>
        <v>#DIV/0!</v>
      </c>
      <c r="H277" s="35">
        <f t="shared" si="40"/>
        <v>600</v>
      </c>
      <c r="I277" s="55">
        <f t="shared" si="37"/>
        <v>4.9680162523900577</v>
      </c>
      <c r="J277" s="55">
        <f t="shared" si="38"/>
        <v>4.9680162523900577</v>
      </c>
      <c r="K277" s="55" t="e" cm="1">
        <f t="array" ref="K277" xml:space="preserve"> ($D$2*SUM( ( ($B$12:$B$20) * ($B$12:$B$20)* EXP($B$12:$B$20/B277) ) / ( B277*B277* ( EXP(( $B$12:$B$20)/B277)  -1)^2 ) ) +   $D$2 ) / 4.184</f>
        <v>#DIV/0!</v>
      </c>
    </row>
    <row r="278" spans="1:12" x14ac:dyDescent="0.3">
      <c r="B278" s="35">
        <f t="shared" si="39"/>
        <v>700</v>
      </c>
      <c r="C278" s="55">
        <f t="shared" si="35"/>
        <v>20.786180000000002</v>
      </c>
      <c r="D278" s="55">
        <f t="shared" si="36"/>
        <v>20.786180000000002</v>
      </c>
      <c r="E278" s="55" t="e" cm="1">
        <f t="array" ref="E278">$D$2*SUM( ( ($B$12:$B$20) * ($B$12:$B$20)* EXP($B$12:$B$20/B278) ) / ( B278*B278* ( EXP(( $B$12:$B$20)/B278 )  -1)^2 ) ) +   $D$2</f>
        <v>#DIV/0!</v>
      </c>
      <c r="H278" s="35">
        <f t="shared" si="40"/>
        <v>700</v>
      </c>
      <c r="I278" s="55">
        <f t="shared" si="37"/>
        <v>4.9680162523900577</v>
      </c>
      <c r="J278" s="55">
        <f t="shared" si="38"/>
        <v>4.9680162523900577</v>
      </c>
      <c r="K278" s="55" t="e" cm="1">
        <f t="array" ref="K278" xml:space="preserve"> ($D$2*SUM( ( ($B$12:$B$20) * ($B$12:$B$20)* EXP($B$12:$B$20/B278) ) / ( B278*B278* ( EXP(( $B$12:$B$20)/B278)  -1)^2 ) ) +   $D$2 ) / 4.184</f>
        <v>#DIV/0!</v>
      </c>
    </row>
    <row r="279" spans="1:12" x14ac:dyDescent="0.3">
      <c r="B279" s="35">
        <f t="shared" si="39"/>
        <v>800</v>
      </c>
      <c r="C279" s="55">
        <f t="shared" si="35"/>
        <v>20.786180000000002</v>
      </c>
      <c r="D279" s="55">
        <f t="shared" si="36"/>
        <v>20.786180000000002</v>
      </c>
      <c r="E279" s="55" t="e" cm="1">
        <f t="array" ref="E279">$D$2*SUM( ( ($B$12:$B$20) * ($B$12:$B$20)* EXP($B$12:$B$20/B279) ) / ( B279*B279* ( EXP(( $B$12:$B$20)/B279 )  -1)^2 ) ) +   $D$2</f>
        <v>#DIV/0!</v>
      </c>
      <c r="H279" s="35">
        <f t="shared" si="40"/>
        <v>800</v>
      </c>
      <c r="I279" s="55">
        <f t="shared" si="37"/>
        <v>4.9680162523900577</v>
      </c>
      <c r="J279" s="55">
        <f t="shared" si="38"/>
        <v>4.9680162523900577</v>
      </c>
      <c r="K279" s="55" t="e" cm="1">
        <f t="array" ref="K279" xml:space="preserve"> ($D$2*SUM( ( ($B$12:$B$20) * ($B$12:$B$20)* EXP($B$12:$B$20/B279) ) / ( B279*B279* ( EXP(( $B$12:$B$20)/B279)  -1)^2 ) ) +   $D$2 ) / 4.184</f>
        <v>#DIV/0!</v>
      </c>
    </row>
    <row r="280" spans="1:12" x14ac:dyDescent="0.3">
      <c r="B280" s="35">
        <f t="shared" si="39"/>
        <v>900</v>
      </c>
      <c r="C280" s="55">
        <f t="shared" si="35"/>
        <v>20.786180000000002</v>
      </c>
      <c r="D280" s="55">
        <f t="shared" si="36"/>
        <v>20.786180000000002</v>
      </c>
      <c r="E280" s="55" t="e" cm="1">
        <f t="array" ref="E280">$D$2*SUM( ( ($B$12:$B$20) * ($B$12:$B$20)* EXP($B$12:$B$20/B280) ) / ( B280*B280* ( EXP(( $B$12:$B$20)/B280 )  -1)^2 ) ) +   $D$2</f>
        <v>#DIV/0!</v>
      </c>
      <c r="H280" s="35">
        <f t="shared" si="40"/>
        <v>900</v>
      </c>
      <c r="I280" s="55">
        <f t="shared" si="37"/>
        <v>4.9680162523900577</v>
      </c>
      <c r="J280" s="55">
        <f t="shared" si="38"/>
        <v>4.9680162523900577</v>
      </c>
      <c r="K280" s="55" t="e" cm="1">
        <f t="array" ref="K280" xml:space="preserve"> ($D$2*SUM( ( ($B$12:$B$20) * ($B$12:$B$20)* EXP($B$12:$B$20/B280) ) / ( B280*B280* ( EXP(( $B$12:$B$20)/B280)  -1)^2 ) ) +   $D$2 ) / 4.184</f>
        <v>#DIV/0!</v>
      </c>
    </row>
    <row r="281" spans="1:12" x14ac:dyDescent="0.3">
      <c r="B281" s="35">
        <f t="shared" si="39"/>
        <v>1000</v>
      </c>
      <c r="C281" s="55">
        <f t="shared" si="35"/>
        <v>20.786180000000002</v>
      </c>
      <c r="D281" s="55">
        <f t="shared" si="36"/>
        <v>20.786180000000002</v>
      </c>
      <c r="E281" s="55" t="e" cm="1">
        <f t="array" ref="E281">$D$2*SUM( ( ($B$12:$B$20) * ($B$12:$B$20)* EXP($B$12:$B$20/B281) ) / ( B281*B281* ( EXP(( $B$12:$B$20)/B281 )  -1)^2 ) ) +   $D$2</f>
        <v>#DIV/0!</v>
      </c>
      <c r="H281" s="35">
        <f t="shared" si="40"/>
        <v>1000</v>
      </c>
      <c r="I281" s="55">
        <f t="shared" si="37"/>
        <v>4.9680162523900577</v>
      </c>
      <c r="J281" s="55">
        <f t="shared" si="38"/>
        <v>4.9680162523900577</v>
      </c>
      <c r="K281" s="55" t="e" cm="1">
        <f t="array" ref="K281" xml:space="preserve"> ($D$2*SUM( ( ($B$12:$B$20) * ($B$12:$B$20)* EXP($B$12:$B$20/B281) ) / ( B281*B281* ( EXP(( $B$12:$B$20)/B281)  -1)^2 ) ) +   $D$2 ) / 4.184</f>
        <v>#DIV/0!</v>
      </c>
    </row>
    <row r="282" spans="1:12" x14ac:dyDescent="0.3">
      <c r="B282" s="35">
        <f t="shared" si="39"/>
        <v>1100</v>
      </c>
      <c r="C282" s="55">
        <f t="shared" si="35"/>
        <v>20.786180000000002</v>
      </c>
      <c r="D282" s="55">
        <f t="shared" si="36"/>
        <v>20.786180000000002</v>
      </c>
      <c r="E282" s="55" t="e" cm="1">
        <f t="array" ref="E282">$D$2*SUM( ( ($B$12:$B$20) * ($B$12:$B$20)* EXP($B$12:$B$20/B282) ) / ( B282*B282* ( EXP(( $B$12:$B$20)/B282 )  -1)^2 ) ) +   $D$2</f>
        <v>#DIV/0!</v>
      </c>
      <c r="H282" s="35">
        <f t="shared" si="40"/>
        <v>1100</v>
      </c>
      <c r="I282" s="55">
        <f t="shared" si="37"/>
        <v>4.9680162523900577</v>
      </c>
      <c r="J282" s="55">
        <f t="shared" si="38"/>
        <v>4.9680162523900577</v>
      </c>
      <c r="K282" s="55" t="e" cm="1">
        <f t="array" ref="K282" xml:space="preserve"> ($D$2*SUM( ( ($B$12:$B$20) * ($B$12:$B$20)* EXP($B$12:$B$20/B282) ) / ( B282*B282* ( EXP(( $B$12:$B$20)/B282)  -1)^2 ) ) +   $D$2 ) / 4.184</f>
        <v>#DIV/0!</v>
      </c>
    </row>
    <row r="283" spans="1:12" x14ac:dyDescent="0.3">
      <c r="B283" s="35">
        <f t="shared" si="39"/>
        <v>1200</v>
      </c>
      <c r="C283" s="55">
        <f t="shared" si="35"/>
        <v>20.786180000000002</v>
      </c>
      <c r="D283" s="55">
        <f t="shared" si="36"/>
        <v>20.786180000000002</v>
      </c>
      <c r="E283" s="55" t="e" cm="1">
        <f t="array" ref="E283">$D$2*SUM( ( ($B$12:$B$20) * ($B$12:$B$20)* EXP($B$12:$B$20/B283) ) / ( B283*B283* ( EXP(( $B$12:$B$20)/B283 )  -1)^2 ) ) +   $D$2</f>
        <v>#DIV/0!</v>
      </c>
      <c r="H283" s="35">
        <f t="shared" si="40"/>
        <v>1200</v>
      </c>
      <c r="I283" s="55">
        <f t="shared" si="37"/>
        <v>4.9680162523900577</v>
      </c>
      <c r="J283" s="55">
        <f t="shared" si="38"/>
        <v>4.9680162523900577</v>
      </c>
      <c r="K283" s="55" t="e" cm="1">
        <f t="array" ref="K283" xml:space="preserve"> ($D$2*SUM( ( ($B$12:$B$20) * ($B$12:$B$20)* EXP($B$12:$B$20/B283) ) / ( B283*B283* ( EXP(( $B$12:$B$20)/B283)  -1)^2 ) ) +   $D$2 ) / 4.184</f>
        <v>#DIV/0!</v>
      </c>
    </row>
    <row r="284" spans="1:12" x14ac:dyDescent="0.3">
      <c r="B284" s="35">
        <f t="shared" si="39"/>
        <v>1300</v>
      </c>
      <c r="C284" s="55">
        <f t="shared" si="35"/>
        <v>20.786180000000002</v>
      </c>
      <c r="D284" s="55">
        <f t="shared" si="36"/>
        <v>20.786180000000002</v>
      </c>
      <c r="E284" s="55" t="e" cm="1">
        <f t="array" ref="E284">$D$2*SUM( ( ($B$12:$B$20) * ($B$12:$B$20)* EXP($B$12:$B$20/B284) ) / ( B284*B284* ( EXP(( $B$12:$B$20)/B284 )  -1)^2 ) ) +   $D$2</f>
        <v>#DIV/0!</v>
      </c>
      <c r="H284" s="35">
        <f t="shared" si="40"/>
        <v>1300</v>
      </c>
      <c r="I284" s="55">
        <f t="shared" si="37"/>
        <v>4.9680162523900577</v>
      </c>
      <c r="J284" s="55">
        <f t="shared" si="38"/>
        <v>4.9680162523900577</v>
      </c>
      <c r="K284" s="55" t="e" cm="1">
        <f t="array" ref="K284" xml:space="preserve"> ($D$2*SUM( ( ($B$12:$B$20) * ($B$12:$B$20)* EXP($B$12:$B$20/B284) ) / ( B284*B284* ( EXP(( $B$12:$B$20)/B284)  -1)^2 ) ) +   $D$2 ) / 4.184</f>
        <v>#DIV/0!</v>
      </c>
    </row>
    <row r="285" spans="1:12" x14ac:dyDescent="0.3">
      <c r="B285" s="35">
        <f t="shared" si="39"/>
        <v>1400</v>
      </c>
      <c r="C285" s="55">
        <f t="shared" si="35"/>
        <v>20.786180000000002</v>
      </c>
      <c r="D285" s="55">
        <f t="shared" si="36"/>
        <v>20.786180000000002</v>
      </c>
      <c r="E285" s="55" t="e" cm="1">
        <f t="array" ref="E285">$D$2*SUM( ( ($B$12:$B$20) * ($B$12:$B$20)* EXP($B$12:$B$20/B285) ) / ( B285*B285* ( EXP(( $B$12:$B$20)/B285 )  -1)^2 ) ) +   $D$2</f>
        <v>#DIV/0!</v>
      </c>
      <c r="H285" s="35">
        <f t="shared" si="40"/>
        <v>1400</v>
      </c>
      <c r="I285" s="55">
        <f t="shared" si="37"/>
        <v>4.9680162523900577</v>
      </c>
      <c r="J285" s="55">
        <f t="shared" si="38"/>
        <v>4.9680162523900577</v>
      </c>
      <c r="K285" s="55" t="e" cm="1">
        <f t="array" ref="K285" xml:space="preserve"> ($D$2*SUM( ( ($B$12:$B$20) * ($B$12:$B$20)* EXP($B$12:$B$20/B285) ) / ( B285*B285* ( EXP(( $B$12:$B$20)/B285)  -1)^2 ) ) +   $D$2 ) / 4.184</f>
        <v>#DIV/0!</v>
      </c>
    </row>
    <row r="286" spans="1:12" x14ac:dyDescent="0.3">
      <c r="B286" s="35">
        <f t="shared" si="39"/>
        <v>1500</v>
      </c>
      <c r="C286" s="55">
        <f t="shared" si="35"/>
        <v>20.786180000000002</v>
      </c>
      <c r="D286" s="55">
        <f t="shared" si="36"/>
        <v>20.786180000000002</v>
      </c>
      <c r="E286" s="55" t="e" cm="1">
        <f t="array" ref="E286">$D$2*SUM( ( ($B$12:$B$20) * ($B$12:$B$20)* EXP($B$12:$B$20/B286) ) / ( B286*B286* ( EXP(( $B$12:$B$20)/B286 )  -1)^2 ) ) +   $D$2</f>
        <v>#DIV/0!</v>
      </c>
      <c r="H286" s="35">
        <f t="shared" si="40"/>
        <v>1500</v>
      </c>
      <c r="I286" s="55">
        <f t="shared" si="37"/>
        <v>4.9680162523900577</v>
      </c>
      <c r="J286" s="55">
        <f t="shared" si="38"/>
        <v>4.9680162523900577</v>
      </c>
      <c r="K286" s="55" t="e" cm="1">
        <f t="array" ref="K286" xml:space="preserve"> ($D$2*SUM( ( ($B$12:$B$20) * ($B$12:$B$20)* EXP($B$12:$B$20/B286) ) / ( B286*B286* ( EXP(( $B$12:$B$20)/B286)  -1)^2 ) ) +   $D$2 ) / 4.184</f>
        <v>#DIV/0!</v>
      </c>
    </row>
    <row r="287" spans="1:12" x14ac:dyDescent="0.3">
      <c r="B287" s="35">
        <f t="shared" si="39"/>
        <v>1600</v>
      </c>
      <c r="C287" s="55">
        <f t="shared" si="35"/>
        <v>20.786180000000002</v>
      </c>
      <c r="D287" s="55">
        <f t="shared" si="36"/>
        <v>20.786180000000002</v>
      </c>
      <c r="E287" s="55" t="e" cm="1">
        <f t="array" ref="E287">$D$2*SUM( ( ($B$12:$B$20) * ($B$12:$B$20)* EXP($B$12:$B$20/B287) ) / ( B287*B287* ( EXP(( $B$12:$B$20)/B287 )  -1)^2 ) ) +   $D$2</f>
        <v>#DIV/0!</v>
      </c>
      <c r="H287" s="35">
        <f t="shared" si="40"/>
        <v>1600</v>
      </c>
      <c r="I287" s="55">
        <f t="shared" si="37"/>
        <v>4.9680162523900577</v>
      </c>
      <c r="J287" s="55">
        <f t="shared" si="38"/>
        <v>4.9680162523900577</v>
      </c>
      <c r="K287" s="55" t="e" cm="1">
        <f t="array" ref="K287" xml:space="preserve"> ($D$2*SUM( ( ($B$12:$B$20) * ($B$12:$B$20)* EXP($B$12:$B$20/B287) ) / ( B287*B287* ( EXP(( $B$12:$B$20)/B287)  -1)^2 ) ) +   $D$2 ) / 4.184</f>
        <v>#DIV/0!</v>
      </c>
    </row>
    <row r="288" spans="1:12" x14ac:dyDescent="0.3">
      <c r="B288" s="35">
        <f t="shared" si="39"/>
        <v>1700</v>
      </c>
      <c r="C288" s="55">
        <f t="shared" si="35"/>
        <v>20.786180000000002</v>
      </c>
      <c r="D288" s="55">
        <f t="shared" si="36"/>
        <v>20.786180000000002</v>
      </c>
      <c r="E288" s="55" t="e" cm="1">
        <f t="array" ref="E288">$D$2*SUM( ( ($B$12:$B$20) * ($B$12:$B$20)* EXP($B$12:$B$20/B288) ) / ( B288*B288* ( EXP(( $B$12:$B$20)/B288 )  -1)^2 ) ) +   $D$2</f>
        <v>#DIV/0!</v>
      </c>
      <c r="H288" s="35">
        <f t="shared" si="40"/>
        <v>1700</v>
      </c>
      <c r="I288" s="55">
        <f t="shared" si="37"/>
        <v>4.9680162523900577</v>
      </c>
      <c r="J288" s="55">
        <f t="shared" si="38"/>
        <v>4.9680162523900577</v>
      </c>
      <c r="K288" s="55" t="e" cm="1">
        <f t="array" ref="K288" xml:space="preserve"> ($D$2*SUM( ( ($B$12:$B$20) * ($B$12:$B$20)* EXP($B$12:$B$20/B288) ) / ( B288*B288* ( EXP(( $B$12:$B$20)/B288)  -1)^2 ) ) +   $D$2 ) / 4.184</f>
        <v>#DIV/0!</v>
      </c>
    </row>
    <row r="289" spans="2:12" x14ac:dyDescent="0.3">
      <c r="B289" s="35">
        <f t="shared" si="39"/>
        <v>1800</v>
      </c>
      <c r="C289" s="55">
        <f t="shared" si="35"/>
        <v>20.786180000000002</v>
      </c>
      <c r="D289" s="55">
        <f t="shared" si="36"/>
        <v>20.786180000000002</v>
      </c>
      <c r="E289" s="55" t="e" cm="1">
        <f t="array" ref="E289">$D$2*SUM( ( ($B$12:$B$20) * ($B$12:$B$20)* EXP($B$12:$B$20/B289) ) / ( B289*B289* ( EXP(( $B$12:$B$20)/B289 )  -1)^2 ) ) +   $D$2</f>
        <v>#DIV/0!</v>
      </c>
      <c r="H289" s="35">
        <f t="shared" si="40"/>
        <v>1800</v>
      </c>
      <c r="I289" s="55">
        <f t="shared" si="37"/>
        <v>4.9680162523900577</v>
      </c>
      <c r="J289" s="55">
        <f t="shared" si="38"/>
        <v>4.9680162523900577</v>
      </c>
      <c r="K289" s="55" t="e" cm="1">
        <f t="array" ref="K289" xml:space="preserve"> ($D$2*SUM( ( ($B$12:$B$20) * ($B$12:$B$20)* EXP($B$12:$B$20/B289) ) / ( B289*B289* ( EXP(( $B$12:$B$20)/B289)  -1)^2 ) ) +   $D$2 ) / 4.184</f>
        <v>#DIV/0!</v>
      </c>
    </row>
    <row r="290" spans="2:12" x14ac:dyDescent="0.3">
      <c r="B290" s="35">
        <f t="shared" si="39"/>
        <v>1900</v>
      </c>
      <c r="C290" s="55">
        <f t="shared" si="35"/>
        <v>20.786180000000002</v>
      </c>
      <c r="D290" s="55">
        <f t="shared" si="36"/>
        <v>20.786180000000002</v>
      </c>
      <c r="E290" s="55" t="e" cm="1">
        <f t="array" ref="E290">$D$2*SUM( ( ($B$12:$B$20) * ($B$12:$B$20)* EXP($B$12:$B$20/B290) ) / ( B290*B290* ( EXP(( $B$12:$B$20)/B290 )  -1)^2 ) ) +   $D$2</f>
        <v>#DIV/0!</v>
      </c>
      <c r="H290" s="35">
        <f t="shared" si="40"/>
        <v>1900</v>
      </c>
      <c r="I290" s="55">
        <f t="shared" si="37"/>
        <v>4.9680162523900577</v>
      </c>
      <c r="J290" s="55">
        <f t="shared" si="38"/>
        <v>4.9680162523900577</v>
      </c>
      <c r="K290" s="55" t="e" cm="1">
        <f t="array" ref="K290" xml:space="preserve"> ($D$2*SUM( ( ($B$12:$B$20) * ($B$12:$B$20)* EXP($B$12:$B$20/B290) ) / ( B290*B290* ( EXP(( $B$12:$B$20)/B290)  -1)^2 ) ) +   $D$2 ) / 4.184</f>
        <v>#DIV/0!</v>
      </c>
    </row>
    <row r="291" spans="2:12" x14ac:dyDescent="0.3">
      <c r="B291" s="35">
        <f t="shared" si="39"/>
        <v>2000</v>
      </c>
      <c r="C291" s="55">
        <f t="shared" si="35"/>
        <v>20.786180000000002</v>
      </c>
      <c r="D291" s="55">
        <f t="shared" si="36"/>
        <v>20.786180000000002</v>
      </c>
      <c r="E291" s="55" t="e" cm="1">
        <f t="array" ref="E291">$D$2*SUM( ( ($B$12:$B$20) * ($B$12:$B$20)* EXP($B$12:$B$20/B291) ) / ( B291*B291* ( EXP(( $B$12:$B$20)/B291 )  -1)^2 ) ) +   $D$2</f>
        <v>#DIV/0!</v>
      </c>
      <c r="H291" s="35">
        <f t="shared" si="40"/>
        <v>2000</v>
      </c>
      <c r="I291" s="55">
        <f t="shared" si="37"/>
        <v>4.9680162523900577</v>
      </c>
      <c r="J291" s="55">
        <f t="shared" si="38"/>
        <v>4.9680162523900577</v>
      </c>
      <c r="K291" s="55" t="e" cm="1">
        <f t="array" ref="K291" xml:space="preserve"> ($D$2*SUM( ( ($B$12:$B$20) * ($B$12:$B$20)* EXP($B$12:$B$20/B291) ) / ( B291*B291* ( EXP(( $B$12:$B$20)/B291)  -1)^2 ) ) +   $D$2 ) / 4.184</f>
        <v>#DIV/0!</v>
      </c>
    </row>
    <row r="292" spans="2:12" ht="15" thickBot="1" x14ac:dyDescent="0.35">
      <c r="B292" s="26">
        <f t="shared" si="39"/>
        <v>2100</v>
      </c>
      <c r="C292" s="58">
        <f t="shared" si="35"/>
        <v>20.786180000000002</v>
      </c>
      <c r="D292" s="58">
        <f t="shared" si="36"/>
        <v>20.786180000000002</v>
      </c>
      <c r="E292" s="58" t="e" cm="1">
        <f t="array" ref="E292">$D$2*SUM( ( ($B$12:$B$20) * ($B$12:$B$20)* EXP($B$12:$B$20/B292) ) / ( B292*B292* ( EXP(( $B$12:$B$20)/B292 )  -1)^2 ) ) +   $D$2</f>
        <v>#DIV/0!</v>
      </c>
      <c r="F292" s="53"/>
      <c r="H292" s="26">
        <f t="shared" si="40"/>
        <v>2100</v>
      </c>
      <c r="I292" s="58">
        <f t="shared" si="37"/>
        <v>4.9680162523900577</v>
      </c>
      <c r="J292" s="58">
        <f t="shared" si="38"/>
        <v>4.9680162523900577</v>
      </c>
      <c r="K292" s="58" t="e" cm="1">
        <f t="array" ref="K292" xml:space="preserve"> ($D$2*SUM( ( ($B$12:$B$20) * ($B$12:$B$20)* EXP($B$12:$B$20/B292) ) / ( B292*B292* ( EXP(( $B$12:$B$20)/B292)  -1)^2 ) ) +   $D$2 ) / 4.184</f>
        <v>#DIV/0!</v>
      </c>
      <c r="L292" s="53"/>
    </row>
  </sheetData>
  <mergeCells count="14">
    <mergeCell ref="B272:F272"/>
    <mergeCell ref="H272:L272"/>
    <mergeCell ref="D52:W52"/>
    <mergeCell ref="B174:F174"/>
    <mergeCell ref="H174:K174"/>
    <mergeCell ref="M177:N177"/>
    <mergeCell ref="M178:N178"/>
    <mergeCell ref="B200:F200"/>
    <mergeCell ref="H200:L200"/>
    <mergeCell ref="M204:N204"/>
    <mergeCell ref="M205:N205"/>
    <mergeCell ref="B224:F224"/>
    <mergeCell ref="H224:L224"/>
    <mergeCell ref="M228:N2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CEA2-0764-4C3B-9E9D-6537531FA345}">
  <dimension ref="A1:W292"/>
  <sheetViews>
    <sheetView topLeftCell="A118" workbookViewId="0">
      <selection activeCell="L159" sqref="L159"/>
    </sheetView>
  </sheetViews>
  <sheetFormatPr defaultRowHeight="14.4" x14ac:dyDescent="0.3"/>
  <cols>
    <col min="1" max="1" width="29.88671875" style="5" bestFit="1" customWidth="1"/>
    <col min="2" max="2" width="16.5546875" style="5" bestFit="1" customWidth="1"/>
    <col min="3" max="3" width="14.6640625" style="5" bestFit="1" customWidth="1"/>
    <col min="4" max="4" width="29.88671875" style="5" bestFit="1" customWidth="1"/>
    <col min="5" max="5" width="14.6640625" style="5" bestFit="1" customWidth="1"/>
    <col min="6" max="6" width="19.44140625" style="5" bestFit="1" customWidth="1"/>
    <col min="7" max="7" width="16" style="5" bestFit="1" customWidth="1"/>
    <col min="8" max="8" width="19.21875" style="5" bestFit="1" customWidth="1"/>
    <col min="9" max="9" width="16.77734375" style="5" bestFit="1" customWidth="1"/>
    <col min="10" max="10" width="20.33203125" style="5" bestFit="1" customWidth="1"/>
    <col min="11" max="11" width="21.109375" style="5" bestFit="1" customWidth="1"/>
    <col min="12" max="12" width="15.21875" style="5" bestFit="1" customWidth="1"/>
    <col min="13" max="14" width="20.33203125" style="5" bestFit="1" customWidth="1"/>
    <col min="15" max="15" width="14.77734375" style="5" bestFit="1" customWidth="1"/>
    <col min="16" max="16" width="8.88671875" style="5"/>
    <col min="17" max="17" width="12.33203125" style="5" customWidth="1"/>
    <col min="18" max="18" width="12.77734375" style="5" bestFit="1" customWidth="1"/>
    <col min="19" max="19" width="16" style="5" bestFit="1" customWidth="1"/>
    <col min="20" max="16384" width="8.88671875" style="5"/>
  </cols>
  <sheetData>
    <row r="1" spans="1:2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4" t="s">
        <v>11</v>
      </c>
    </row>
    <row r="2" spans="1:21" ht="15" thickBot="1" x14ac:dyDescent="0.35">
      <c r="A2" s="6">
        <v>1.3805999999999999E-23</v>
      </c>
      <c r="B2" s="7">
        <v>3.1415899999999999</v>
      </c>
      <c r="C2" s="7">
        <v>6.626068E-34</v>
      </c>
      <c r="D2" s="7">
        <v>8.3144720000000003</v>
      </c>
      <c r="E2" s="8">
        <f>1.00783*1.66E-27*2</f>
        <v>3.3459956E-27</v>
      </c>
      <c r="F2" s="7">
        <v>6.0221407599999999E+23</v>
      </c>
      <c r="G2" s="7">
        <f>((2*$E$2*$B$2*$A$2*$H$2)/($C$2*$C$2))^1.5</f>
        <v>2.7672198169301061E+30</v>
      </c>
      <c r="H2" s="8">
        <f>298.15</f>
        <v>298.14999999999998</v>
      </c>
      <c r="I2" s="9">
        <v>29979300000</v>
      </c>
      <c r="J2" s="10">
        <v>101325</v>
      </c>
      <c r="K2" s="9">
        <f>(E2*1000)/1.00783</f>
        <v>3.3200000000000002E-24</v>
      </c>
      <c r="L2" s="10">
        <f>F2*K2</f>
        <v>1.9993507323200002</v>
      </c>
    </row>
    <row r="3" spans="1:21" ht="15" thickBot="1" x14ac:dyDescent="0.35"/>
    <row r="4" spans="1:21" ht="15" thickBot="1" x14ac:dyDescent="0.35">
      <c r="E4" s="11" t="s">
        <v>12</v>
      </c>
      <c r="F4" s="12" t="s">
        <v>13</v>
      </c>
      <c r="G4" s="13" t="s">
        <v>14</v>
      </c>
      <c r="I4" s="11" t="s">
        <v>15</v>
      </c>
      <c r="J4" s="12" t="s">
        <v>16</v>
      </c>
      <c r="K4" s="12" t="s">
        <v>17</v>
      </c>
      <c r="L4" s="14" t="s">
        <v>18</v>
      </c>
    </row>
    <row r="5" spans="1:21" ht="16.8" thickBot="1" x14ac:dyDescent="0.35">
      <c r="B5" s="15" t="s">
        <v>19</v>
      </c>
      <c r="D5" s="16" t="s">
        <v>20</v>
      </c>
      <c r="E5" s="17">
        <v>0</v>
      </c>
      <c r="F5" s="18">
        <v>0.99311000000000005</v>
      </c>
      <c r="G5" s="19">
        <v>0.99311000000000005</v>
      </c>
      <c r="I5" s="20">
        <v>1.0170999999999999E-2</v>
      </c>
      <c r="J5" s="21">
        <f>I5*627.509474</f>
        <v>6.3823988600539989</v>
      </c>
      <c r="K5" s="21">
        <f>I5*4.35974E-18</f>
        <v>4.4342915539999994E-20</v>
      </c>
      <c r="L5" s="22">
        <f>(2*K5)/(C2)</f>
        <v>133843828768433.98</v>
      </c>
    </row>
    <row r="6" spans="1:21" ht="16.8" thickBot="1" x14ac:dyDescent="0.35">
      <c r="A6" s="23" t="s">
        <v>21</v>
      </c>
      <c r="B6" s="24">
        <v>2</v>
      </c>
      <c r="D6" s="25" t="s">
        <v>22</v>
      </c>
      <c r="E6" s="26">
        <f>E5*1.66E-47</f>
        <v>0</v>
      </c>
      <c r="F6" s="27">
        <f t="shared" ref="F6:G6" si="0">F5*1.66E-47</f>
        <v>1.6485626E-47</v>
      </c>
      <c r="G6" s="28">
        <f t="shared" si="0"/>
        <v>1.6485626E-47</v>
      </c>
      <c r="U6" s="29"/>
    </row>
    <row r="7" spans="1:21" ht="15" thickBot="1" x14ac:dyDescent="0.35">
      <c r="U7" s="29"/>
    </row>
    <row r="8" spans="1:21" ht="15" thickBot="1" x14ac:dyDescent="0.35">
      <c r="A8" s="5" t="s">
        <v>23</v>
      </c>
      <c r="D8" s="23" t="s">
        <v>24</v>
      </c>
      <c r="E8" s="155">
        <v>1817.2668699999999</v>
      </c>
      <c r="F8" s="18"/>
      <c r="G8" s="19"/>
      <c r="U8" s="29"/>
    </row>
    <row r="9" spans="1:21" ht="15" thickBot="1" x14ac:dyDescent="0.35">
      <c r="E9" s="26">
        <f>E8*1000000000</f>
        <v>1817266870000</v>
      </c>
      <c r="F9" s="27"/>
      <c r="G9" s="28"/>
    </row>
    <row r="10" spans="1:21" ht="15" customHeight="1" thickBot="1" x14ac:dyDescent="0.35"/>
    <row r="11" spans="1:21" ht="15" customHeight="1" thickBot="1" x14ac:dyDescent="0.35">
      <c r="D11" s="30" t="s">
        <v>25</v>
      </c>
      <c r="E11" s="156">
        <v>87.214950000000002</v>
      </c>
      <c r="F11" s="31"/>
      <c r="G11" s="32"/>
    </row>
    <row r="12" spans="1:21" ht="27" customHeight="1" x14ac:dyDescent="0.3">
      <c r="A12" s="33" t="s">
        <v>26</v>
      </c>
      <c r="B12" s="34">
        <v>6423.18</v>
      </c>
    </row>
    <row r="13" spans="1:21" ht="15" thickBot="1" x14ac:dyDescent="0.35">
      <c r="A13" s="35"/>
      <c r="B13" s="36"/>
      <c r="S13" s="29"/>
      <c r="T13" s="29"/>
    </row>
    <row r="14" spans="1:21" ht="15.6" x14ac:dyDescent="0.3">
      <c r="A14" s="35"/>
      <c r="B14" s="36"/>
      <c r="D14" s="37" t="s">
        <v>27</v>
      </c>
      <c r="E14" s="38"/>
      <c r="F14" s="3" t="s">
        <v>28</v>
      </c>
      <c r="G14" s="3" t="s">
        <v>29</v>
      </c>
      <c r="H14" s="4" t="s">
        <v>30</v>
      </c>
    </row>
    <row r="15" spans="1:21" x14ac:dyDescent="0.3">
      <c r="A15" s="35"/>
      <c r="B15" s="36"/>
      <c r="E15" s="39"/>
      <c r="F15" s="40" t="s">
        <v>31</v>
      </c>
      <c r="G15" s="40" t="s">
        <v>32</v>
      </c>
      <c r="H15" s="41" t="s">
        <v>32</v>
      </c>
    </row>
    <row r="16" spans="1:21" x14ac:dyDescent="0.3">
      <c r="A16" s="35"/>
      <c r="B16" s="36"/>
      <c r="E16" s="39" t="s">
        <v>33</v>
      </c>
      <c r="F16" s="157">
        <v>7.8630000000000004</v>
      </c>
      <c r="G16" s="157">
        <v>4.968</v>
      </c>
      <c r="H16" s="158">
        <v>31.132999999999999</v>
      </c>
    </row>
    <row r="17" spans="1:10" x14ac:dyDescent="0.3">
      <c r="A17" s="35"/>
      <c r="B17" s="36"/>
      <c r="E17" s="39" t="s">
        <v>34</v>
      </c>
      <c r="F17" s="157" t="s">
        <v>35</v>
      </c>
      <c r="G17" s="157" t="s">
        <v>35</v>
      </c>
      <c r="H17" s="158" t="s">
        <v>35</v>
      </c>
    </row>
    <row r="18" spans="1:10" x14ac:dyDescent="0.3">
      <c r="A18" s="35"/>
      <c r="B18" s="36"/>
      <c r="E18" s="39" t="s">
        <v>36</v>
      </c>
      <c r="F18" s="157">
        <v>0.88900000000000001</v>
      </c>
      <c r="G18" s="157">
        <v>2.9809999999999999</v>
      </c>
      <c r="H18" s="158">
        <v>28.08</v>
      </c>
    </row>
    <row r="19" spans="1:10" x14ac:dyDescent="0.3">
      <c r="A19" s="35"/>
      <c r="B19" s="36"/>
      <c r="E19" s="39" t="s">
        <v>37</v>
      </c>
      <c r="F19" s="157">
        <v>0.59199999999999997</v>
      </c>
      <c r="G19" s="157">
        <v>1.9870000000000001</v>
      </c>
      <c r="H19" s="158">
        <v>3.052</v>
      </c>
    </row>
    <row r="20" spans="1:10" ht="15" thickBot="1" x14ac:dyDescent="0.35">
      <c r="A20" s="26"/>
      <c r="B20" s="28"/>
      <c r="E20" s="44" t="s">
        <v>38</v>
      </c>
      <c r="F20" s="8">
        <v>6.3819999999999997</v>
      </c>
      <c r="G20" s="8" t="s">
        <v>35</v>
      </c>
      <c r="H20" s="10" t="s">
        <v>35</v>
      </c>
    </row>
    <row r="21" spans="1:10" ht="15" thickBot="1" x14ac:dyDescent="0.35">
      <c r="F21" s="47"/>
      <c r="G21" s="47"/>
      <c r="H21" s="47"/>
    </row>
    <row r="22" spans="1:10" x14ac:dyDescent="0.3">
      <c r="E22" s="38"/>
      <c r="F22" s="4" t="s">
        <v>39</v>
      </c>
    </row>
    <row r="23" spans="1:10" x14ac:dyDescent="0.3">
      <c r="E23" s="39" t="s">
        <v>40</v>
      </c>
      <c r="F23" s="145">
        <v>4.0345199999999997</v>
      </c>
      <c r="J23"/>
    </row>
    <row r="24" spans="1:10" x14ac:dyDescent="0.3">
      <c r="E24" s="39" t="s">
        <v>41</v>
      </c>
      <c r="F24" s="145">
        <v>192261</v>
      </c>
    </row>
    <row r="25" spans="1:10" x14ac:dyDescent="0.3">
      <c r="E25" s="39" t="s">
        <v>42</v>
      </c>
      <c r="F25" s="145">
        <v>2.0984599999999999E-5</v>
      </c>
    </row>
    <row r="26" spans="1:10" x14ac:dyDescent="0.3">
      <c r="E26" s="39" t="s">
        <v>43</v>
      </c>
      <c r="F26" s="145">
        <v>1</v>
      </c>
      <c r="G26" s="5" t="s">
        <v>44</v>
      </c>
    </row>
    <row r="27" spans="1:10" x14ac:dyDescent="0.3">
      <c r="E27" s="39" t="s">
        <v>34</v>
      </c>
      <c r="F27" s="145">
        <v>1</v>
      </c>
      <c r="G27" s="50"/>
    </row>
    <row r="28" spans="1:10" x14ac:dyDescent="0.3">
      <c r="E28" s="39" t="s">
        <v>36</v>
      </c>
      <c r="F28" s="145">
        <v>112481</v>
      </c>
      <c r="G28" s="50"/>
    </row>
    <row r="29" spans="1:10" ht="15" thickBot="1" x14ac:dyDescent="0.35">
      <c r="E29" s="44" t="s">
        <v>37</v>
      </c>
      <c r="F29" s="146">
        <v>1.7092799999999999</v>
      </c>
      <c r="G29" s="50"/>
    </row>
    <row r="30" spans="1:10" ht="15" thickBot="1" x14ac:dyDescent="0.35"/>
    <row r="31" spans="1:10" ht="16.2" x14ac:dyDescent="0.3">
      <c r="A31" s="17" t="s">
        <v>45</v>
      </c>
      <c r="B31" s="18" t="s">
        <v>46</v>
      </c>
      <c r="C31" s="52" t="s">
        <v>47</v>
      </c>
      <c r="D31" s="52" t="s">
        <v>48</v>
      </c>
      <c r="E31" s="16" t="s">
        <v>49</v>
      </c>
    </row>
    <row r="32" spans="1:10" ht="15" thickBot="1" x14ac:dyDescent="0.35">
      <c r="A32" s="159">
        <v>4464.3383000000003</v>
      </c>
      <c r="B32" s="57">
        <f t="shared" ref="B32" si="1">A32*$I$2</f>
        <v>133837737197190.02</v>
      </c>
      <c r="C32" s="54">
        <f>298.15</f>
        <v>298.14999999999998</v>
      </c>
      <c r="D32" s="55">
        <f>($A$2*C32)/$J$2</f>
        <v>4.062431680236861E-26</v>
      </c>
      <c r="E32" s="56">
        <f>$F$2*($F$83*D32)/($D$2*C32)</f>
        <v>0.99996338110898686</v>
      </c>
    </row>
    <row r="33" spans="1:5" x14ac:dyDescent="0.3">
      <c r="A33" s="35"/>
      <c r="B33" s="53"/>
      <c r="C33" s="54">
        <f>300+100</f>
        <v>400</v>
      </c>
      <c r="D33" s="55">
        <f t="shared" ref="D33:D50" si="2">($A$2*C33)/$J$2</f>
        <v>5.4501850481125095E-26</v>
      </c>
      <c r="E33" s="56">
        <f t="shared" ref="E33:E50" si="3">$F$2*($F$83*D33)/($D$2*C33)</f>
        <v>0.99996338110898686</v>
      </c>
    </row>
    <row r="34" spans="1:5" x14ac:dyDescent="0.3">
      <c r="A34" s="35"/>
      <c r="B34" s="53"/>
      <c r="C34" s="54">
        <f t="shared" ref="C34:C50" si="4">C33+100</f>
        <v>500</v>
      </c>
      <c r="D34" s="55">
        <f t="shared" si="2"/>
        <v>6.8127313101406362E-26</v>
      </c>
      <c r="E34" s="56">
        <f t="shared" si="3"/>
        <v>0.99996338110898675</v>
      </c>
    </row>
    <row r="35" spans="1:5" x14ac:dyDescent="0.3">
      <c r="A35" s="35"/>
      <c r="B35" s="53"/>
      <c r="C35" s="54">
        <f t="shared" si="4"/>
        <v>600</v>
      </c>
      <c r="D35" s="55">
        <f t="shared" si="2"/>
        <v>8.175277572168763E-26</v>
      </c>
      <c r="E35" s="56">
        <f t="shared" si="3"/>
        <v>0.99996338110898653</v>
      </c>
    </row>
    <row r="36" spans="1:5" x14ac:dyDescent="0.3">
      <c r="A36" s="35"/>
      <c r="B36" s="53"/>
      <c r="C36" s="54">
        <f t="shared" si="4"/>
        <v>700</v>
      </c>
      <c r="D36" s="55">
        <f t="shared" si="2"/>
        <v>9.5378238341968898E-26</v>
      </c>
      <c r="E36" s="56">
        <f t="shared" si="3"/>
        <v>0.99996338110898653</v>
      </c>
    </row>
    <row r="37" spans="1:5" x14ac:dyDescent="0.3">
      <c r="A37" s="35"/>
      <c r="B37" s="53"/>
      <c r="C37" s="54">
        <f t="shared" si="4"/>
        <v>800</v>
      </c>
      <c r="D37" s="55">
        <f t="shared" si="2"/>
        <v>1.0900370096225019E-25</v>
      </c>
      <c r="E37" s="56">
        <f t="shared" si="3"/>
        <v>0.99996338110898686</v>
      </c>
    </row>
    <row r="38" spans="1:5" x14ac:dyDescent="0.3">
      <c r="A38" s="35"/>
      <c r="B38" s="53"/>
      <c r="C38" s="54">
        <f t="shared" si="4"/>
        <v>900</v>
      </c>
      <c r="D38" s="55">
        <f t="shared" si="2"/>
        <v>1.2262916358253145E-25</v>
      </c>
      <c r="E38" s="56">
        <f t="shared" si="3"/>
        <v>0.99996338110898675</v>
      </c>
    </row>
    <row r="39" spans="1:5" x14ac:dyDescent="0.3">
      <c r="B39" s="53"/>
      <c r="C39" s="54">
        <f t="shared" si="4"/>
        <v>1000</v>
      </c>
      <c r="D39" s="55">
        <f t="shared" si="2"/>
        <v>1.3625462620281272E-25</v>
      </c>
      <c r="E39" s="56">
        <f t="shared" si="3"/>
        <v>0.99996338110898675</v>
      </c>
    </row>
    <row r="40" spans="1:5" x14ac:dyDescent="0.3">
      <c r="B40" s="53"/>
      <c r="C40" s="54">
        <f t="shared" si="4"/>
        <v>1100</v>
      </c>
      <c r="D40" s="55">
        <f t="shared" si="2"/>
        <v>1.4988008882309398E-25</v>
      </c>
      <c r="E40" s="56">
        <f t="shared" si="3"/>
        <v>0.99996338110898653</v>
      </c>
    </row>
    <row r="41" spans="1:5" x14ac:dyDescent="0.3">
      <c r="B41" s="53"/>
      <c r="C41" s="54">
        <f t="shared" si="4"/>
        <v>1200</v>
      </c>
      <c r="D41" s="55">
        <f t="shared" si="2"/>
        <v>1.6350555144337526E-25</v>
      </c>
      <c r="E41" s="56">
        <f t="shared" si="3"/>
        <v>0.99996338110898653</v>
      </c>
    </row>
    <row r="42" spans="1:5" x14ac:dyDescent="0.3">
      <c r="B42" s="53"/>
      <c r="C42" s="54">
        <f t="shared" si="4"/>
        <v>1300</v>
      </c>
      <c r="D42" s="55">
        <f t="shared" si="2"/>
        <v>1.7713101406365654E-25</v>
      </c>
      <c r="E42" s="56">
        <f t="shared" si="3"/>
        <v>0.99996338110898675</v>
      </c>
    </row>
    <row r="43" spans="1:5" x14ac:dyDescent="0.3">
      <c r="B43" s="53"/>
      <c r="C43" s="54">
        <f t="shared" si="4"/>
        <v>1400</v>
      </c>
      <c r="D43" s="55">
        <f t="shared" si="2"/>
        <v>1.907564766839378E-25</v>
      </c>
      <c r="E43" s="56">
        <f t="shared" si="3"/>
        <v>0.99996338110898653</v>
      </c>
    </row>
    <row r="44" spans="1:5" x14ac:dyDescent="0.3">
      <c r="B44" s="53"/>
      <c r="C44" s="54">
        <f t="shared" si="4"/>
        <v>1500</v>
      </c>
      <c r="D44" s="55">
        <f t="shared" si="2"/>
        <v>2.0438193930421908E-25</v>
      </c>
      <c r="E44" s="56">
        <f t="shared" si="3"/>
        <v>0.99996338110898675</v>
      </c>
    </row>
    <row r="45" spans="1:5" x14ac:dyDescent="0.3">
      <c r="B45" s="53"/>
      <c r="C45" s="54">
        <f t="shared" si="4"/>
        <v>1600</v>
      </c>
      <c r="D45" s="55">
        <f t="shared" si="2"/>
        <v>2.1800740192450038E-25</v>
      </c>
      <c r="E45" s="56">
        <f t="shared" si="3"/>
        <v>0.99996338110898686</v>
      </c>
    </row>
    <row r="46" spans="1:5" x14ac:dyDescent="0.3">
      <c r="B46" s="53"/>
      <c r="C46" s="54">
        <f t="shared" si="4"/>
        <v>1700</v>
      </c>
      <c r="D46" s="55">
        <f t="shared" si="2"/>
        <v>2.3163286454478159E-25</v>
      </c>
      <c r="E46" s="56">
        <f t="shared" si="3"/>
        <v>0.99996338110898664</v>
      </c>
    </row>
    <row r="47" spans="1:5" x14ac:dyDescent="0.3">
      <c r="B47" s="53"/>
      <c r="C47" s="54">
        <f t="shared" si="4"/>
        <v>1800</v>
      </c>
      <c r="D47" s="55">
        <f t="shared" si="2"/>
        <v>2.4525832716506289E-25</v>
      </c>
      <c r="E47" s="56">
        <f t="shared" si="3"/>
        <v>0.99996338110898675</v>
      </c>
    </row>
    <row r="48" spans="1:5" x14ac:dyDescent="0.3">
      <c r="B48" s="53"/>
      <c r="C48" s="54">
        <f t="shared" si="4"/>
        <v>1900</v>
      </c>
      <c r="D48" s="55">
        <f t="shared" si="2"/>
        <v>2.5888378978534419E-25</v>
      </c>
      <c r="E48" s="56">
        <f t="shared" si="3"/>
        <v>0.99996338110898686</v>
      </c>
    </row>
    <row r="49" spans="1:23" x14ac:dyDescent="0.3">
      <c r="B49" s="53"/>
      <c r="C49" s="54">
        <f t="shared" si="4"/>
        <v>2000</v>
      </c>
      <c r="D49" s="55">
        <f t="shared" si="2"/>
        <v>2.7250925240562545E-25</v>
      </c>
      <c r="E49" s="56">
        <f t="shared" si="3"/>
        <v>0.99996338110898675</v>
      </c>
    </row>
    <row r="50" spans="1:23" ht="15" thickBot="1" x14ac:dyDescent="0.35">
      <c r="C50" s="25">
        <f t="shared" si="4"/>
        <v>2100</v>
      </c>
      <c r="D50" s="58">
        <f t="shared" si="2"/>
        <v>2.8613471502590675E-25</v>
      </c>
      <c r="E50" s="59">
        <f t="shared" si="3"/>
        <v>0.99996338110898664</v>
      </c>
    </row>
    <row r="51" spans="1:23" ht="15" thickBot="1" x14ac:dyDescent="0.35"/>
    <row r="52" spans="1:23" ht="18.600000000000001" thickBot="1" x14ac:dyDescent="0.35">
      <c r="D52" s="209" t="s">
        <v>50</v>
      </c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1"/>
    </row>
    <row r="53" spans="1:23" x14ac:dyDescent="0.3">
      <c r="A53" s="11" t="s">
        <v>51</v>
      </c>
      <c r="B53" s="61">
        <f>E54</f>
        <v>1.0000000004399896</v>
      </c>
      <c r="D53" s="62" t="s">
        <v>52</v>
      </c>
      <c r="E53" s="63">
        <v>298.14999999999998</v>
      </c>
      <c r="F53" s="63">
        <f>300+100</f>
        <v>400</v>
      </c>
      <c r="G53" s="63">
        <f t="shared" ref="G53:W53" si="5">F53+100</f>
        <v>500</v>
      </c>
      <c r="H53" s="63">
        <f t="shared" si="5"/>
        <v>600</v>
      </c>
      <c r="I53" s="63">
        <f t="shared" si="5"/>
        <v>700</v>
      </c>
      <c r="J53" s="63">
        <f t="shared" si="5"/>
        <v>800</v>
      </c>
      <c r="K53" s="63">
        <f t="shared" si="5"/>
        <v>900</v>
      </c>
      <c r="L53" s="63">
        <f t="shared" si="5"/>
        <v>1000</v>
      </c>
      <c r="M53" s="63">
        <f t="shared" si="5"/>
        <v>1100</v>
      </c>
      <c r="N53" s="63">
        <f t="shared" si="5"/>
        <v>1200</v>
      </c>
      <c r="O53" s="63">
        <f t="shared" si="5"/>
        <v>1300</v>
      </c>
      <c r="P53" s="63">
        <f t="shared" si="5"/>
        <v>1400</v>
      </c>
      <c r="Q53" s="63">
        <f t="shared" si="5"/>
        <v>1500</v>
      </c>
      <c r="R53" s="63">
        <f t="shared" si="5"/>
        <v>1600</v>
      </c>
      <c r="S53" s="63">
        <f t="shared" si="5"/>
        <v>1700</v>
      </c>
      <c r="T53" s="63">
        <f t="shared" si="5"/>
        <v>1800</v>
      </c>
      <c r="U53" s="63">
        <f t="shared" si="5"/>
        <v>1900</v>
      </c>
      <c r="V53" s="63">
        <f t="shared" si="5"/>
        <v>2000</v>
      </c>
      <c r="W53" s="64">
        <f t="shared" si="5"/>
        <v>2100</v>
      </c>
    </row>
    <row r="54" spans="1:23" ht="15" thickBot="1" x14ac:dyDescent="0.35">
      <c r="A54" s="26"/>
      <c r="B54" s="67"/>
      <c r="D54" s="68">
        <f t="shared" ref="D54" si="6">A32*$I$2</f>
        <v>133837737197190.02</v>
      </c>
      <c r="E54" s="57">
        <f>1 / (1 - EXP((-$C$2*$D$54)/($A$2*E53)))</f>
        <v>1.0000000004399896</v>
      </c>
      <c r="F54" s="57">
        <f t="shared" ref="F54:W54" si="7">1 / (1 - EXP((-$C$2*$D$54)/($A$2*F53)))</f>
        <v>1.0000001061343131</v>
      </c>
      <c r="G54" s="57">
        <f t="shared" si="7"/>
        <v>1.0000026344245077</v>
      </c>
      <c r="H54" s="57">
        <f t="shared" si="7"/>
        <v>1.0000224171422158</v>
      </c>
      <c r="I54" s="57">
        <f t="shared" si="7"/>
        <v>1.0001034712412127</v>
      </c>
      <c r="J54" s="57">
        <f t="shared" si="7"/>
        <v>1.0003258887678592</v>
      </c>
      <c r="K54" s="57">
        <f t="shared" si="7"/>
        <v>1.000795656752637</v>
      </c>
      <c r="L54" s="57">
        <f t="shared" si="7"/>
        <v>1.0016257275973854</v>
      </c>
      <c r="M54" s="57">
        <f t="shared" si="7"/>
        <v>1.0029188605732668</v>
      </c>
      <c r="N54" s="57">
        <f t="shared" si="7"/>
        <v>1.0047571446680683</v>
      </c>
      <c r="O54" s="57">
        <f t="shared" si="7"/>
        <v>1.0071982083228574</v>
      </c>
      <c r="P54" s="57">
        <f t="shared" si="7"/>
        <v>1.0102760789457457</v>
      </c>
      <c r="Q54" s="57">
        <f t="shared" si="7"/>
        <v>1.0140045156633004</v>
      </c>
      <c r="R54" s="57">
        <f t="shared" si="7"/>
        <v>1.0183812195969593</v>
      </c>
      <c r="S54" s="57">
        <f t="shared" si="7"/>
        <v>1.023391975131009</v>
      </c>
      <c r="T54" s="57">
        <f t="shared" si="7"/>
        <v>1.0290142644841496</v>
      </c>
      <c r="U54" s="57">
        <f t="shared" si="7"/>
        <v>1.0352202024157715</v>
      </c>
      <c r="V54" s="57">
        <f t="shared" si="7"/>
        <v>1.0419788016761509</v>
      </c>
      <c r="W54" s="67">
        <f t="shared" si="7"/>
        <v>1.0492576536243237</v>
      </c>
    </row>
    <row r="55" spans="1:23" x14ac:dyDescent="0.3">
      <c r="B55" s="53"/>
      <c r="D55" s="69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</row>
    <row r="56" spans="1:23" x14ac:dyDescent="0.3">
      <c r="B56" s="53"/>
      <c r="D56" s="69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</row>
    <row r="57" spans="1:23" x14ac:dyDescent="0.3">
      <c r="D57" s="69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</row>
    <row r="58" spans="1:23" x14ac:dyDescent="0.3">
      <c r="B58" s="53"/>
      <c r="D58" s="69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</row>
    <row r="59" spans="1:23" x14ac:dyDescent="0.3">
      <c r="B59" s="53"/>
      <c r="D59" s="69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</row>
    <row r="60" spans="1:23" x14ac:dyDescent="0.3">
      <c r="B60" s="53"/>
      <c r="D60" s="69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</row>
    <row r="61" spans="1:23" x14ac:dyDescent="0.3">
      <c r="B61" s="53"/>
      <c r="D61" s="69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</row>
    <row r="62" spans="1:23" x14ac:dyDescent="0.3">
      <c r="B62" s="53"/>
      <c r="D62" s="69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</row>
    <row r="63" spans="1:23" x14ac:dyDescent="0.3">
      <c r="B63" s="53"/>
      <c r="D63" s="69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</row>
    <row r="64" spans="1:23" ht="15" thickBot="1" x14ac:dyDescent="0.35">
      <c r="B64" s="53"/>
      <c r="D64" s="69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</row>
    <row r="65" spans="1:23" x14ac:dyDescent="0.3">
      <c r="B65" s="53"/>
      <c r="D65" s="70" t="s">
        <v>53</v>
      </c>
      <c r="E65" s="71">
        <v>298.14999999999998</v>
      </c>
      <c r="F65" s="71">
        <f>300+100</f>
        <v>400</v>
      </c>
      <c r="G65" s="71">
        <f t="shared" ref="G65:W65" si="8">F65+100</f>
        <v>500</v>
      </c>
      <c r="H65" s="71">
        <f t="shared" si="8"/>
        <v>600</v>
      </c>
      <c r="I65" s="71">
        <f t="shared" si="8"/>
        <v>700</v>
      </c>
      <c r="J65" s="71">
        <f t="shared" si="8"/>
        <v>800</v>
      </c>
      <c r="K65" s="71">
        <f t="shared" si="8"/>
        <v>900</v>
      </c>
      <c r="L65" s="71">
        <f t="shared" si="8"/>
        <v>1000</v>
      </c>
      <c r="M65" s="71">
        <f t="shared" si="8"/>
        <v>1100</v>
      </c>
      <c r="N65" s="71">
        <f t="shared" si="8"/>
        <v>1200</v>
      </c>
      <c r="O65" s="71">
        <f t="shared" si="8"/>
        <v>1300</v>
      </c>
      <c r="P65" s="71">
        <f t="shared" si="8"/>
        <v>1400</v>
      </c>
      <c r="Q65" s="71">
        <f t="shared" si="8"/>
        <v>1500</v>
      </c>
      <c r="R65" s="71">
        <f t="shared" si="8"/>
        <v>1600</v>
      </c>
      <c r="S65" s="71">
        <f t="shared" si="8"/>
        <v>1700</v>
      </c>
      <c r="T65" s="71">
        <f t="shared" si="8"/>
        <v>1800</v>
      </c>
      <c r="U65" s="71">
        <f t="shared" si="8"/>
        <v>1900</v>
      </c>
      <c r="V65" s="71">
        <f t="shared" si="8"/>
        <v>2000</v>
      </c>
      <c r="W65" s="72">
        <f t="shared" si="8"/>
        <v>2100</v>
      </c>
    </row>
    <row r="66" spans="1:23" ht="15" thickBot="1" x14ac:dyDescent="0.35">
      <c r="B66" s="53"/>
      <c r="D66" s="68" t="s">
        <v>54</v>
      </c>
      <c r="E66" s="57">
        <f>PRODUCT(E54:E62)</f>
        <v>1.0000000004399896</v>
      </c>
      <c r="F66" s="57">
        <f>PRODUCT(F54:F62)</f>
        <v>1.0000001061343131</v>
      </c>
      <c r="G66" s="57">
        <f t="shared" ref="G66:W66" si="9">PRODUCT(G54:G62)</f>
        <v>1.0000026344245077</v>
      </c>
      <c r="H66" s="57">
        <f t="shared" si="9"/>
        <v>1.0000224171422158</v>
      </c>
      <c r="I66" s="57">
        <f t="shared" si="9"/>
        <v>1.0001034712412127</v>
      </c>
      <c r="J66" s="57">
        <f t="shared" si="9"/>
        <v>1.0003258887678592</v>
      </c>
      <c r="K66" s="57">
        <f t="shared" si="9"/>
        <v>1.000795656752637</v>
      </c>
      <c r="L66" s="57">
        <f t="shared" si="9"/>
        <v>1.0016257275973854</v>
      </c>
      <c r="M66" s="57">
        <f t="shared" si="9"/>
        <v>1.0029188605732668</v>
      </c>
      <c r="N66" s="57">
        <f t="shared" si="9"/>
        <v>1.0047571446680683</v>
      </c>
      <c r="O66" s="57">
        <f t="shared" si="9"/>
        <v>1.0071982083228574</v>
      </c>
      <c r="P66" s="57">
        <f t="shared" si="9"/>
        <v>1.0102760789457457</v>
      </c>
      <c r="Q66" s="57">
        <f t="shared" si="9"/>
        <v>1.0140045156633004</v>
      </c>
      <c r="R66" s="57">
        <f t="shared" si="9"/>
        <v>1.0183812195969593</v>
      </c>
      <c r="S66" s="57">
        <f t="shared" si="9"/>
        <v>1.023391975131009</v>
      </c>
      <c r="T66" s="57">
        <f t="shared" si="9"/>
        <v>1.0290142644841496</v>
      </c>
      <c r="U66" s="57">
        <f t="shared" si="9"/>
        <v>1.0352202024157715</v>
      </c>
      <c r="V66" s="57">
        <f t="shared" si="9"/>
        <v>1.0419788016761509</v>
      </c>
      <c r="W66" s="67">
        <f t="shared" si="9"/>
        <v>1.0492576536243237</v>
      </c>
    </row>
    <row r="67" spans="1:23" x14ac:dyDescent="0.3">
      <c r="B67" s="53"/>
      <c r="D67" s="69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</row>
    <row r="68" spans="1:23" x14ac:dyDescent="0.3">
      <c r="B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</row>
    <row r="69" spans="1:23" x14ac:dyDescent="0.3">
      <c r="B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</row>
    <row r="70" spans="1:23" x14ac:dyDescent="0.3">
      <c r="B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</row>
    <row r="71" spans="1:23" ht="15" thickBot="1" x14ac:dyDescent="0.35"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</row>
    <row r="72" spans="1:23" x14ac:dyDescent="0.3">
      <c r="A72" s="17" t="s">
        <v>55</v>
      </c>
      <c r="B72" s="19">
        <f>COUNT(B53:B70)</f>
        <v>1</v>
      </c>
    </row>
    <row r="73" spans="1:23" ht="21" thickBot="1" x14ac:dyDescent="0.35">
      <c r="A73" s="73" t="s">
        <v>56</v>
      </c>
      <c r="B73" s="160">
        <f>PRODUCT(B53:B61)</f>
        <v>1.0000000004399896</v>
      </c>
    </row>
    <row r="76" spans="1:23" ht="15" thickBot="1" x14ac:dyDescent="0.35"/>
    <row r="77" spans="1:23" x14ac:dyDescent="0.3">
      <c r="A77" s="16" t="s">
        <v>57</v>
      </c>
    </row>
    <row r="78" spans="1:23" x14ac:dyDescent="0.3">
      <c r="A78" s="75">
        <v>1</v>
      </c>
    </row>
    <row r="79" spans="1:23" x14ac:dyDescent="0.3">
      <c r="A79" s="76" t="s">
        <v>58</v>
      </c>
    </row>
    <row r="80" spans="1:23" ht="15" thickBot="1" x14ac:dyDescent="0.35">
      <c r="A80" s="77">
        <f>ABS(B73-A78)/B73</f>
        <v>4.3998960011574089E-10</v>
      </c>
    </row>
    <row r="81" spans="2:10" ht="15" thickBot="1" x14ac:dyDescent="0.35"/>
    <row r="82" spans="2:10" ht="18" x14ac:dyDescent="0.3">
      <c r="D82" s="11" t="s">
        <v>47</v>
      </c>
      <c r="E82" s="60" t="s">
        <v>59</v>
      </c>
      <c r="F82" s="52" t="s">
        <v>9</v>
      </c>
    </row>
    <row r="83" spans="2:10" ht="18.600000000000001" thickBot="1" x14ac:dyDescent="0.35">
      <c r="B83" s="78"/>
      <c r="D83" s="35">
        <f>298.15</f>
        <v>298.14999999999998</v>
      </c>
      <c r="E83" s="65">
        <f xml:space="preserve"> ( (2*$B$2*$E$2*$A$2*D83)/($C$2*$C$2) )^(1.5) * ($A$2*D83) /$F$83</f>
        <v>112416.41450476111</v>
      </c>
      <c r="F83" s="25">
        <v>101325</v>
      </c>
      <c r="H83" s="5" t="s">
        <v>60</v>
      </c>
    </row>
    <row r="84" spans="2:10" ht="15" thickBot="1" x14ac:dyDescent="0.35">
      <c r="D84" s="35">
        <f>300+100</f>
        <v>400</v>
      </c>
      <c r="E84" s="65">
        <f t="shared" ref="E84:E101" si="10" xml:space="preserve"> ( (2*$B$2*$E$2*$A$2*D84)/($C$2*$C$2) )^(1.5) * ($A$2*D84) /$F$83</f>
        <v>234364.95617748235</v>
      </c>
    </row>
    <row r="85" spans="2:10" ht="15" thickBot="1" x14ac:dyDescent="0.35">
      <c r="D85" s="35">
        <f t="shared" ref="D85:D101" si="11">D84+100</f>
        <v>500</v>
      </c>
      <c r="E85" s="65">
        <f t="shared" si="10"/>
        <v>409418.72934110375</v>
      </c>
      <c r="J85" s="16" t="s">
        <v>61</v>
      </c>
    </row>
    <row r="86" spans="2:10" x14ac:dyDescent="0.3">
      <c r="D86" s="35">
        <f t="shared" si="11"/>
        <v>600</v>
      </c>
      <c r="E86" s="65">
        <f t="shared" si="10"/>
        <v>645833.87575264857</v>
      </c>
      <c r="H86" s="79" t="s">
        <v>62</v>
      </c>
      <c r="I86" s="17" t="s">
        <v>63</v>
      </c>
      <c r="J86" s="148">
        <f xml:space="preserve"> ( (2*$B$2*$E$2*$A$2*298.15)/($C$2*$C$2) )^(1.5) * ($A$2*D83) /$F$83</f>
        <v>112416.41450476111</v>
      </c>
    </row>
    <row r="87" spans="2:10" ht="15" thickBot="1" x14ac:dyDescent="0.35">
      <c r="D87" s="35">
        <f t="shared" si="11"/>
        <v>700</v>
      </c>
      <c r="E87" s="65">
        <f t="shared" si="10"/>
        <v>949484.31605107896</v>
      </c>
      <c r="H87" s="63" t="s">
        <v>64</v>
      </c>
      <c r="I87" s="26" t="s">
        <v>63</v>
      </c>
      <c r="J87" s="149">
        <v>112481</v>
      </c>
    </row>
    <row r="88" spans="2:10" x14ac:dyDescent="0.3">
      <c r="D88" s="35">
        <f t="shared" si="11"/>
        <v>800</v>
      </c>
      <c r="E88" s="65">
        <f t="shared" si="10"/>
        <v>1325768.3982846902</v>
      </c>
      <c r="J88" s="82" t="s">
        <v>58</v>
      </c>
    </row>
    <row r="89" spans="2:10" x14ac:dyDescent="0.3">
      <c r="D89" s="35">
        <f t="shared" si="11"/>
        <v>900</v>
      </c>
      <c r="E89" s="65">
        <f t="shared" si="10"/>
        <v>1779708.8859727592</v>
      </c>
      <c r="J89" s="83">
        <f>ABS(J86-J87)/J87</f>
        <v>5.7419026536829215E-4</v>
      </c>
    </row>
    <row r="90" spans="2:10" x14ac:dyDescent="0.3">
      <c r="D90" s="35">
        <f t="shared" si="11"/>
        <v>1000</v>
      </c>
      <c r="E90" s="65">
        <f t="shared" si="10"/>
        <v>2316022.0788949998</v>
      </c>
    </row>
    <row r="91" spans="2:10" x14ac:dyDescent="0.3">
      <c r="D91" s="35">
        <f t="shared" si="11"/>
        <v>1100</v>
      </c>
      <c r="E91" s="65">
        <f t="shared" si="10"/>
        <v>2939167.9831720074</v>
      </c>
    </row>
    <row r="92" spans="2:10" x14ac:dyDescent="0.3">
      <c r="D92" s="35">
        <f t="shared" si="11"/>
        <v>1200</v>
      </c>
      <c r="E92" s="65">
        <f t="shared" si="10"/>
        <v>3653388.1045174622</v>
      </c>
    </row>
    <row r="93" spans="2:10" x14ac:dyDescent="0.3">
      <c r="D93" s="35">
        <f t="shared" si="11"/>
        <v>1300</v>
      </c>
      <c r="E93" s="65">
        <f t="shared" si="10"/>
        <v>4462734.7645998448</v>
      </c>
    </row>
    <row r="94" spans="2:10" x14ac:dyDescent="0.3">
      <c r="D94" s="35">
        <f t="shared" si="11"/>
        <v>1400</v>
      </c>
      <c r="E94" s="65">
        <f t="shared" si="10"/>
        <v>5371094.3880799273</v>
      </c>
    </row>
    <row r="95" spans="2:10" x14ac:dyDescent="0.3">
      <c r="D95" s="35">
        <f t="shared" si="11"/>
        <v>1500</v>
      </c>
      <c r="E95" s="65">
        <f t="shared" si="10"/>
        <v>6382206.3671018081</v>
      </c>
    </row>
    <row r="96" spans="2:10" x14ac:dyDescent="0.3">
      <c r="D96" s="35">
        <f t="shared" si="11"/>
        <v>1600</v>
      </c>
      <c r="E96" s="65">
        <f t="shared" si="10"/>
        <v>7499678.5976794772</v>
      </c>
    </row>
    <row r="97" spans="1:10" x14ac:dyDescent="0.3">
      <c r="D97" s="35">
        <f t="shared" si="11"/>
        <v>1700</v>
      </c>
      <c r="E97" s="65">
        <f t="shared" si="10"/>
        <v>8727000.456781581</v>
      </c>
    </row>
    <row r="98" spans="1:10" x14ac:dyDescent="0.3">
      <c r="D98" s="35">
        <f t="shared" si="11"/>
        <v>1800</v>
      </c>
      <c r="E98" s="65">
        <f t="shared" si="10"/>
        <v>10067553.774474381</v>
      </c>
    </row>
    <row r="99" spans="1:10" x14ac:dyDescent="0.3">
      <c r="D99" s="35">
        <f t="shared" si="11"/>
        <v>1900</v>
      </c>
      <c r="E99" s="65">
        <f t="shared" si="10"/>
        <v>11524622.209952559</v>
      </c>
    </row>
    <row r="100" spans="1:10" x14ac:dyDescent="0.3">
      <c r="D100" s="35">
        <f t="shared" si="11"/>
        <v>2000</v>
      </c>
      <c r="E100" s="65">
        <f t="shared" si="10"/>
        <v>13101399.338915395</v>
      </c>
    </row>
    <row r="101" spans="1:10" ht="15" thickBot="1" x14ac:dyDescent="0.35">
      <c r="D101" s="26">
        <f t="shared" si="11"/>
        <v>2100</v>
      </c>
      <c r="E101" s="67">
        <f t="shared" si="10"/>
        <v>14800995.687512243</v>
      </c>
    </row>
    <row r="104" spans="1:10" ht="15" thickBot="1" x14ac:dyDescent="0.35"/>
    <row r="105" spans="1:10" ht="18" x14ac:dyDescent="0.3">
      <c r="D105" s="11" t="s">
        <v>47</v>
      </c>
      <c r="E105" s="60" t="s">
        <v>65</v>
      </c>
    </row>
    <row r="106" spans="1:10" x14ac:dyDescent="0.3">
      <c r="D106" s="35">
        <f>298.15</f>
        <v>298.14999999999998</v>
      </c>
      <c r="E106" s="65">
        <f xml:space="preserve"> ( 8*$B$2*$B$2 *$A$2*D106 *$B$112) / ($B$6*$C$2*$C$2)</f>
        <v>1.7087400538066488</v>
      </c>
    </row>
    <row r="107" spans="1:10" x14ac:dyDescent="0.3">
      <c r="D107" s="35">
        <f>300+100</f>
        <v>400</v>
      </c>
      <c r="E107" s="65">
        <f t="shared" ref="E107:E124" si="12" xml:space="preserve"> ( 8*$B$2*$B$2 *$A$2*D107 *$B$112) / ($B$6*$C$2*$C$2)</f>
        <v>2.292456889225758</v>
      </c>
    </row>
    <row r="108" spans="1:10" x14ac:dyDescent="0.3">
      <c r="D108" s="35">
        <f t="shared" ref="D108:D124" si="13">D107+100</f>
        <v>500</v>
      </c>
      <c r="E108" s="65">
        <f t="shared" si="12"/>
        <v>2.8655711115321969</v>
      </c>
      <c r="H108" s="5" t="s">
        <v>60</v>
      </c>
    </row>
    <row r="109" spans="1:10" ht="15" thickBot="1" x14ac:dyDescent="0.35">
      <c r="D109" s="35">
        <f t="shared" si="13"/>
        <v>600</v>
      </c>
      <c r="E109" s="65">
        <f t="shared" si="12"/>
        <v>3.4386853338386367</v>
      </c>
    </row>
    <row r="110" spans="1:10" ht="18.600000000000001" thickBot="1" x14ac:dyDescent="0.35">
      <c r="A110" s="84"/>
      <c r="B110" s="78"/>
      <c r="D110" s="35">
        <f t="shared" si="13"/>
        <v>700</v>
      </c>
      <c r="E110" s="65">
        <f t="shared" si="12"/>
        <v>4.0117995561450757</v>
      </c>
      <c r="J110" s="16" t="s">
        <v>61</v>
      </c>
    </row>
    <row r="111" spans="1:10" x14ac:dyDescent="0.3">
      <c r="D111" s="35">
        <f t="shared" si="13"/>
        <v>800</v>
      </c>
      <c r="E111" s="65">
        <f t="shared" si="12"/>
        <v>4.5849137784515159</v>
      </c>
      <c r="H111" s="79" t="s">
        <v>62</v>
      </c>
      <c r="I111" s="17" t="s">
        <v>66</v>
      </c>
      <c r="J111" s="80">
        <f>E106</f>
        <v>1.7087400538066488</v>
      </c>
    </row>
    <row r="112" spans="1:10" ht="15" thickBot="1" x14ac:dyDescent="0.35">
      <c r="B112" s="53">
        <f>B116*B120*B120</f>
        <v>4.61664085874549E-48</v>
      </c>
      <c r="C112" s="161" t="s">
        <v>118</v>
      </c>
      <c r="D112" s="35">
        <f t="shared" si="13"/>
        <v>900</v>
      </c>
      <c r="E112" s="65">
        <f t="shared" si="12"/>
        <v>5.1580280007579544</v>
      </c>
      <c r="H112" s="63" t="s">
        <v>64</v>
      </c>
      <c r="I112" s="26" t="s">
        <v>66</v>
      </c>
      <c r="J112" s="81">
        <v>1.7092799999999999</v>
      </c>
    </row>
    <row r="113" spans="2:10" x14ac:dyDescent="0.3">
      <c r="D113" s="35">
        <f t="shared" si="13"/>
        <v>1000</v>
      </c>
      <c r="E113" s="65">
        <f t="shared" si="12"/>
        <v>5.7311422230643938</v>
      </c>
      <c r="J113" s="82" t="s">
        <v>58</v>
      </c>
    </row>
    <row r="114" spans="2:10" x14ac:dyDescent="0.3">
      <c r="D114" s="35">
        <f t="shared" si="13"/>
        <v>1100</v>
      </c>
      <c r="E114" s="65">
        <f t="shared" si="12"/>
        <v>6.3042564453708341</v>
      </c>
      <c r="J114" s="83">
        <f>ABS(J111-J112)/J112</f>
        <v>3.158910145506124E-4</v>
      </c>
    </row>
    <row r="115" spans="2:10" x14ac:dyDescent="0.3">
      <c r="D115" s="35">
        <f t="shared" si="13"/>
        <v>1200</v>
      </c>
      <c r="E115" s="65">
        <f t="shared" si="12"/>
        <v>6.8773706676772735</v>
      </c>
    </row>
    <row r="116" spans="2:10" x14ac:dyDescent="0.3">
      <c r="B116" s="5">
        <f>(1.00783*1.66E-27)^2 /(1.00783*1.66E-27*2)</f>
        <v>8.3649890000000001E-28</v>
      </c>
      <c r="C116" s="161" t="s">
        <v>119</v>
      </c>
      <c r="D116" s="35">
        <f t="shared" si="13"/>
        <v>1300</v>
      </c>
      <c r="E116" s="65">
        <f t="shared" si="12"/>
        <v>7.4504848899837119</v>
      </c>
      <c r="H116" s="86"/>
    </row>
    <row r="117" spans="2:10" x14ac:dyDescent="0.3">
      <c r="D117" s="35">
        <f t="shared" si="13"/>
        <v>1400</v>
      </c>
      <c r="E117" s="65">
        <f t="shared" si="12"/>
        <v>8.0235991122901513</v>
      </c>
    </row>
    <row r="118" spans="2:10" x14ac:dyDescent="0.3">
      <c r="D118" s="35">
        <f t="shared" si="13"/>
        <v>1500</v>
      </c>
      <c r="E118" s="65">
        <f t="shared" si="12"/>
        <v>8.5967133345965898</v>
      </c>
    </row>
    <row r="119" spans="2:10" x14ac:dyDescent="0.3">
      <c r="D119" s="35">
        <f t="shared" si="13"/>
        <v>1600</v>
      </c>
      <c r="E119" s="65">
        <f t="shared" si="12"/>
        <v>9.1698275569030319</v>
      </c>
    </row>
    <row r="120" spans="2:10" x14ac:dyDescent="0.3">
      <c r="B120" s="53">
        <v>7.4289999999999996E-11</v>
      </c>
      <c r="C120" s="161" t="s">
        <v>120</v>
      </c>
      <c r="D120" s="35">
        <f t="shared" si="13"/>
        <v>1700</v>
      </c>
      <c r="E120" s="65">
        <f t="shared" si="12"/>
        <v>9.7429417792094686</v>
      </c>
    </row>
    <row r="121" spans="2:10" x14ac:dyDescent="0.3">
      <c r="D121" s="35">
        <f t="shared" si="13"/>
        <v>1800</v>
      </c>
      <c r="E121" s="65">
        <f t="shared" si="12"/>
        <v>10.316056001515909</v>
      </c>
    </row>
    <row r="122" spans="2:10" x14ac:dyDescent="0.3">
      <c r="D122" s="35">
        <f t="shared" si="13"/>
        <v>1900</v>
      </c>
      <c r="E122" s="65">
        <f t="shared" si="12"/>
        <v>10.889170223822349</v>
      </c>
    </row>
    <row r="123" spans="2:10" x14ac:dyDescent="0.3">
      <c r="D123" s="35">
        <f t="shared" si="13"/>
        <v>2000</v>
      </c>
      <c r="E123" s="65">
        <f t="shared" si="12"/>
        <v>11.462284446128788</v>
      </c>
    </row>
    <row r="124" spans="2:10" ht="15" thickBot="1" x14ac:dyDescent="0.35">
      <c r="D124" s="26">
        <f t="shared" si="13"/>
        <v>2100</v>
      </c>
      <c r="E124" s="67">
        <f t="shared" si="12"/>
        <v>12.035398668435226</v>
      </c>
    </row>
    <row r="126" spans="2:10" ht="15" thickBot="1" x14ac:dyDescent="0.35"/>
    <row r="127" spans="2:10" ht="18" x14ac:dyDescent="0.3">
      <c r="D127" s="11" t="s">
        <v>47</v>
      </c>
      <c r="E127" s="13" t="s">
        <v>67</v>
      </c>
      <c r="F127" s="52" t="s">
        <v>68</v>
      </c>
    </row>
    <row r="128" spans="2:10" ht="15.6" x14ac:dyDescent="0.3">
      <c r="D128" s="35">
        <f>298.15</f>
        <v>298.14999999999998</v>
      </c>
      <c r="E128" s="87">
        <f>$B$135*EXP($B$134/($A$2*D128) )</f>
        <v>0</v>
      </c>
      <c r="F128" s="150">
        <f>$B$135</f>
        <v>1</v>
      </c>
      <c r="G128" s="5" t="s">
        <v>69</v>
      </c>
      <c r="H128" s="88">
        <f>$B$135*EXP($B$134/($A$2*298.15) )</f>
        <v>0</v>
      </c>
    </row>
    <row r="129" spans="1:10" ht="15.6" x14ac:dyDescent="0.2">
      <c r="A129" s="89"/>
      <c r="D129" s="35">
        <f>300+100</f>
        <v>400</v>
      </c>
      <c r="E129" s="87">
        <f t="shared" ref="E129:E146" si="14">$B$135*EXP($B$134/($A$2*D129) )</f>
        <v>0</v>
      </c>
      <c r="F129" s="150">
        <f t="shared" ref="F129:F146" si="15">$B$135</f>
        <v>1</v>
      </c>
    </row>
    <row r="130" spans="1:10" ht="16.2" thickBot="1" x14ac:dyDescent="0.35">
      <c r="D130" s="35">
        <f t="shared" ref="D130:D146" si="16">D129+100</f>
        <v>500</v>
      </c>
      <c r="E130" s="87">
        <f t="shared" si="14"/>
        <v>0</v>
      </c>
      <c r="F130" s="150">
        <f t="shared" si="15"/>
        <v>1</v>
      </c>
    </row>
    <row r="131" spans="1:10" ht="15.6" x14ac:dyDescent="0.3">
      <c r="A131" s="90" t="s">
        <v>70</v>
      </c>
      <c r="B131" s="91">
        <v>-1.17853933039</v>
      </c>
      <c r="D131" s="35">
        <f t="shared" si="16"/>
        <v>600</v>
      </c>
      <c r="E131" s="87">
        <f t="shared" si="14"/>
        <v>9.4518296227257601E-268</v>
      </c>
      <c r="F131" s="150">
        <f t="shared" si="15"/>
        <v>1</v>
      </c>
      <c r="H131" s="17"/>
      <c r="I131" s="18" t="s">
        <v>171</v>
      </c>
      <c r="J131" s="19" t="s">
        <v>131</v>
      </c>
    </row>
    <row r="132" spans="1:10" ht="18.600000000000001" thickBot="1" x14ac:dyDescent="0.35">
      <c r="A132" s="90" t="s">
        <v>71</v>
      </c>
      <c r="B132" s="92">
        <f>B131/(229400000000000000)</f>
        <v>-5.1374861830427205E-18</v>
      </c>
      <c r="D132" s="35">
        <f t="shared" si="16"/>
        <v>700</v>
      </c>
      <c r="E132" s="87">
        <f t="shared" si="14"/>
        <v>1.3239474825467393E-229</v>
      </c>
      <c r="F132" s="150">
        <f t="shared" si="15"/>
        <v>1</v>
      </c>
      <c r="H132" s="196" t="s">
        <v>172</v>
      </c>
      <c r="I132" s="197">
        <f>$I$5+$B$131</f>
        <v>-1.1683683303900001</v>
      </c>
      <c r="J132" s="28">
        <f>$I$132*627.503</f>
        <v>-733.15463242471628</v>
      </c>
    </row>
    <row r="133" spans="1:10" ht="15.6" x14ac:dyDescent="0.3">
      <c r="A133" s="90" t="s">
        <v>72</v>
      </c>
      <c r="B133" s="90">
        <f>K5</f>
        <v>4.4342915539999994E-20</v>
      </c>
      <c r="D133" s="35">
        <f t="shared" si="16"/>
        <v>800</v>
      </c>
      <c r="E133" s="87">
        <f t="shared" si="14"/>
        <v>5.3905975971253726E-201</v>
      </c>
      <c r="F133" s="150">
        <f t="shared" si="15"/>
        <v>1</v>
      </c>
    </row>
    <row r="134" spans="1:10" ht="18" x14ac:dyDescent="0.3">
      <c r="A134" s="90" t="s">
        <v>73</v>
      </c>
      <c r="B134" s="92">
        <f>B132+B133</f>
        <v>-5.0931432675027207E-18</v>
      </c>
      <c r="D134" s="35">
        <f t="shared" si="16"/>
        <v>900</v>
      </c>
      <c r="E134" s="87">
        <f t="shared" si="14"/>
        <v>9.631130252225589E-179</v>
      </c>
      <c r="F134" s="150">
        <f t="shared" si="15"/>
        <v>1</v>
      </c>
    </row>
    <row r="135" spans="1:10" ht="18" x14ac:dyDescent="0.3">
      <c r="A135" s="90" t="s">
        <v>74</v>
      </c>
      <c r="B135" s="90">
        <v>1</v>
      </c>
      <c r="D135" s="35">
        <f t="shared" si="16"/>
        <v>1000</v>
      </c>
      <c r="E135" s="87">
        <f t="shared" si="14"/>
        <v>6.0997148170334278E-161</v>
      </c>
      <c r="F135" s="150">
        <f t="shared" si="15"/>
        <v>1</v>
      </c>
    </row>
    <row r="136" spans="1:10" ht="15.6" x14ac:dyDescent="0.3">
      <c r="A136" s="5" t="s">
        <v>75</v>
      </c>
      <c r="B136" s="53">
        <f>A2*D128</f>
        <v>4.1162588999999997E-21</v>
      </c>
      <c r="D136" s="35">
        <f t="shared" si="16"/>
        <v>1100</v>
      </c>
      <c r="E136" s="87">
        <f t="shared" si="14"/>
        <v>2.240172138658581E-146</v>
      </c>
      <c r="F136" s="150">
        <f t="shared" si="15"/>
        <v>1</v>
      </c>
    </row>
    <row r="137" spans="1:10" ht="15.6" x14ac:dyDescent="0.3">
      <c r="D137" s="35">
        <f t="shared" si="16"/>
        <v>1200</v>
      </c>
      <c r="E137" s="87">
        <f t="shared" si="14"/>
        <v>3.0743828035437879E-134</v>
      </c>
      <c r="F137" s="150">
        <f t="shared" si="15"/>
        <v>1</v>
      </c>
    </row>
    <row r="138" spans="1:10" ht="15.6" x14ac:dyDescent="0.3">
      <c r="D138" s="35">
        <f t="shared" si="16"/>
        <v>1300</v>
      </c>
      <c r="E138" s="87">
        <f t="shared" si="14"/>
        <v>5.7270425294940169E-124</v>
      </c>
      <c r="F138" s="150">
        <f t="shared" si="15"/>
        <v>1</v>
      </c>
    </row>
    <row r="139" spans="1:10" ht="15.6" x14ac:dyDescent="0.3">
      <c r="D139" s="35">
        <f t="shared" si="16"/>
        <v>1400</v>
      </c>
      <c r="E139" s="87">
        <f t="shared" si="14"/>
        <v>3.638608913509034E-115</v>
      </c>
      <c r="F139" s="150">
        <f t="shared" si="15"/>
        <v>1</v>
      </c>
    </row>
    <row r="140" spans="1:10" ht="15.6" x14ac:dyDescent="0.3">
      <c r="D140" s="35">
        <f t="shared" si="16"/>
        <v>1500</v>
      </c>
      <c r="E140" s="87">
        <f t="shared" si="14"/>
        <v>1.5495527096335446E-107</v>
      </c>
      <c r="F140" s="150">
        <f t="shared" si="15"/>
        <v>1</v>
      </c>
    </row>
    <row r="141" spans="1:10" ht="15.6" x14ac:dyDescent="0.3">
      <c r="D141" s="35">
        <f t="shared" si="16"/>
        <v>1600</v>
      </c>
      <c r="E141" s="87">
        <f t="shared" si="14"/>
        <v>7.3420689162696995E-101</v>
      </c>
      <c r="F141" s="150">
        <f t="shared" si="15"/>
        <v>1</v>
      </c>
    </row>
    <row r="142" spans="1:10" ht="15.6" x14ac:dyDescent="0.3">
      <c r="D142" s="35">
        <f t="shared" si="16"/>
        <v>1700</v>
      </c>
      <c r="E142" s="87">
        <f t="shared" si="14"/>
        <v>5.7024886536379932E-95</v>
      </c>
      <c r="F142" s="150">
        <f t="shared" si="15"/>
        <v>1</v>
      </c>
    </row>
    <row r="143" spans="1:10" ht="15.6" x14ac:dyDescent="0.3">
      <c r="D143" s="35">
        <f t="shared" si="16"/>
        <v>1800</v>
      </c>
      <c r="E143" s="87">
        <f t="shared" si="14"/>
        <v>9.8138322036937181E-90</v>
      </c>
      <c r="F143" s="150">
        <f t="shared" si="15"/>
        <v>1</v>
      </c>
    </row>
    <row r="144" spans="1:10" ht="15.6" x14ac:dyDescent="0.3">
      <c r="D144" s="35">
        <f t="shared" si="16"/>
        <v>1900</v>
      </c>
      <c r="E144" s="87">
        <f t="shared" si="14"/>
        <v>4.7476500589507867E-85</v>
      </c>
      <c r="F144" s="150">
        <f t="shared" si="15"/>
        <v>1</v>
      </c>
    </row>
    <row r="145" spans="4:13" ht="15.6" x14ac:dyDescent="0.3">
      <c r="D145" s="35">
        <f t="shared" si="16"/>
        <v>2000</v>
      </c>
      <c r="E145" s="87">
        <f t="shared" si="14"/>
        <v>7.8100671040865117E-81</v>
      </c>
      <c r="F145" s="150">
        <f t="shared" si="15"/>
        <v>1</v>
      </c>
    </row>
    <row r="146" spans="4:13" ht="16.2" thickBot="1" x14ac:dyDescent="0.35">
      <c r="D146" s="26">
        <f t="shared" si="16"/>
        <v>2100</v>
      </c>
      <c r="E146" s="93">
        <f t="shared" si="14"/>
        <v>5.0967138673658266E-77</v>
      </c>
      <c r="F146" s="151">
        <f t="shared" si="15"/>
        <v>1</v>
      </c>
    </row>
    <row r="151" spans="4:13" ht="15" thickBot="1" x14ac:dyDescent="0.35">
      <c r="H151" s="5" t="s">
        <v>76</v>
      </c>
    </row>
    <row r="152" spans="4:13" ht="20.399999999999999" x14ac:dyDescent="0.3">
      <c r="D152" s="94" t="s">
        <v>47</v>
      </c>
      <c r="E152" s="95" t="s">
        <v>77</v>
      </c>
      <c r="F152" s="96" t="s">
        <v>78</v>
      </c>
      <c r="G152" s="96" t="s">
        <v>79</v>
      </c>
      <c r="H152" s="96" t="s">
        <v>80</v>
      </c>
      <c r="I152" s="97" t="s">
        <v>81</v>
      </c>
    </row>
    <row r="153" spans="4:13" ht="15.6" x14ac:dyDescent="0.3">
      <c r="D153" s="35">
        <f>298.15</f>
        <v>298.14999999999998</v>
      </c>
      <c r="E153" s="98">
        <f xml:space="preserve"> ( 8*$B$2*$B$2 *$A$2*D106 *$B$112) / ($B$6*$C$2*$C$2)</f>
        <v>1.7087400538066488</v>
      </c>
      <c r="F153" s="92">
        <v>1</v>
      </c>
      <c r="G153" s="53">
        <f xml:space="preserve"> ( (2*$B$2*$E$2*$A$2*D153)/($C$2*$C$2) )^(1.5) * ($A$2*D153) /$F$83</f>
        <v>112416.41450476111</v>
      </c>
      <c r="H153" s="53">
        <f>PRODUCT(E54:E62)</f>
        <v>1.0000000004399896</v>
      </c>
      <c r="I153" s="152">
        <f>PRODUCT(E153:H153)</f>
        <v>192090.43025413383</v>
      </c>
      <c r="J153" s="63"/>
      <c r="K153" s="86"/>
      <c r="M153" s="53"/>
    </row>
    <row r="154" spans="4:13" ht="15.6" x14ac:dyDescent="0.3">
      <c r="D154" s="35">
        <f>300+100</f>
        <v>400</v>
      </c>
      <c r="E154" s="98">
        <f t="shared" ref="E154:E171" si="17" xml:space="preserve"> ( 8*$B$2*$B$2 *$A$2*D107 *$B$112) / ($B$6*$C$2*$C$2)</f>
        <v>2.292456889225758</v>
      </c>
      <c r="F154" s="92">
        <v>1</v>
      </c>
      <c r="G154" s="53">
        <f t="shared" ref="G154:G171" si="18" xml:space="preserve"> ( (2*$B$2*$E$2*$A$2*D154)/($C$2*$C$2) )^(1.5) * ($A$2*D154) /$F$83</f>
        <v>234364.95617748235</v>
      </c>
      <c r="H154" s="53">
        <f>PRODUCT(F54:F62)</f>
        <v>1.0000001061343131</v>
      </c>
      <c r="I154" s="65">
        <f>PRODUCT(E154:H154)</f>
        <v>537271.61540511006</v>
      </c>
      <c r="M154" s="100"/>
    </row>
    <row r="155" spans="4:13" ht="15.6" x14ac:dyDescent="0.3">
      <c r="D155" s="35">
        <f t="shared" ref="D155:D171" si="19">D154+100</f>
        <v>500</v>
      </c>
      <c r="E155" s="98">
        <f t="shared" si="17"/>
        <v>2.8655711115321969</v>
      </c>
      <c r="F155" s="92">
        <v>1</v>
      </c>
      <c r="G155" s="53">
        <f t="shared" si="18"/>
        <v>409418.72934110375</v>
      </c>
      <c r="H155" s="53">
        <f>PRODUCT(G54:G62)</f>
        <v>1.0000026344245077</v>
      </c>
      <c r="I155" s="65">
        <f>PRODUCT(E155:H155)</f>
        <v>1173221.5740756115</v>
      </c>
      <c r="J155" s="5" t="s">
        <v>82</v>
      </c>
    </row>
    <row r="156" spans="4:13" ht="16.2" thickBot="1" x14ac:dyDescent="0.35">
      <c r="D156" s="35">
        <f t="shared" si="19"/>
        <v>600</v>
      </c>
      <c r="E156" s="98">
        <f t="shared" si="17"/>
        <v>3.4386853338386367</v>
      </c>
      <c r="F156" s="92">
        <v>1</v>
      </c>
      <c r="G156" s="53">
        <f t="shared" si="18"/>
        <v>645833.87575264857</v>
      </c>
      <c r="H156" s="53">
        <f>PRODUCT(H54:H62)</f>
        <v>1.0000224171422158</v>
      </c>
      <c r="I156" s="65">
        <f t="shared" ref="I156:I171" si="20">PRODUCT(E156:H156)</f>
        <v>2220869.2610728405</v>
      </c>
    </row>
    <row r="157" spans="4:13" ht="16.2" thickBot="1" x14ac:dyDescent="0.35">
      <c r="D157" s="35">
        <f t="shared" si="19"/>
        <v>700</v>
      </c>
      <c r="E157" s="98">
        <f t="shared" si="17"/>
        <v>4.0117995561450757</v>
      </c>
      <c r="F157" s="92">
        <v>1</v>
      </c>
      <c r="G157" s="53">
        <f t="shared" si="18"/>
        <v>949484.31605107896</v>
      </c>
      <c r="H157" s="53">
        <f>PRODUCT(I54:I62)</f>
        <v>1.0001034712412127</v>
      </c>
      <c r="I157" s="65">
        <f t="shared" si="20"/>
        <v>3809534.8942225822</v>
      </c>
      <c r="L157" s="16" t="s">
        <v>61</v>
      </c>
    </row>
    <row r="158" spans="4:13" ht="15.6" x14ac:dyDescent="0.3">
      <c r="D158" s="35">
        <f t="shared" si="19"/>
        <v>800</v>
      </c>
      <c r="E158" s="98">
        <f t="shared" si="17"/>
        <v>4.5849137784515159</v>
      </c>
      <c r="F158" s="92">
        <v>1</v>
      </c>
      <c r="G158" s="53">
        <f t="shared" si="18"/>
        <v>1325768.3982846902</v>
      </c>
      <c r="H158" s="53">
        <f>PRODUCT(J54:J62)</f>
        <v>1.0003258887678592</v>
      </c>
      <c r="I158" s="65">
        <f t="shared" si="20"/>
        <v>6080514.7222203501</v>
      </c>
      <c r="J158" s="79" t="s">
        <v>62</v>
      </c>
      <c r="K158" s="17" t="s">
        <v>83</v>
      </c>
      <c r="L158" s="80">
        <f>I153</f>
        <v>192090.43025413383</v>
      </c>
    </row>
    <row r="159" spans="4:13" ht="16.2" thickBot="1" x14ac:dyDescent="0.35">
      <c r="D159" s="35">
        <f t="shared" si="19"/>
        <v>900</v>
      </c>
      <c r="E159" s="98">
        <f t="shared" si="17"/>
        <v>5.1580280007579544</v>
      </c>
      <c r="F159" s="92">
        <v>1</v>
      </c>
      <c r="G159" s="53">
        <f t="shared" si="18"/>
        <v>1779708.8859727592</v>
      </c>
      <c r="H159" s="53">
        <f>PRODUCT(K54:K62)</f>
        <v>1.000795656752637</v>
      </c>
      <c r="I159" s="65">
        <f t="shared" si="20"/>
        <v>9187092.2275676895</v>
      </c>
      <c r="J159" s="63" t="s">
        <v>64</v>
      </c>
      <c r="K159" s="26" t="s">
        <v>83</v>
      </c>
      <c r="L159" s="81">
        <v>192261</v>
      </c>
    </row>
    <row r="160" spans="4:13" ht="15.6" x14ac:dyDescent="0.3">
      <c r="D160" s="35">
        <f t="shared" si="19"/>
        <v>1000</v>
      </c>
      <c r="E160" s="98">
        <f t="shared" si="17"/>
        <v>5.7311422230643938</v>
      </c>
      <c r="F160" s="92">
        <v>1</v>
      </c>
      <c r="G160" s="53">
        <f t="shared" si="18"/>
        <v>2316022.0788949998</v>
      </c>
      <c r="H160" s="53">
        <f>PRODUCT(L54:L62)</f>
        <v>1.0016257275973854</v>
      </c>
      <c r="I160" s="65">
        <f t="shared" si="20"/>
        <v>13295030.94301302</v>
      </c>
      <c r="L160" s="82" t="s">
        <v>58</v>
      </c>
    </row>
    <row r="161" spans="1:12" ht="15.6" x14ac:dyDescent="0.3">
      <c r="D161" s="35">
        <f t="shared" si="19"/>
        <v>1100</v>
      </c>
      <c r="E161" s="98">
        <f t="shared" si="17"/>
        <v>6.3042564453708341</v>
      </c>
      <c r="F161" s="92">
        <v>1</v>
      </c>
      <c r="G161" s="53">
        <f t="shared" si="18"/>
        <v>2939167.9831720074</v>
      </c>
      <c r="H161" s="53">
        <f>PRODUCT(M54:M62)</f>
        <v>1.0029188605732668</v>
      </c>
      <c r="I161" s="65">
        <f t="shared" si="20"/>
        <v>18583353.053805284</v>
      </c>
      <c r="L161" s="162">
        <f>ABS(L158-L159)/L159</f>
        <v>8.871780853432279E-4</v>
      </c>
    </row>
    <row r="162" spans="1:12" ht="15.6" x14ac:dyDescent="0.3">
      <c r="D162" s="35">
        <f t="shared" si="19"/>
        <v>1200</v>
      </c>
      <c r="E162" s="98">
        <f t="shared" si="17"/>
        <v>6.8773706676772735</v>
      </c>
      <c r="F162" s="92">
        <v>1</v>
      </c>
      <c r="G162" s="53">
        <f t="shared" si="18"/>
        <v>3653388.1045174622</v>
      </c>
      <c r="H162" s="53">
        <f>PRODUCT(N54:N62)</f>
        <v>1.0047571446680683</v>
      </c>
      <c r="I162" s="65">
        <f t="shared" si="20"/>
        <v>25245230.797357205</v>
      </c>
    </row>
    <row r="163" spans="1:12" ht="15.6" x14ac:dyDescent="0.3">
      <c r="D163" s="35">
        <f t="shared" si="19"/>
        <v>1300</v>
      </c>
      <c r="E163" s="98">
        <f t="shared" si="17"/>
        <v>7.4504848899837119</v>
      </c>
      <c r="F163" s="92">
        <v>1</v>
      </c>
      <c r="G163" s="53">
        <f t="shared" si="18"/>
        <v>4462734.7645998448</v>
      </c>
      <c r="H163" s="53">
        <f>PRODUCT(O54:O62)</f>
        <v>1.0071982083228574</v>
      </c>
      <c r="I163" s="65">
        <f t="shared" si="20"/>
        <v>33488875.032326974</v>
      </c>
      <c r="J163" s="86"/>
    </row>
    <row r="164" spans="1:12" ht="15.6" x14ac:dyDescent="0.3">
      <c r="D164" s="35">
        <f t="shared" si="19"/>
        <v>1400</v>
      </c>
      <c r="E164" s="98">
        <f t="shared" si="17"/>
        <v>8.0235991122901513</v>
      </c>
      <c r="F164" s="92">
        <v>1</v>
      </c>
      <c r="G164" s="53">
        <f t="shared" si="18"/>
        <v>5371094.3880799273</v>
      </c>
      <c r="H164" s="53">
        <f>PRODUCT(P54:P62)</f>
        <v>1.0102760789457457</v>
      </c>
      <c r="I164" s="65">
        <f t="shared" si="20"/>
        <v>43538361.00832732</v>
      </c>
    </row>
    <row r="165" spans="1:12" ht="15.6" x14ac:dyDescent="0.3">
      <c r="D165" s="35">
        <f t="shared" si="19"/>
        <v>1500</v>
      </c>
      <c r="E165" s="98">
        <f t="shared" si="17"/>
        <v>8.5967133345965898</v>
      </c>
      <c r="F165" s="92">
        <v>1</v>
      </c>
      <c r="G165" s="53">
        <f t="shared" si="18"/>
        <v>6382206.3671018081</v>
      </c>
      <c r="H165" s="53">
        <f>PRODUCT(Q54:Q62)</f>
        <v>1.0140045156633004</v>
      </c>
      <c r="I165" s="65">
        <f t="shared" si="20"/>
        <v>55634370.316710562</v>
      </c>
    </row>
    <row r="166" spans="1:12" ht="15.6" x14ac:dyDescent="0.3">
      <c r="D166" s="35">
        <f t="shared" si="19"/>
        <v>1600</v>
      </c>
      <c r="E166" s="98">
        <f t="shared" si="17"/>
        <v>9.1698275569030319</v>
      </c>
      <c r="F166" s="92">
        <v>1</v>
      </c>
      <c r="G166" s="53">
        <f t="shared" si="18"/>
        <v>7499678.5976794772</v>
      </c>
      <c r="H166" s="53">
        <f>PRODUCT(R54:R62)</f>
        <v>1.0183812195969593</v>
      </c>
      <c r="I166" s="65">
        <f t="shared" si="20"/>
        <v>70034849.904638514</v>
      </c>
    </row>
    <row r="167" spans="1:12" ht="15.6" x14ac:dyDescent="0.3">
      <c r="D167" s="35">
        <f t="shared" si="19"/>
        <v>1700</v>
      </c>
      <c r="E167" s="98">
        <f t="shared" si="17"/>
        <v>9.7429417792094686</v>
      </c>
      <c r="F167" s="92">
        <v>1</v>
      </c>
      <c r="G167" s="53">
        <f t="shared" si="18"/>
        <v>8727000.456781581</v>
      </c>
      <c r="H167" s="53">
        <f>PRODUCT(S54:S62)</f>
        <v>1.023391975131009</v>
      </c>
      <c r="I167" s="65">
        <f t="shared" si="20"/>
        <v>87015598.811938196</v>
      </c>
    </row>
    <row r="168" spans="1:12" ht="15.6" x14ac:dyDescent="0.3">
      <c r="D168" s="35">
        <f t="shared" si="19"/>
        <v>1800</v>
      </c>
      <c r="E168" s="98">
        <f t="shared" si="17"/>
        <v>10.316056001515909</v>
      </c>
      <c r="F168" s="92">
        <v>1</v>
      </c>
      <c r="G168" s="53">
        <f t="shared" si="18"/>
        <v>10067553.774474381</v>
      </c>
      <c r="H168" s="53">
        <f>PRODUCT(T54:T62)</f>
        <v>1.0290142644841496</v>
      </c>
      <c r="I168" s="65">
        <f t="shared" si="20"/>
        <v>106870796.01621579</v>
      </c>
    </row>
    <row r="169" spans="1:12" ht="15.6" x14ac:dyDescent="0.3">
      <c r="D169" s="35">
        <f t="shared" si="19"/>
        <v>1900</v>
      </c>
      <c r="E169" s="98">
        <f t="shared" si="17"/>
        <v>10.889170223822349</v>
      </c>
      <c r="F169" s="92">
        <v>1</v>
      </c>
      <c r="G169" s="53">
        <f t="shared" si="18"/>
        <v>11524622.209952559</v>
      </c>
      <c r="H169" s="53">
        <f>PRODUCT(U54:U62)</f>
        <v>1.0352202024157715</v>
      </c>
      <c r="I169" s="65">
        <f>PRODUCT(E169:H169)</f>
        <v>129913482.0526872</v>
      </c>
    </row>
    <row r="170" spans="1:12" ht="15.6" x14ac:dyDescent="0.3">
      <c r="D170" s="35">
        <f t="shared" si="19"/>
        <v>2000</v>
      </c>
      <c r="E170" s="98">
        <f t="shared" si="17"/>
        <v>11.462284446128788</v>
      </c>
      <c r="F170" s="92">
        <v>1</v>
      </c>
      <c r="G170" s="53">
        <f t="shared" si="18"/>
        <v>13101399.338915395</v>
      </c>
      <c r="H170" s="53">
        <f>PRODUCT(V54:V62)</f>
        <v>1.0419788016761509</v>
      </c>
      <c r="I170" s="65">
        <f t="shared" si="20"/>
        <v>156476005.03733525</v>
      </c>
    </row>
    <row r="171" spans="1:12" ht="16.2" thickBot="1" x14ac:dyDescent="0.35">
      <c r="D171" s="26">
        <f t="shared" si="19"/>
        <v>2100</v>
      </c>
      <c r="E171" s="102">
        <f t="shared" si="17"/>
        <v>12.035398668435226</v>
      </c>
      <c r="F171" s="103">
        <v>1</v>
      </c>
      <c r="G171" s="57">
        <f t="shared" si="18"/>
        <v>14800995.687512243</v>
      </c>
      <c r="H171" s="57">
        <f>PRODUCT(W54:W62)</f>
        <v>1.0492576536243237</v>
      </c>
      <c r="I171" s="67">
        <f t="shared" si="20"/>
        <v>186910439.45074171</v>
      </c>
    </row>
    <row r="174" spans="1:12" ht="15" thickBot="1" x14ac:dyDescent="0.35">
      <c r="A174" s="5" t="s">
        <v>85</v>
      </c>
      <c r="B174" s="208" t="s">
        <v>86</v>
      </c>
      <c r="C174" s="208"/>
      <c r="D174" s="208"/>
      <c r="E174" s="208"/>
      <c r="F174" s="208"/>
      <c r="G174" s="104"/>
      <c r="H174" s="208" t="s">
        <v>87</v>
      </c>
      <c r="I174" s="208"/>
      <c r="J174" s="208"/>
      <c r="K174" s="208"/>
    </row>
    <row r="175" spans="1:12" ht="18" x14ac:dyDescent="0.3">
      <c r="A175" s="5" t="s">
        <v>88</v>
      </c>
      <c r="B175" s="95" t="s">
        <v>47</v>
      </c>
      <c r="C175" s="16" t="s">
        <v>89</v>
      </c>
      <c r="D175" s="16" t="s">
        <v>37</v>
      </c>
      <c r="E175" s="16" t="s">
        <v>38</v>
      </c>
      <c r="F175" s="16" t="s">
        <v>90</v>
      </c>
      <c r="G175" s="104" t="s">
        <v>91</v>
      </c>
      <c r="H175" s="95" t="s">
        <v>47</v>
      </c>
      <c r="I175" s="16" t="s">
        <v>89</v>
      </c>
      <c r="J175" s="16" t="s">
        <v>37</v>
      </c>
      <c r="K175" s="16" t="s">
        <v>38</v>
      </c>
      <c r="L175" s="16" t="s">
        <v>90</v>
      </c>
    </row>
    <row r="176" spans="1:12" ht="15" thickBot="1" x14ac:dyDescent="0.35">
      <c r="B176" s="35">
        <f>298.15</f>
        <v>298.14999999999998</v>
      </c>
      <c r="C176" s="55">
        <f>3/2*$D$2*B176</f>
        <v>3718.4397401999995</v>
      </c>
      <c r="D176" s="55">
        <f>3/2*$D$2*B176</f>
        <v>3718.4397401999995</v>
      </c>
      <c r="E176" s="55">
        <f>$D$2* ( $B$12/(EXP($B$12/B176)-1) + 0.5*$B$12 )</f>
        <v>26702.675153997046</v>
      </c>
      <c r="F176" s="58">
        <v>0</v>
      </c>
      <c r="H176" s="35">
        <f>298.15</f>
        <v>298.14999999999998</v>
      </c>
      <c r="I176" s="105">
        <f>3/2*$D$2*H176 /4184</f>
        <v>0.8887284273900572</v>
      </c>
      <c r="J176" s="105">
        <f>3/2*$D$2*H176 / 4184</f>
        <v>0.8887284273900572</v>
      </c>
      <c r="K176" s="105">
        <f xml:space="preserve"> ($D$2* ( $B$12/(EXP($B$12/B176)-1) + 0.5*$B$12 ))/4184</f>
        <v>6.3820925320260624</v>
      </c>
      <c r="L176" s="106">
        <f xml:space="preserve"> F176/4184</f>
        <v>0</v>
      </c>
    </row>
    <row r="177" spans="2:14" x14ac:dyDescent="0.3">
      <c r="B177" s="35">
        <f>300+100</f>
        <v>400</v>
      </c>
      <c r="C177" s="55">
        <f t="shared" ref="C177:C194" si="21">3/2*$D$2*B177</f>
        <v>4988.6831999999995</v>
      </c>
      <c r="D177" s="55">
        <f t="shared" ref="D177:D194" si="22">3/2*$D$2*B177</f>
        <v>4988.6831999999995</v>
      </c>
      <c r="E177" s="55">
        <f t="shared" ref="E177:E194" si="23">$D$2* ( $B$12/(EXP($B$12/B177)-1) + 0.5*$B$12 )</f>
        <v>26702.680802081886</v>
      </c>
      <c r="H177" s="35">
        <f>300+100</f>
        <v>400</v>
      </c>
      <c r="I177" s="55">
        <f t="shared" ref="I177:I194" si="24">3/2*$D$2*H177 /4184</f>
        <v>1.1923239005736137</v>
      </c>
      <c r="J177" s="55">
        <f>3/2*$D$2*H177 / 4184</f>
        <v>1.1923239005736137</v>
      </c>
      <c r="K177" s="55">
        <f>($D$2* ( $B$12/(EXP($B$12/B177)-1) + 0.5*$B$12 ))/4184</f>
        <v>6.3820938819507376</v>
      </c>
      <c r="M177" s="212" t="s">
        <v>92</v>
      </c>
      <c r="N177" s="212"/>
    </row>
    <row r="178" spans="2:14" ht="18.600000000000001" thickBot="1" x14ac:dyDescent="0.35">
      <c r="B178" s="35">
        <f t="shared" ref="B178:B194" si="25">B177+100</f>
        <v>500</v>
      </c>
      <c r="C178" s="55">
        <f t="shared" si="21"/>
        <v>6235.8539999999994</v>
      </c>
      <c r="D178" s="55">
        <f t="shared" si="22"/>
        <v>6235.8539999999994</v>
      </c>
      <c r="E178" s="55">
        <f t="shared" si="23"/>
        <v>26702.81589157995</v>
      </c>
      <c r="H178" s="35">
        <f t="shared" ref="H178:H194" si="26">H177+100</f>
        <v>500</v>
      </c>
      <c r="I178" s="55">
        <f t="shared" si="24"/>
        <v>1.490404875717017</v>
      </c>
      <c r="J178" s="55">
        <f t="shared" ref="J178:J194" si="27">3/2*$D$2*H178 / 4184</f>
        <v>1.490404875717017</v>
      </c>
      <c r="K178" s="55">
        <f t="shared" ref="K178:K194" si="28">($D$2* ( $B$12/(EXP($B$12/B178)-1) + 0.5*$B$12 ))/4184</f>
        <v>6.3821261691156668</v>
      </c>
      <c r="M178" s="213" t="s">
        <v>93</v>
      </c>
      <c r="N178" s="213"/>
    </row>
    <row r="179" spans="2:14" x14ac:dyDescent="0.3">
      <c r="B179" s="35">
        <f t="shared" si="25"/>
        <v>600</v>
      </c>
      <c r="C179" s="55">
        <f t="shared" si="21"/>
        <v>7483.0248000000001</v>
      </c>
      <c r="D179" s="55">
        <f t="shared" si="22"/>
        <v>7483.0248000000001</v>
      </c>
      <c r="E179" s="55">
        <f t="shared" si="23"/>
        <v>26703.872813217829</v>
      </c>
      <c r="H179" s="35">
        <f t="shared" si="26"/>
        <v>600</v>
      </c>
      <c r="I179" s="55">
        <f t="shared" si="24"/>
        <v>1.7884858508604207</v>
      </c>
      <c r="J179" s="55">
        <f t="shared" si="27"/>
        <v>1.7884858508604207</v>
      </c>
      <c r="K179" s="55">
        <f t="shared" si="28"/>
        <v>6.3823787794497679</v>
      </c>
      <c r="M179" s="38"/>
      <c r="N179" s="4" t="s">
        <v>28</v>
      </c>
    </row>
    <row r="180" spans="2:14" x14ac:dyDescent="0.3">
      <c r="B180" s="35">
        <f t="shared" si="25"/>
        <v>700</v>
      </c>
      <c r="C180" s="55">
        <f t="shared" si="21"/>
        <v>8730.1955999999991</v>
      </c>
      <c r="D180" s="55">
        <f t="shared" si="22"/>
        <v>8730.1955999999991</v>
      </c>
      <c r="E180" s="55">
        <f t="shared" si="23"/>
        <v>26708.202976798428</v>
      </c>
      <c r="H180" s="35">
        <f t="shared" si="26"/>
        <v>700</v>
      </c>
      <c r="I180" s="55">
        <f t="shared" si="24"/>
        <v>2.0865668260038239</v>
      </c>
      <c r="J180" s="55">
        <f t="shared" si="27"/>
        <v>2.0865668260038239</v>
      </c>
      <c r="K180" s="55">
        <f t="shared" si="28"/>
        <v>6.3834137133839457</v>
      </c>
      <c r="M180" s="39"/>
      <c r="N180" s="41" t="s">
        <v>31</v>
      </c>
    </row>
    <row r="181" spans="2:14" x14ac:dyDescent="0.3">
      <c r="B181" s="35">
        <f t="shared" si="25"/>
        <v>800</v>
      </c>
      <c r="C181" s="55">
        <f t="shared" si="21"/>
        <v>9977.366399999999</v>
      </c>
      <c r="D181" s="55">
        <f t="shared" si="22"/>
        <v>9977.366399999999</v>
      </c>
      <c r="E181" s="55">
        <f t="shared" si="23"/>
        <v>26720.084649857126</v>
      </c>
      <c r="H181" s="35">
        <f t="shared" si="26"/>
        <v>800</v>
      </c>
      <c r="I181" s="55">
        <f t="shared" si="24"/>
        <v>2.3846478011472274</v>
      </c>
      <c r="J181" s="55">
        <f t="shared" si="27"/>
        <v>2.3846478011472274</v>
      </c>
      <c r="K181" s="55">
        <f t="shared" si="28"/>
        <v>6.3862535013998869</v>
      </c>
      <c r="M181" s="39" t="s">
        <v>33</v>
      </c>
      <c r="N181" s="41">
        <v>7.8630000000000004</v>
      </c>
    </row>
    <row r="182" spans="2:14" x14ac:dyDescent="0.3">
      <c r="B182" s="35">
        <f t="shared" si="25"/>
        <v>900</v>
      </c>
      <c r="C182" s="55">
        <f t="shared" si="21"/>
        <v>11224.537199999999</v>
      </c>
      <c r="D182" s="55">
        <f t="shared" si="22"/>
        <v>11224.537199999999</v>
      </c>
      <c r="E182" s="55">
        <f t="shared" si="23"/>
        <v>26745.178999252781</v>
      </c>
      <c r="H182" s="35">
        <f t="shared" si="26"/>
        <v>900</v>
      </c>
      <c r="I182" s="55">
        <f t="shared" si="24"/>
        <v>2.6827287762906309</v>
      </c>
      <c r="J182" s="55">
        <f t="shared" si="27"/>
        <v>2.6827287762906309</v>
      </c>
      <c r="K182" s="55">
        <f t="shared" si="28"/>
        <v>6.3922511948500906</v>
      </c>
      <c r="M182" s="39" t="s">
        <v>34</v>
      </c>
      <c r="N182" s="41" t="s">
        <v>35</v>
      </c>
    </row>
    <row r="183" spans="2:14" x14ac:dyDescent="0.3">
      <c r="B183" s="35">
        <f t="shared" si="25"/>
        <v>1000</v>
      </c>
      <c r="C183" s="55">
        <f t="shared" si="21"/>
        <v>12471.707999999999</v>
      </c>
      <c r="D183" s="55">
        <f t="shared" si="22"/>
        <v>12471.707999999999</v>
      </c>
      <c r="E183" s="55">
        <f t="shared" si="23"/>
        <v>26789.518923012074</v>
      </c>
      <c r="H183" s="35">
        <f t="shared" si="26"/>
        <v>1000</v>
      </c>
      <c r="I183" s="55">
        <f t="shared" si="24"/>
        <v>2.9808097514340339</v>
      </c>
      <c r="J183" s="55">
        <f t="shared" si="27"/>
        <v>2.9808097514340339</v>
      </c>
      <c r="K183" s="55">
        <f t="shared" si="28"/>
        <v>6.4028486909684688</v>
      </c>
      <c r="M183" s="39" t="s">
        <v>36</v>
      </c>
      <c r="N183" s="41">
        <v>0.88900000000000001</v>
      </c>
    </row>
    <row r="184" spans="2:14" x14ac:dyDescent="0.3">
      <c r="B184" s="35">
        <f t="shared" si="25"/>
        <v>1100</v>
      </c>
      <c r="C184" s="55">
        <f t="shared" si="21"/>
        <v>13718.8788</v>
      </c>
      <c r="D184" s="55">
        <f t="shared" si="22"/>
        <v>13718.8788</v>
      </c>
      <c r="E184" s="55">
        <f t="shared" si="23"/>
        <v>26858.592615278078</v>
      </c>
      <c r="H184" s="35">
        <f t="shared" si="26"/>
        <v>1100</v>
      </c>
      <c r="I184" s="55">
        <f t="shared" si="24"/>
        <v>3.2788907265774379</v>
      </c>
      <c r="J184" s="55">
        <f t="shared" si="27"/>
        <v>3.2788907265774379</v>
      </c>
      <c r="K184" s="55">
        <f t="shared" si="28"/>
        <v>6.4193576996362518</v>
      </c>
      <c r="M184" s="39" t="s">
        <v>37</v>
      </c>
      <c r="N184" s="41">
        <v>0.59199999999999997</v>
      </c>
    </row>
    <row r="185" spans="2:14" ht="15" thickBot="1" x14ac:dyDescent="0.35">
      <c r="B185" s="35">
        <f t="shared" si="25"/>
        <v>1200</v>
      </c>
      <c r="C185" s="55">
        <f t="shared" si="21"/>
        <v>14966.0496</v>
      </c>
      <c r="D185" s="55">
        <f t="shared" si="22"/>
        <v>14966.0496</v>
      </c>
      <c r="E185" s="55">
        <f t="shared" si="23"/>
        <v>26956.78406357878</v>
      </c>
      <c r="H185" s="35">
        <f t="shared" si="26"/>
        <v>1200</v>
      </c>
      <c r="I185" s="55">
        <f t="shared" si="24"/>
        <v>3.5769717017208413</v>
      </c>
      <c r="J185" s="55">
        <f t="shared" si="27"/>
        <v>3.5769717017208413</v>
      </c>
      <c r="K185" s="55">
        <f t="shared" si="28"/>
        <v>6.442826019019785</v>
      </c>
      <c r="M185" s="44" t="s">
        <v>38</v>
      </c>
      <c r="N185" s="144">
        <v>6.3819999999999997</v>
      </c>
    </row>
    <row r="186" spans="2:14" x14ac:dyDescent="0.3">
      <c r="B186" s="35">
        <f t="shared" si="25"/>
        <v>1300</v>
      </c>
      <c r="C186" s="55">
        <f t="shared" si="21"/>
        <v>16213.2204</v>
      </c>
      <c r="D186" s="55">
        <f t="shared" si="22"/>
        <v>16213.2204</v>
      </c>
      <c r="E186" s="55">
        <f t="shared" si="23"/>
        <v>27087.170711867231</v>
      </c>
      <c r="H186" s="35">
        <f t="shared" si="26"/>
        <v>1300</v>
      </c>
      <c r="I186" s="55">
        <f t="shared" si="24"/>
        <v>3.8750526768642448</v>
      </c>
      <c r="J186" s="55">
        <f t="shared" si="27"/>
        <v>3.8750526768642448</v>
      </c>
      <c r="K186" s="55">
        <f t="shared" si="28"/>
        <v>6.4739891758764889</v>
      </c>
      <c r="N186" s="47"/>
    </row>
    <row r="187" spans="2:14" x14ac:dyDescent="0.3">
      <c r="B187" s="35">
        <f t="shared" si="25"/>
        <v>1400</v>
      </c>
      <c r="C187" s="55">
        <f t="shared" si="21"/>
        <v>17460.391199999998</v>
      </c>
      <c r="D187" s="55">
        <f t="shared" si="22"/>
        <v>17460.391199999998</v>
      </c>
      <c r="E187" s="55">
        <f t="shared" si="23"/>
        <v>27251.569451573305</v>
      </c>
      <c r="H187" s="35">
        <f t="shared" si="26"/>
        <v>1400</v>
      </c>
      <c r="I187" s="55">
        <f t="shared" si="24"/>
        <v>4.1731336520076479</v>
      </c>
      <c r="J187" s="55">
        <f t="shared" si="27"/>
        <v>4.1731336520076479</v>
      </c>
      <c r="K187" s="55">
        <f t="shared" si="28"/>
        <v>6.5132814176800444</v>
      </c>
    </row>
    <row r="188" spans="2:14" ht="15" thickBot="1" x14ac:dyDescent="0.35">
      <c r="B188" s="35">
        <f t="shared" si="25"/>
        <v>1500</v>
      </c>
      <c r="C188" s="55">
        <f t="shared" si="21"/>
        <v>18707.561999999998</v>
      </c>
      <c r="D188" s="55">
        <f t="shared" si="22"/>
        <v>18707.561999999998</v>
      </c>
      <c r="E188" s="55">
        <f t="shared" si="23"/>
        <v>27450.714680441055</v>
      </c>
      <c r="H188" s="35">
        <f t="shared" si="26"/>
        <v>1500</v>
      </c>
      <c r="I188" s="55">
        <f t="shared" si="24"/>
        <v>4.4712146271510509</v>
      </c>
      <c r="J188" s="55">
        <f t="shared" si="27"/>
        <v>4.4712146271510509</v>
      </c>
      <c r="K188" s="55">
        <f t="shared" si="28"/>
        <v>6.5608782697038848</v>
      </c>
    </row>
    <row r="189" spans="2:14" ht="15" thickBot="1" x14ac:dyDescent="0.35">
      <c r="B189" s="35">
        <f t="shared" si="25"/>
        <v>1600</v>
      </c>
      <c r="C189" s="55">
        <f t="shared" si="21"/>
        <v>19954.732799999998</v>
      </c>
      <c r="D189" s="55">
        <f t="shared" si="22"/>
        <v>19954.732799999998</v>
      </c>
      <c r="E189" s="55">
        <f t="shared" si="23"/>
        <v>27684.483204177464</v>
      </c>
      <c r="H189" s="35">
        <f t="shared" si="26"/>
        <v>1600</v>
      </c>
      <c r="I189" s="55">
        <f t="shared" si="24"/>
        <v>4.7692956022944548</v>
      </c>
      <c r="J189" s="55">
        <f t="shared" si="27"/>
        <v>4.7692956022944548</v>
      </c>
      <c r="K189" s="55">
        <f t="shared" si="28"/>
        <v>6.6167502878053215</v>
      </c>
      <c r="M189" s="30" t="s">
        <v>94</v>
      </c>
      <c r="N189" s="107">
        <f>SUM(I176:L176)</f>
        <v>8.1595493868061766</v>
      </c>
    </row>
    <row r="190" spans="2:14" x14ac:dyDescent="0.3">
      <c r="B190" s="35">
        <f t="shared" si="25"/>
        <v>1700</v>
      </c>
      <c r="C190" s="55">
        <f t="shared" si="21"/>
        <v>21201.903599999998</v>
      </c>
      <c r="D190" s="55">
        <f t="shared" si="22"/>
        <v>21201.903599999998</v>
      </c>
      <c r="E190" s="55">
        <f t="shared" si="23"/>
        <v>27952.115433303745</v>
      </c>
      <c r="H190" s="35">
        <f t="shared" si="26"/>
        <v>1700</v>
      </c>
      <c r="I190" s="55">
        <f t="shared" si="24"/>
        <v>5.0673765774378579</v>
      </c>
      <c r="J190" s="55">
        <f t="shared" si="27"/>
        <v>5.0673765774378579</v>
      </c>
      <c r="K190" s="55">
        <f t="shared" si="28"/>
        <v>6.6807159257418132</v>
      </c>
    </row>
    <row r="191" spans="2:14" x14ac:dyDescent="0.3">
      <c r="B191" s="35">
        <f t="shared" si="25"/>
        <v>1800</v>
      </c>
      <c r="C191" s="55">
        <f t="shared" si="21"/>
        <v>22449.074399999998</v>
      </c>
      <c r="D191" s="55">
        <f t="shared" si="22"/>
        <v>22449.074399999998</v>
      </c>
      <c r="E191" s="55">
        <f t="shared" si="23"/>
        <v>28252.408437034876</v>
      </c>
      <c r="H191" s="35">
        <f t="shared" si="26"/>
        <v>1800</v>
      </c>
      <c r="I191" s="55">
        <f t="shared" si="24"/>
        <v>5.3654575525812618</v>
      </c>
      <c r="J191" s="55">
        <f t="shared" si="27"/>
        <v>5.3654575525812618</v>
      </c>
      <c r="K191" s="55">
        <f t="shared" si="28"/>
        <v>6.752487676155563</v>
      </c>
    </row>
    <row r="192" spans="2:14" x14ac:dyDescent="0.3">
      <c r="B192" s="35">
        <f t="shared" si="25"/>
        <v>1900</v>
      </c>
      <c r="C192" s="55">
        <f t="shared" si="21"/>
        <v>23696.245199999998</v>
      </c>
      <c r="D192" s="55">
        <f t="shared" si="22"/>
        <v>23696.245199999998</v>
      </c>
      <c r="E192" s="55">
        <f t="shared" si="23"/>
        <v>28583.872678893906</v>
      </c>
      <c r="H192" s="35">
        <f t="shared" si="26"/>
        <v>1900</v>
      </c>
      <c r="I192" s="55">
        <f t="shared" si="24"/>
        <v>5.6635385277246648</v>
      </c>
      <c r="J192" s="55">
        <f t="shared" si="27"/>
        <v>5.6635385277246648</v>
      </c>
      <c r="K192" s="55">
        <f t="shared" si="28"/>
        <v>6.8317095312843943</v>
      </c>
    </row>
    <row r="193" spans="1:15" x14ac:dyDescent="0.3">
      <c r="B193" s="35">
        <f t="shared" si="25"/>
        <v>2000</v>
      </c>
      <c r="C193" s="55">
        <f t="shared" si="21"/>
        <v>24943.415999999997</v>
      </c>
      <c r="D193" s="55">
        <f t="shared" si="22"/>
        <v>24943.415999999997</v>
      </c>
      <c r="E193" s="55">
        <f t="shared" si="23"/>
        <v>28944.853004417288</v>
      </c>
      <c r="H193" s="35">
        <f t="shared" si="26"/>
        <v>2000</v>
      </c>
      <c r="I193" s="55">
        <f t="shared" si="24"/>
        <v>5.9616195028680679</v>
      </c>
      <c r="J193" s="55">
        <f t="shared" si="27"/>
        <v>5.9616195028680679</v>
      </c>
      <c r="K193" s="55">
        <f t="shared" si="28"/>
        <v>6.9179858997173254</v>
      </c>
    </row>
    <row r="194" spans="1:15" ht="15" thickBot="1" x14ac:dyDescent="0.35">
      <c r="B194" s="26">
        <f t="shared" si="25"/>
        <v>2100</v>
      </c>
      <c r="C194" s="58">
        <f t="shared" si="21"/>
        <v>26190.586799999997</v>
      </c>
      <c r="D194" s="58">
        <f t="shared" si="22"/>
        <v>26190.586799999997</v>
      </c>
      <c r="E194" s="58">
        <f t="shared" si="23"/>
        <v>29333.618392302753</v>
      </c>
      <c r="F194" s="53"/>
      <c r="H194" s="26">
        <f t="shared" si="26"/>
        <v>2100</v>
      </c>
      <c r="I194" s="58">
        <f t="shared" si="24"/>
        <v>6.2597004780114718</v>
      </c>
      <c r="J194" s="58">
        <f t="shared" si="27"/>
        <v>6.2597004780114718</v>
      </c>
      <c r="K194" s="58">
        <f t="shared" si="28"/>
        <v>7.0109030574337368</v>
      </c>
      <c r="L194" s="53"/>
    </row>
    <row r="196" spans="1:15" ht="15" thickBot="1" x14ac:dyDescent="0.35"/>
    <row r="197" spans="1:15" ht="15" thickBot="1" x14ac:dyDescent="0.35">
      <c r="F197" s="17"/>
      <c r="G197" s="18"/>
      <c r="H197" s="18"/>
      <c r="I197" s="19"/>
      <c r="K197" s="52" t="s">
        <v>95</v>
      </c>
    </row>
    <row r="198" spans="1:15" ht="16.8" thickBot="1" x14ac:dyDescent="0.35">
      <c r="B198" s="108" t="s">
        <v>96</v>
      </c>
      <c r="C198" s="109">
        <f xml:space="preserve"> ($C$2*$C$2) /(8*$B$2*$B$2*$A$2*$H$198)</f>
        <v>87.242643881319381</v>
      </c>
      <c r="F198" s="35"/>
      <c r="H198" s="53">
        <f>B116*B120*B120</f>
        <v>4.61664085874549E-48</v>
      </c>
      <c r="I198" s="36" t="s">
        <v>97</v>
      </c>
      <c r="K198" s="25">
        <v>1.18</v>
      </c>
    </row>
    <row r="199" spans="1:15" ht="15" thickBot="1" x14ac:dyDescent="0.35">
      <c r="F199" s="26"/>
      <c r="G199" s="27"/>
      <c r="H199" s="27"/>
      <c r="I199" s="28"/>
    </row>
    <row r="200" spans="1:15" ht="15" thickBot="1" x14ac:dyDescent="0.35">
      <c r="A200" s="5" t="s">
        <v>98</v>
      </c>
      <c r="B200" s="208" t="s">
        <v>99</v>
      </c>
      <c r="C200" s="208"/>
      <c r="D200" s="208"/>
      <c r="E200" s="208"/>
      <c r="F200" s="208"/>
      <c r="H200" s="208" t="s">
        <v>100</v>
      </c>
      <c r="I200" s="208"/>
      <c r="J200" s="208"/>
      <c r="K200" s="208"/>
      <c r="L200" s="208"/>
    </row>
    <row r="201" spans="1:15" ht="18" x14ac:dyDescent="0.3">
      <c r="A201" s="5" t="s">
        <v>99</v>
      </c>
      <c r="B201" s="94" t="s">
        <v>47</v>
      </c>
      <c r="C201" s="16" t="s">
        <v>101</v>
      </c>
      <c r="D201" s="16" t="s">
        <v>89</v>
      </c>
      <c r="E201" s="16" t="s">
        <v>37</v>
      </c>
      <c r="F201" s="16" t="s">
        <v>38</v>
      </c>
      <c r="G201" s="16" t="s">
        <v>90</v>
      </c>
      <c r="H201" s="94" t="s">
        <v>47</v>
      </c>
      <c r="I201" s="16" t="s">
        <v>89</v>
      </c>
      <c r="J201" s="16" t="s">
        <v>37</v>
      </c>
      <c r="K201" s="16" t="s">
        <v>38</v>
      </c>
      <c r="L201" s="16" t="s">
        <v>90</v>
      </c>
      <c r="O201" s="82"/>
    </row>
    <row r="202" spans="1:15" ht="15" thickBot="1" x14ac:dyDescent="0.35">
      <c r="B202" s="35">
        <f>298.15</f>
        <v>298.14999999999998</v>
      </c>
      <c r="C202" s="55">
        <f>($A$2*B202)/$J$2</f>
        <v>4.062431680236861E-26</v>
      </c>
      <c r="D202" s="110">
        <f xml:space="preserve"> $D$2 *( 5/2  +   LN(  ((2*$B$2*$E$2*$A$2*B202)/($C$2*$C$2) )^1.5  * ($D$2*B202 )/($F$2*$J$2)  ) )</f>
        <v>117.48350484038419</v>
      </c>
      <c r="E202" s="55">
        <f>$D$2 *LN( (EXP(1)*B202) / ($B$6 * $C$198))</f>
        <v>12.769002657867782</v>
      </c>
      <c r="F202" s="55">
        <f>0</f>
        <v>0</v>
      </c>
      <c r="G202" s="58">
        <v>0</v>
      </c>
      <c r="H202" s="35">
        <f>298.15</f>
        <v>298.14999999999998</v>
      </c>
      <c r="I202" s="105">
        <f xml:space="preserve"> $D$2 *( 5/2  +   LN(  ((2*$B$2*$E$2*$A$2*B202)/($C$2*$C$2) )^1.5  * ($D$2*B202 )/($F$2*$J$2)  ) ) / 4.184</f>
        <v>28.079231558409219</v>
      </c>
      <c r="J202" s="105">
        <f>$D$2 *LN( (EXP(1)*B202) / ($B$6 * $C$198)) /4.184</f>
        <v>3.0518648799875194</v>
      </c>
      <c r="K202" s="105">
        <f>F202</f>
        <v>0</v>
      </c>
      <c r="L202" s="112">
        <v>0</v>
      </c>
      <c r="O202" s="82"/>
    </row>
    <row r="203" spans="1:15" x14ac:dyDescent="0.3">
      <c r="B203" s="35">
        <f>300+100</f>
        <v>400</v>
      </c>
      <c r="C203" s="55">
        <f t="shared" ref="C203:C220" si="29">($A$2*B203)/$J$2</f>
        <v>5.4501850481125095E-26</v>
      </c>
      <c r="D203" s="110">
        <f t="shared" ref="D203:D220" si="30" xml:space="preserve"> $D$2 *( 5/2  +   LN(  ((2*$B$2*$E$2*$A$2*B203)/($C$2*$C$2) )^1.5  * ($D$2*B203 )/($F$2*$J$2)  ) )</f>
        <v>123.59189448296074</v>
      </c>
      <c r="E203" s="55">
        <f t="shared" ref="E203:E220" si="31">$D$2 *LN( (EXP(1)*B203) / ($B$6 * $C$198))</f>
        <v>15.21235851489841</v>
      </c>
      <c r="F203" s="55">
        <f>0</f>
        <v>0</v>
      </c>
      <c r="H203" s="35">
        <f>300+100</f>
        <v>400</v>
      </c>
      <c r="I203" s="110">
        <f xml:space="preserve"> $D$2 *( 5/2  +   LN(  ((2*$B$2*$E$2*$A$2*B203)/($C$2*$C$2) )^1.5  * ($D$2*B203 )/($F$2*$J$2)  ) )/ 4.184</f>
        <v>29.539171721548932</v>
      </c>
      <c r="J203" s="55">
        <f>$D$2 *LN( (EXP(1)*B203) / ($B$6 * $C$198)) / 4.184</f>
        <v>3.6358409452434057</v>
      </c>
      <c r="K203" s="55">
        <f>F203</f>
        <v>0</v>
      </c>
      <c r="O203" s="47"/>
    </row>
    <row r="204" spans="1:15" ht="18" x14ac:dyDescent="0.3">
      <c r="B204" s="35">
        <f t="shared" ref="B204:B220" si="32">B203+100</f>
        <v>500</v>
      </c>
      <c r="C204" s="55">
        <f t="shared" si="29"/>
        <v>6.8127313101406362E-26</v>
      </c>
      <c r="D204" s="110">
        <f t="shared" si="30"/>
        <v>128.23019650641717</v>
      </c>
      <c r="E204" s="55">
        <f t="shared" si="31"/>
        <v>17.06767932428097</v>
      </c>
      <c r="F204" s="55">
        <f>0</f>
        <v>0</v>
      </c>
      <c r="H204" s="35">
        <f t="shared" ref="H204:H220" si="33">H203+100</f>
        <v>500</v>
      </c>
      <c r="I204" s="110">
        <f t="shared" ref="I204:I220" si="34" xml:space="preserve"> $D$2 *( 5/2  +   LN(  ((2*$B$2*$E$2*$A$2*B204)/($C$2*$C$2) )^1.5  * ($D$2*B204 )/($F$2*$J$2)  ) )/ 4.184</f>
        <v>30.647752511093969</v>
      </c>
      <c r="J204" s="55">
        <f t="shared" ref="J204:J220" si="35">$D$2 *LN( (EXP(1)*B204) / ($B$6 * $C$198)) / 4.184</f>
        <v>4.0792732610614175</v>
      </c>
      <c r="K204" s="55">
        <f t="shared" ref="K204:K220" si="36">F204</f>
        <v>0</v>
      </c>
      <c r="M204" s="214"/>
      <c r="N204" s="214"/>
      <c r="O204" s="47"/>
    </row>
    <row r="205" spans="1:15" ht="18.600000000000001" thickBot="1" x14ac:dyDescent="0.35">
      <c r="B205" s="35">
        <f t="shared" si="32"/>
        <v>600</v>
      </c>
      <c r="C205" s="55">
        <f t="shared" si="29"/>
        <v>8.175277572168763E-26</v>
      </c>
      <c r="D205" s="110">
        <f t="shared" si="30"/>
        <v>132.01996520381655</v>
      </c>
      <c r="E205" s="55">
        <f t="shared" si="31"/>
        <v>18.583586803240713</v>
      </c>
      <c r="F205" s="55">
        <f>0</f>
        <v>0</v>
      </c>
      <c r="H205" s="35">
        <f t="shared" si="33"/>
        <v>600</v>
      </c>
      <c r="I205" s="110">
        <f t="shared" si="34"/>
        <v>31.553528968407395</v>
      </c>
      <c r="J205" s="55">
        <f t="shared" si="35"/>
        <v>4.4415838439867859</v>
      </c>
      <c r="K205" s="55">
        <f t="shared" si="36"/>
        <v>0</v>
      </c>
      <c r="M205" s="214" t="s">
        <v>93</v>
      </c>
      <c r="N205" s="214"/>
      <c r="O205" s="47"/>
    </row>
    <row r="206" spans="1:15" x14ac:dyDescent="0.3">
      <c r="B206" s="35">
        <f t="shared" si="32"/>
        <v>700</v>
      </c>
      <c r="C206" s="55">
        <f t="shared" si="29"/>
        <v>9.5378238341968898E-26</v>
      </c>
      <c r="D206" s="110">
        <f t="shared" si="30"/>
        <v>135.22416898182834</v>
      </c>
      <c r="E206" s="55">
        <f t="shared" si="31"/>
        <v>19.865268314445419</v>
      </c>
      <c r="F206" s="55">
        <f>0</f>
        <v>0</v>
      </c>
      <c r="H206" s="35">
        <f t="shared" si="33"/>
        <v>700</v>
      </c>
      <c r="I206" s="110">
        <f t="shared" si="34"/>
        <v>32.3193520511062</v>
      </c>
      <c r="J206" s="55">
        <f t="shared" si="35"/>
        <v>4.7479130770663049</v>
      </c>
      <c r="K206" s="55">
        <f t="shared" si="36"/>
        <v>0</v>
      </c>
      <c r="M206" s="38"/>
      <c r="N206" s="4" t="s">
        <v>30</v>
      </c>
      <c r="O206" s="47"/>
    </row>
    <row r="207" spans="1:15" x14ac:dyDescent="0.3">
      <c r="B207" s="35">
        <f t="shared" si="32"/>
        <v>800</v>
      </c>
      <c r="C207" s="55">
        <f t="shared" si="29"/>
        <v>1.0900370096225019E-25</v>
      </c>
      <c r="D207" s="110">
        <f t="shared" si="30"/>
        <v>137.99977654457228</v>
      </c>
      <c r="E207" s="55">
        <f t="shared" si="31"/>
        <v>20.975511339543022</v>
      </c>
      <c r="F207" s="55">
        <f>0</f>
        <v>0</v>
      </c>
      <c r="H207" s="35">
        <f t="shared" si="33"/>
        <v>800</v>
      </c>
      <c r="I207" s="110">
        <f t="shared" si="34"/>
        <v>32.982738179869095</v>
      </c>
      <c r="J207" s="55">
        <f t="shared" si="35"/>
        <v>5.0132675285714674</v>
      </c>
      <c r="K207" s="55">
        <f t="shared" si="36"/>
        <v>0</v>
      </c>
      <c r="M207" s="39"/>
      <c r="N207" s="41" t="s">
        <v>32</v>
      </c>
      <c r="O207" s="47"/>
    </row>
    <row r="208" spans="1:15" x14ac:dyDescent="0.3">
      <c r="B208" s="35">
        <f t="shared" si="32"/>
        <v>900</v>
      </c>
      <c r="C208" s="55">
        <f t="shared" si="29"/>
        <v>1.2262916358253145E-25</v>
      </c>
      <c r="D208" s="110">
        <f t="shared" si="30"/>
        <v>140.4480359246723</v>
      </c>
      <c r="E208" s="55">
        <f t="shared" si="31"/>
        <v>21.954815091583022</v>
      </c>
      <c r="F208" s="55">
        <f>0</f>
        <v>0</v>
      </c>
      <c r="H208" s="35">
        <f t="shared" si="33"/>
        <v>900</v>
      </c>
      <c r="I208" s="110">
        <f t="shared" si="34"/>
        <v>33.567886215265844</v>
      </c>
      <c r="J208" s="55">
        <f t="shared" si="35"/>
        <v>5.2473267427301673</v>
      </c>
      <c r="K208" s="55">
        <f t="shared" si="36"/>
        <v>0</v>
      </c>
      <c r="M208" s="39" t="s">
        <v>33</v>
      </c>
      <c r="N208" s="41">
        <v>31.132999999999999</v>
      </c>
    </row>
    <row r="209" spans="1:14" x14ac:dyDescent="0.3">
      <c r="B209" s="35">
        <f t="shared" si="32"/>
        <v>1000</v>
      </c>
      <c r="C209" s="55">
        <f t="shared" si="29"/>
        <v>1.3625462620281272E-25</v>
      </c>
      <c r="D209" s="110">
        <f t="shared" si="30"/>
        <v>142.63807856802873</v>
      </c>
      <c r="E209" s="55">
        <f t="shared" si="31"/>
        <v>22.83083214892558</v>
      </c>
      <c r="F209" s="55">
        <f>0</f>
        <v>0</v>
      </c>
      <c r="H209" s="35">
        <f t="shared" si="33"/>
        <v>1000</v>
      </c>
      <c r="I209" s="110">
        <f t="shared" si="34"/>
        <v>34.091318969414132</v>
      </c>
      <c r="J209" s="55">
        <f t="shared" si="35"/>
        <v>5.4566998443894787</v>
      </c>
      <c r="K209" s="55">
        <f t="shared" si="36"/>
        <v>0</v>
      </c>
      <c r="M209" s="39" t="s">
        <v>34</v>
      </c>
      <c r="N209" s="41" t="s">
        <v>35</v>
      </c>
    </row>
    <row r="210" spans="1:14" x14ac:dyDescent="0.3">
      <c r="B210" s="35">
        <f t="shared" si="32"/>
        <v>1100</v>
      </c>
      <c r="C210" s="55">
        <f t="shared" si="29"/>
        <v>1.4988008882309398E-25</v>
      </c>
      <c r="D210" s="110">
        <f t="shared" si="30"/>
        <v>144.61921312127373</v>
      </c>
      <c r="E210" s="55">
        <f t="shared" si="31"/>
        <v>23.623285970223606</v>
      </c>
      <c r="F210" s="55">
        <f>0</f>
        <v>0</v>
      </c>
      <c r="H210" s="35">
        <f t="shared" si="33"/>
        <v>1100</v>
      </c>
      <c r="I210" s="110">
        <f t="shared" si="34"/>
        <v>34.564821491700222</v>
      </c>
      <c r="J210" s="55">
        <f t="shared" si="35"/>
        <v>5.6461008533039205</v>
      </c>
      <c r="K210" s="55">
        <f t="shared" si="36"/>
        <v>0</v>
      </c>
      <c r="M210" s="39" t="s">
        <v>36</v>
      </c>
      <c r="N210" s="41">
        <v>28.08</v>
      </c>
    </row>
    <row r="211" spans="1:14" x14ac:dyDescent="0.3">
      <c r="A211" s="53"/>
      <c r="B211" s="35">
        <f t="shared" si="32"/>
        <v>1200</v>
      </c>
      <c r="C211" s="55">
        <f t="shared" si="29"/>
        <v>1.6350555144337526E-25</v>
      </c>
      <c r="D211" s="110">
        <f t="shared" si="30"/>
        <v>146.427847265428</v>
      </c>
      <c r="E211" s="55">
        <f t="shared" si="31"/>
        <v>24.346739627885324</v>
      </c>
      <c r="F211" s="55">
        <f>0</f>
        <v>0</v>
      </c>
      <c r="H211" s="35">
        <f t="shared" si="33"/>
        <v>1200</v>
      </c>
      <c r="I211" s="110">
        <f t="shared" si="34"/>
        <v>34.997095426727533</v>
      </c>
      <c r="J211" s="55">
        <f t="shared" si="35"/>
        <v>5.819010427314848</v>
      </c>
      <c r="K211" s="55">
        <f t="shared" si="36"/>
        <v>0</v>
      </c>
      <c r="M211" s="39" t="s">
        <v>37</v>
      </c>
      <c r="N211" s="41">
        <v>3.052</v>
      </c>
    </row>
    <row r="212" spans="1:14" ht="15" thickBot="1" x14ac:dyDescent="0.35">
      <c r="B212" s="35">
        <f t="shared" si="32"/>
        <v>1300</v>
      </c>
      <c r="C212" s="55">
        <f t="shared" si="29"/>
        <v>1.7713101406365654E-25</v>
      </c>
      <c r="D212" s="110">
        <f t="shared" si="30"/>
        <v>148.09162939481766</v>
      </c>
      <c r="E212" s="55">
        <f t="shared" si="31"/>
        <v>25.012252479641127</v>
      </c>
      <c r="F212" s="55">
        <f>0</f>
        <v>0</v>
      </c>
      <c r="H212" s="35">
        <f t="shared" si="33"/>
        <v>1300</v>
      </c>
      <c r="I212" s="110">
        <f t="shared" si="34"/>
        <v>35.394748899335006</v>
      </c>
      <c r="J212" s="55">
        <f t="shared" si="35"/>
        <v>5.9780718163578221</v>
      </c>
      <c r="K212" s="55">
        <f t="shared" si="36"/>
        <v>0</v>
      </c>
      <c r="M212" s="44" t="s">
        <v>38</v>
      </c>
      <c r="N212" s="144" t="s">
        <v>35</v>
      </c>
    </row>
    <row r="213" spans="1:14" x14ac:dyDescent="0.3">
      <c r="B213" s="35">
        <f t="shared" si="32"/>
        <v>1400</v>
      </c>
      <c r="C213" s="55">
        <f t="shared" si="29"/>
        <v>1.907564766839378E-25</v>
      </c>
      <c r="D213" s="110">
        <f t="shared" si="30"/>
        <v>149.63205104343987</v>
      </c>
      <c r="E213" s="55">
        <f t="shared" si="31"/>
        <v>25.62842113909003</v>
      </c>
      <c r="F213" s="55">
        <f>0</f>
        <v>0</v>
      </c>
      <c r="H213" s="35">
        <f t="shared" si="33"/>
        <v>1400</v>
      </c>
      <c r="I213" s="110">
        <f t="shared" si="34"/>
        <v>35.762918509426356</v>
      </c>
      <c r="J213" s="55">
        <f t="shared" si="35"/>
        <v>6.1253396603943662</v>
      </c>
      <c r="K213" s="55">
        <f t="shared" si="36"/>
        <v>0</v>
      </c>
    </row>
    <row r="214" spans="1:14" ht="15" thickBot="1" x14ac:dyDescent="0.35">
      <c r="B214" s="35">
        <f t="shared" si="32"/>
        <v>1500</v>
      </c>
      <c r="C214" s="55">
        <f t="shared" si="29"/>
        <v>2.0438193930421908E-25</v>
      </c>
      <c r="D214" s="110">
        <f t="shared" si="30"/>
        <v>151.06614928888459</v>
      </c>
      <c r="E214" s="55">
        <f t="shared" si="31"/>
        <v>26.202060437267889</v>
      </c>
      <c r="F214" s="55">
        <f>0</f>
        <v>0</v>
      </c>
      <c r="H214" s="35">
        <f t="shared" si="33"/>
        <v>1500</v>
      </c>
      <c r="I214" s="110">
        <f t="shared" si="34"/>
        <v>36.105676216272606</v>
      </c>
      <c r="J214" s="55">
        <f t="shared" si="35"/>
        <v>6.2624427431328602</v>
      </c>
      <c r="K214" s="55">
        <f t="shared" si="36"/>
        <v>0</v>
      </c>
    </row>
    <row r="215" spans="1:14" ht="15" thickBot="1" x14ac:dyDescent="0.35">
      <c r="B215" s="35">
        <f t="shared" si="32"/>
        <v>1600</v>
      </c>
      <c r="C215" s="55">
        <f t="shared" si="29"/>
        <v>2.1800740192450038E-25</v>
      </c>
      <c r="D215" s="110">
        <f t="shared" si="30"/>
        <v>152.40765860618384</v>
      </c>
      <c r="E215" s="55">
        <f t="shared" si="31"/>
        <v>26.738664164187629</v>
      </c>
      <c r="F215" s="55">
        <f>0</f>
        <v>0</v>
      </c>
      <c r="H215" s="35">
        <f t="shared" si="33"/>
        <v>1600</v>
      </c>
      <c r="I215" s="110">
        <f t="shared" si="34"/>
        <v>36.426304638189251</v>
      </c>
      <c r="J215" s="55">
        <f t="shared" si="35"/>
        <v>6.3906941118995286</v>
      </c>
      <c r="K215" s="55">
        <f t="shared" si="36"/>
        <v>0</v>
      </c>
      <c r="M215" s="30" t="s">
        <v>94</v>
      </c>
      <c r="N215" s="163">
        <f>SUM(I202:L202)</f>
        <v>31.131096438396739</v>
      </c>
    </row>
    <row r="216" spans="1:14" x14ac:dyDescent="0.3">
      <c r="B216" s="35">
        <f t="shared" si="32"/>
        <v>1700</v>
      </c>
      <c r="C216" s="55">
        <f t="shared" si="29"/>
        <v>2.3163286454478159E-25</v>
      </c>
      <c r="D216" s="110">
        <f t="shared" si="30"/>
        <v>153.66781290769211</v>
      </c>
      <c r="E216" s="55">
        <f t="shared" si="31"/>
        <v>27.242725884790964</v>
      </c>
      <c r="F216" s="55">
        <f>0</f>
        <v>0</v>
      </c>
      <c r="H216" s="35">
        <f t="shared" si="33"/>
        <v>1700</v>
      </c>
      <c r="I216" s="110">
        <f t="shared" si="34"/>
        <v>36.727488744668285</v>
      </c>
      <c r="J216" s="55">
        <f t="shared" si="35"/>
        <v>6.5111677544911482</v>
      </c>
      <c r="K216" s="55">
        <f t="shared" si="36"/>
        <v>0</v>
      </c>
    </row>
    <row r="217" spans="1:14" x14ac:dyDescent="0.3">
      <c r="B217" s="35">
        <f t="shared" si="32"/>
        <v>1800</v>
      </c>
      <c r="C217" s="55">
        <f t="shared" si="29"/>
        <v>2.4525832716506289E-25</v>
      </c>
      <c r="D217" s="110">
        <f t="shared" si="30"/>
        <v>154.85591798628383</v>
      </c>
      <c r="E217" s="55">
        <f t="shared" si="31"/>
        <v>27.717967916227632</v>
      </c>
      <c r="F217" s="55">
        <f>0</f>
        <v>0</v>
      </c>
      <c r="H217" s="35">
        <f t="shared" si="33"/>
        <v>1800</v>
      </c>
      <c r="I217" s="110">
        <f t="shared" si="34"/>
        <v>37.011452673586</v>
      </c>
      <c r="J217" s="55">
        <f t="shared" si="35"/>
        <v>6.6247533260582294</v>
      </c>
      <c r="K217" s="55">
        <f t="shared" si="36"/>
        <v>0</v>
      </c>
    </row>
    <row r="218" spans="1:14" x14ac:dyDescent="0.3">
      <c r="B218" s="35">
        <f t="shared" si="32"/>
        <v>1900</v>
      </c>
      <c r="C218" s="55">
        <f t="shared" si="29"/>
        <v>2.5888378978534419E-25</v>
      </c>
      <c r="D218" s="110">
        <f t="shared" si="30"/>
        <v>155.97976897970764</v>
      </c>
      <c r="E218" s="55">
        <f t="shared" si="31"/>
        <v>28.167508313597143</v>
      </c>
      <c r="F218" s="55">
        <f>0</f>
        <v>0</v>
      </c>
      <c r="H218" s="35">
        <f t="shared" si="33"/>
        <v>1900</v>
      </c>
      <c r="I218" s="110">
        <f t="shared" si="34"/>
        <v>37.280059507578308</v>
      </c>
      <c r="J218" s="55">
        <f t="shared" si="35"/>
        <v>6.7321960596551484</v>
      </c>
      <c r="K218" s="55">
        <f t="shared" si="36"/>
        <v>0</v>
      </c>
    </row>
    <row r="219" spans="1:14" x14ac:dyDescent="0.3">
      <c r="B219" s="35">
        <f t="shared" si="32"/>
        <v>2000</v>
      </c>
      <c r="C219" s="55">
        <f t="shared" si="29"/>
        <v>2.7250925240562545E-25</v>
      </c>
      <c r="D219" s="110">
        <f t="shared" si="30"/>
        <v>157.04596062964029</v>
      </c>
      <c r="E219" s="55">
        <f t="shared" si="31"/>
        <v>28.593984973570191</v>
      </c>
      <c r="F219" s="55">
        <f>0</f>
        <v>0</v>
      </c>
      <c r="H219" s="35">
        <f t="shared" si="33"/>
        <v>2000</v>
      </c>
      <c r="I219" s="110">
        <f t="shared" si="34"/>
        <v>37.534885427734295</v>
      </c>
      <c r="J219" s="55">
        <f t="shared" si="35"/>
        <v>6.8341264277175409</v>
      </c>
      <c r="K219" s="55">
        <f t="shared" si="36"/>
        <v>0</v>
      </c>
    </row>
    <row r="220" spans="1:14" ht="15" thickBot="1" x14ac:dyDescent="0.35">
      <c r="B220" s="26">
        <f t="shared" si="32"/>
        <v>2100</v>
      </c>
      <c r="C220" s="58">
        <f t="shared" si="29"/>
        <v>2.8613471502590675E-25</v>
      </c>
      <c r="D220" s="114">
        <f t="shared" si="30"/>
        <v>158.06012176429562</v>
      </c>
      <c r="E220" s="58">
        <f t="shared" si="31"/>
        <v>28.999649427432335</v>
      </c>
      <c r="F220" s="58">
        <f>0</f>
        <v>0</v>
      </c>
      <c r="G220" s="53"/>
      <c r="H220" s="26">
        <f t="shared" si="33"/>
        <v>2100</v>
      </c>
      <c r="I220" s="114">
        <f t="shared" si="34"/>
        <v>37.777275756284801</v>
      </c>
      <c r="J220" s="58">
        <f t="shared" si="35"/>
        <v>6.9310825591377467</v>
      </c>
      <c r="K220" s="58">
        <f t="shared" si="36"/>
        <v>0</v>
      </c>
      <c r="L220" s="53"/>
    </row>
    <row r="224" spans="1:14" ht="15" thickBot="1" x14ac:dyDescent="0.35">
      <c r="A224" s="5" t="s">
        <v>102</v>
      </c>
      <c r="B224" s="208" t="s">
        <v>103</v>
      </c>
      <c r="C224" s="208"/>
      <c r="D224" s="208"/>
      <c r="E224" s="208"/>
      <c r="F224" s="208"/>
      <c r="H224" s="208" t="s">
        <v>104</v>
      </c>
      <c r="I224" s="208"/>
      <c r="J224" s="208"/>
      <c r="K224" s="208"/>
      <c r="L224" s="208"/>
    </row>
    <row r="225" spans="1:15" ht="18" x14ac:dyDescent="0.3">
      <c r="A225" s="5" t="s">
        <v>99</v>
      </c>
      <c r="B225" s="94" t="s">
        <v>47</v>
      </c>
      <c r="C225" s="16" t="s">
        <v>89</v>
      </c>
      <c r="D225" s="16" t="s">
        <v>37</v>
      </c>
      <c r="E225" s="16" t="s">
        <v>38</v>
      </c>
      <c r="F225" s="16" t="s">
        <v>90</v>
      </c>
      <c r="H225" s="94" t="s">
        <v>47</v>
      </c>
      <c r="I225" s="16" t="s">
        <v>89</v>
      </c>
      <c r="J225" s="16" t="s">
        <v>37</v>
      </c>
      <c r="K225" s="16" t="s">
        <v>38</v>
      </c>
      <c r="L225" s="16" t="s">
        <v>90</v>
      </c>
    </row>
    <row r="226" spans="1:15" ht="15" thickBot="1" x14ac:dyDescent="0.35">
      <c r="B226" s="35">
        <f>298.15</f>
        <v>298.14999999999998</v>
      </c>
      <c r="C226" s="55">
        <f>3/2*$D$2</f>
        <v>12.471708</v>
      </c>
      <c r="D226" s="55">
        <f>3/2*$D$2</f>
        <v>12.471708</v>
      </c>
      <c r="E226" s="55">
        <v>0</v>
      </c>
      <c r="F226" s="58">
        <v>0</v>
      </c>
      <c r="H226" s="35">
        <f>298.15</f>
        <v>298.14999999999998</v>
      </c>
      <c r="I226" s="105">
        <f>3/2*$D$2 / 4.184</f>
        <v>2.9808097514340344</v>
      </c>
      <c r="J226" s="105">
        <f>D226 /4.184</f>
        <v>2.9808097514340344</v>
      </c>
      <c r="K226" s="105">
        <f>E226</f>
        <v>0</v>
      </c>
      <c r="L226" s="112">
        <v>0</v>
      </c>
    </row>
    <row r="227" spans="1:15" x14ac:dyDescent="0.3">
      <c r="B227" s="35">
        <f>300+100</f>
        <v>400</v>
      </c>
      <c r="C227" s="55">
        <f t="shared" ref="C227:D244" si="37">3/2*$D$2</f>
        <v>12.471708</v>
      </c>
      <c r="D227" s="55">
        <f t="shared" si="37"/>
        <v>12.471708</v>
      </c>
      <c r="E227" s="55">
        <v>0</v>
      </c>
      <c r="H227" s="35">
        <f>300+100</f>
        <v>400</v>
      </c>
      <c r="I227" s="55">
        <f t="shared" ref="I227:I244" si="38">3/2*$D$2 / 4.184</f>
        <v>2.9808097514340344</v>
      </c>
      <c r="J227" s="55">
        <f>D227/4.184</f>
        <v>2.9808097514340344</v>
      </c>
      <c r="K227" s="55">
        <f>E227</f>
        <v>0</v>
      </c>
    </row>
    <row r="228" spans="1:15" ht="18.600000000000001" thickBot="1" x14ac:dyDescent="0.35">
      <c r="B228" s="35">
        <f t="shared" ref="B228:B244" si="39">B227+100</f>
        <v>500</v>
      </c>
      <c r="C228" s="55">
        <f t="shared" si="37"/>
        <v>12.471708</v>
      </c>
      <c r="D228" s="55">
        <f t="shared" si="37"/>
        <v>12.471708</v>
      </c>
      <c r="E228" s="55">
        <v>0</v>
      </c>
      <c r="H228" s="35">
        <f t="shared" ref="H228:H244" si="40">H227+100</f>
        <v>500</v>
      </c>
      <c r="I228" s="55">
        <f t="shared" si="38"/>
        <v>2.9808097514340344</v>
      </c>
      <c r="J228" s="55">
        <f t="shared" ref="J228:J244" si="41">D228/4.184</f>
        <v>2.9808097514340344</v>
      </c>
      <c r="K228" s="55">
        <f t="shared" ref="K228:K244" si="42">E228</f>
        <v>0</v>
      </c>
      <c r="M228" s="214" t="s">
        <v>93</v>
      </c>
      <c r="N228" s="214"/>
    </row>
    <row r="229" spans="1:15" x14ac:dyDescent="0.3">
      <c r="B229" s="35">
        <f t="shared" si="39"/>
        <v>600</v>
      </c>
      <c r="C229" s="55">
        <f t="shared" si="37"/>
        <v>12.471708</v>
      </c>
      <c r="D229" s="55">
        <f t="shared" si="37"/>
        <v>12.471708</v>
      </c>
      <c r="E229" s="55">
        <v>0</v>
      </c>
      <c r="H229" s="35">
        <f t="shared" si="40"/>
        <v>600</v>
      </c>
      <c r="I229" s="55">
        <f t="shared" si="38"/>
        <v>2.9808097514340344</v>
      </c>
      <c r="J229" s="55">
        <f t="shared" si="41"/>
        <v>2.9808097514340344</v>
      </c>
      <c r="K229" s="55">
        <f t="shared" si="42"/>
        <v>0</v>
      </c>
      <c r="M229" s="38"/>
      <c r="N229" s="4" t="s">
        <v>29</v>
      </c>
      <c r="O229" s="82"/>
    </row>
    <row r="230" spans="1:15" x14ac:dyDescent="0.3">
      <c r="B230" s="35">
        <f t="shared" si="39"/>
        <v>700</v>
      </c>
      <c r="C230" s="55">
        <f t="shared" si="37"/>
        <v>12.471708</v>
      </c>
      <c r="D230" s="55">
        <f t="shared" si="37"/>
        <v>12.471708</v>
      </c>
      <c r="E230" s="55">
        <v>0</v>
      </c>
      <c r="H230" s="35">
        <f t="shared" si="40"/>
        <v>700</v>
      </c>
      <c r="I230" s="55">
        <f t="shared" si="38"/>
        <v>2.9808097514340344</v>
      </c>
      <c r="J230" s="55">
        <f t="shared" si="41"/>
        <v>2.9808097514340344</v>
      </c>
      <c r="K230" s="55">
        <f t="shared" si="42"/>
        <v>0</v>
      </c>
      <c r="M230" s="39"/>
      <c r="N230" s="41" t="s">
        <v>32</v>
      </c>
      <c r="O230" s="82"/>
    </row>
    <row r="231" spans="1:15" x14ac:dyDescent="0.3">
      <c r="B231" s="35">
        <f t="shared" si="39"/>
        <v>800</v>
      </c>
      <c r="C231" s="55">
        <f t="shared" si="37"/>
        <v>12.471708</v>
      </c>
      <c r="D231" s="55">
        <f t="shared" si="37"/>
        <v>12.471708</v>
      </c>
      <c r="E231" s="55">
        <v>0</v>
      </c>
      <c r="H231" s="35">
        <f t="shared" si="40"/>
        <v>800</v>
      </c>
      <c r="I231" s="55">
        <f t="shared" si="38"/>
        <v>2.9808097514340344</v>
      </c>
      <c r="J231" s="55">
        <f t="shared" si="41"/>
        <v>2.9808097514340344</v>
      </c>
      <c r="K231" s="55">
        <f t="shared" si="42"/>
        <v>0</v>
      </c>
      <c r="M231" s="39" t="s">
        <v>33</v>
      </c>
      <c r="N231" s="41">
        <v>4.968</v>
      </c>
    </row>
    <row r="232" spans="1:15" x14ac:dyDescent="0.3">
      <c r="B232" s="35">
        <f t="shared" si="39"/>
        <v>900</v>
      </c>
      <c r="C232" s="55">
        <f t="shared" si="37"/>
        <v>12.471708</v>
      </c>
      <c r="D232" s="55">
        <f t="shared" si="37"/>
        <v>12.471708</v>
      </c>
      <c r="E232" s="55">
        <v>0</v>
      </c>
      <c r="H232" s="35">
        <f t="shared" si="40"/>
        <v>900</v>
      </c>
      <c r="I232" s="55">
        <f t="shared" si="38"/>
        <v>2.9808097514340344</v>
      </c>
      <c r="J232" s="55">
        <f t="shared" si="41"/>
        <v>2.9808097514340344</v>
      </c>
      <c r="K232" s="55">
        <f t="shared" si="42"/>
        <v>0</v>
      </c>
      <c r="M232" s="39" t="s">
        <v>34</v>
      </c>
      <c r="N232" s="41" t="s">
        <v>35</v>
      </c>
    </row>
    <row r="233" spans="1:15" x14ac:dyDescent="0.3">
      <c r="B233" s="35">
        <f t="shared" si="39"/>
        <v>1000</v>
      </c>
      <c r="C233" s="55">
        <f t="shared" si="37"/>
        <v>12.471708</v>
      </c>
      <c r="D233" s="55">
        <f t="shared" si="37"/>
        <v>12.471708</v>
      </c>
      <c r="E233" s="55">
        <v>0</v>
      </c>
      <c r="H233" s="35">
        <f t="shared" si="40"/>
        <v>1000</v>
      </c>
      <c r="I233" s="55">
        <f t="shared" si="38"/>
        <v>2.9808097514340344</v>
      </c>
      <c r="J233" s="55">
        <f t="shared" si="41"/>
        <v>2.9808097514340344</v>
      </c>
      <c r="K233" s="55">
        <f t="shared" si="42"/>
        <v>0</v>
      </c>
      <c r="M233" s="39" t="s">
        <v>36</v>
      </c>
      <c r="N233" s="41">
        <v>2.9809999999999999</v>
      </c>
    </row>
    <row r="234" spans="1:15" x14ac:dyDescent="0.3">
      <c r="B234" s="35">
        <f t="shared" si="39"/>
        <v>1100</v>
      </c>
      <c r="C234" s="55">
        <f t="shared" si="37"/>
        <v>12.471708</v>
      </c>
      <c r="D234" s="55">
        <f t="shared" si="37"/>
        <v>12.471708</v>
      </c>
      <c r="E234" s="55">
        <v>0</v>
      </c>
      <c r="H234" s="35">
        <f t="shared" si="40"/>
        <v>1100</v>
      </c>
      <c r="I234" s="55">
        <f t="shared" si="38"/>
        <v>2.9808097514340344</v>
      </c>
      <c r="J234" s="55">
        <f t="shared" si="41"/>
        <v>2.9808097514340344</v>
      </c>
      <c r="K234" s="55">
        <f t="shared" si="42"/>
        <v>0</v>
      </c>
      <c r="M234" s="39" t="s">
        <v>37</v>
      </c>
      <c r="N234" s="41">
        <v>1.9870000000000001</v>
      </c>
    </row>
    <row r="235" spans="1:15" ht="15" thickBot="1" x14ac:dyDescent="0.35">
      <c r="B235" s="35">
        <f t="shared" si="39"/>
        <v>1200</v>
      </c>
      <c r="C235" s="55">
        <f t="shared" si="37"/>
        <v>12.471708</v>
      </c>
      <c r="D235" s="55">
        <f t="shared" si="37"/>
        <v>12.471708</v>
      </c>
      <c r="E235" s="55">
        <v>0</v>
      </c>
      <c r="H235" s="35">
        <f t="shared" si="40"/>
        <v>1200</v>
      </c>
      <c r="I235" s="55">
        <f t="shared" si="38"/>
        <v>2.9808097514340344</v>
      </c>
      <c r="J235" s="55">
        <f t="shared" si="41"/>
        <v>2.9808097514340344</v>
      </c>
      <c r="K235" s="55">
        <f t="shared" si="42"/>
        <v>0</v>
      </c>
      <c r="M235" s="44" t="s">
        <v>38</v>
      </c>
      <c r="N235" s="144" t="s">
        <v>35</v>
      </c>
    </row>
    <row r="236" spans="1:15" x14ac:dyDescent="0.3">
      <c r="B236" s="35">
        <f t="shared" si="39"/>
        <v>1300</v>
      </c>
      <c r="C236" s="55">
        <f t="shared" si="37"/>
        <v>12.471708</v>
      </c>
      <c r="D236" s="55">
        <f t="shared" si="37"/>
        <v>12.471708</v>
      </c>
      <c r="E236" s="55">
        <v>0</v>
      </c>
      <c r="H236" s="35">
        <f t="shared" si="40"/>
        <v>1300</v>
      </c>
      <c r="I236" s="55">
        <f t="shared" si="38"/>
        <v>2.9808097514340344</v>
      </c>
      <c r="J236" s="55">
        <f t="shared" si="41"/>
        <v>2.9808097514340344</v>
      </c>
      <c r="K236" s="55">
        <f t="shared" si="42"/>
        <v>0</v>
      </c>
      <c r="N236" s="47"/>
      <c r="O236" s="47"/>
    </row>
    <row r="237" spans="1:15" x14ac:dyDescent="0.3">
      <c r="B237" s="35">
        <f t="shared" si="39"/>
        <v>1400</v>
      </c>
      <c r="C237" s="55">
        <f t="shared" si="37"/>
        <v>12.471708</v>
      </c>
      <c r="D237" s="55">
        <f t="shared" si="37"/>
        <v>12.471708</v>
      </c>
      <c r="E237" s="55">
        <v>0</v>
      </c>
      <c r="H237" s="35">
        <f t="shared" si="40"/>
        <v>1400</v>
      </c>
      <c r="I237" s="55">
        <f t="shared" si="38"/>
        <v>2.9808097514340344</v>
      </c>
      <c r="J237" s="55">
        <f t="shared" si="41"/>
        <v>2.9808097514340344</v>
      </c>
      <c r="K237" s="55">
        <f t="shared" si="42"/>
        <v>0</v>
      </c>
    </row>
    <row r="238" spans="1:15" ht="15" thickBot="1" x14ac:dyDescent="0.35">
      <c r="B238" s="35">
        <f t="shared" si="39"/>
        <v>1500</v>
      </c>
      <c r="C238" s="55">
        <f t="shared" si="37"/>
        <v>12.471708</v>
      </c>
      <c r="D238" s="55">
        <f t="shared" si="37"/>
        <v>12.471708</v>
      </c>
      <c r="E238" s="55">
        <v>0</v>
      </c>
      <c r="H238" s="35">
        <f t="shared" si="40"/>
        <v>1500</v>
      </c>
      <c r="I238" s="55">
        <f t="shared" si="38"/>
        <v>2.9808097514340344</v>
      </c>
      <c r="J238" s="55">
        <f t="shared" si="41"/>
        <v>2.9808097514340344</v>
      </c>
      <c r="K238" s="55">
        <f t="shared" si="42"/>
        <v>0</v>
      </c>
    </row>
    <row r="239" spans="1:15" ht="15" thickBot="1" x14ac:dyDescent="0.35">
      <c r="B239" s="35">
        <f t="shared" si="39"/>
        <v>1600</v>
      </c>
      <c r="C239" s="55">
        <f t="shared" si="37"/>
        <v>12.471708</v>
      </c>
      <c r="D239" s="55">
        <f t="shared" si="37"/>
        <v>12.471708</v>
      </c>
      <c r="E239" s="55">
        <v>0</v>
      </c>
      <c r="H239" s="35">
        <f t="shared" si="40"/>
        <v>1600</v>
      </c>
      <c r="I239" s="55">
        <f t="shared" si="38"/>
        <v>2.9808097514340344</v>
      </c>
      <c r="J239" s="55">
        <f t="shared" si="41"/>
        <v>2.9808097514340344</v>
      </c>
      <c r="K239" s="55">
        <f t="shared" si="42"/>
        <v>0</v>
      </c>
      <c r="M239" s="30" t="s">
        <v>94</v>
      </c>
      <c r="N239" s="107">
        <f>SUM(I226:L226)</f>
        <v>5.9616195028680687</v>
      </c>
    </row>
    <row r="240" spans="1:15" x14ac:dyDescent="0.3">
      <c r="B240" s="35">
        <f t="shared" si="39"/>
        <v>1700</v>
      </c>
      <c r="C240" s="55">
        <f t="shared" si="37"/>
        <v>12.471708</v>
      </c>
      <c r="D240" s="55">
        <f t="shared" si="37"/>
        <v>12.471708</v>
      </c>
      <c r="E240" s="55">
        <v>0</v>
      </c>
      <c r="H240" s="35">
        <f t="shared" si="40"/>
        <v>1700</v>
      </c>
      <c r="I240" s="55">
        <f t="shared" si="38"/>
        <v>2.9808097514340344</v>
      </c>
      <c r="J240" s="55">
        <f t="shared" si="41"/>
        <v>2.9808097514340344</v>
      </c>
      <c r="K240" s="55">
        <f t="shared" si="42"/>
        <v>0</v>
      </c>
    </row>
    <row r="241" spans="2:12" x14ac:dyDescent="0.3">
      <c r="B241" s="35">
        <f t="shared" si="39"/>
        <v>1800</v>
      </c>
      <c r="C241" s="55">
        <f t="shared" si="37"/>
        <v>12.471708</v>
      </c>
      <c r="D241" s="55">
        <f t="shared" si="37"/>
        <v>12.471708</v>
      </c>
      <c r="E241" s="55">
        <v>0</v>
      </c>
      <c r="H241" s="35">
        <f t="shared" si="40"/>
        <v>1800</v>
      </c>
      <c r="I241" s="55">
        <f t="shared" si="38"/>
        <v>2.9808097514340344</v>
      </c>
      <c r="J241" s="55">
        <f t="shared" si="41"/>
        <v>2.9808097514340344</v>
      </c>
      <c r="K241" s="55">
        <f t="shared" si="42"/>
        <v>0</v>
      </c>
    </row>
    <row r="242" spans="2:12" x14ac:dyDescent="0.3">
      <c r="B242" s="35">
        <f t="shared" si="39"/>
        <v>1900</v>
      </c>
      <c r="C242" s="55">
        <f t="shared" si="37"/>
        <v>12.471708</v>
      </c>
      <c r="D242" s="55">
        <f t="shared" si="37"/>
        <v>12.471708</v>
      </c>
      <c r="E242" s="55">
        <v>0</v>
      </c>
      <c r="H242" s="35">
        <f t="shared" si="40"/>
        <v>1900</v>
      </c>
      <c r="I242" s="55">
        <f t="shared" si="38"/>
        <v>2.9808097514340344</v>
      </c>
      <c r="J242" s="55">
        <f t="shared" si="41"/>
        <v>2.9808097514340344</v>
      </c>
      <c r="K242" s="55">
        <f t="shared" si="42"/>
        <v>0</v>
      </c>
    </row>
    <row r="243" spans="2:12" x14ac:dyDescent="0.3">
      <c r="B243" s="35">
        <f t="shared" si="39"/>
        <v>2000</v>
      </c>
      <c r="C243" s="55">
        <f t="shared" si="37"/>
        <v>12.471708</v>
      </c>
      <c r="D243" s="55">
        <f t="shared" si="37"/>
        <v>12.471708</v>
      </c>
      <c r="E243" s="55">
        <v>0</v>
      </c>
      <c r="H243" s="35">
        <f t="shared" si="40"/>
        <v>2000</v>
      </c>
      <c r="I243" s="55">
        <f t="shared" si="38"/>
        <v>2.9808097514340344</v>
      </c>
      <c r="J243" s="55">
        <f t="shared" si="41"/>
        <v>2.9808097514340344</v>
      </c>
      <c r="K243" s="55">
        <f t="shared" si="42"/>
        <v>0</v>
      </c>
    </row>
    <row r="244" spans="2:12" ht="15" thickBot="1" x14ac:dyDescent="0.35">
      <c r="B244" s="26">
        <f t="shared" si="39"/>
        <v>2100</v>
      </c>
      <c r="C244" s="58">
        <f t="shared" si="37"/>
        <v>12.471708</v>
      </c>
      <c r="D244" s="58">
        <f t="shared" si="37"/>
        <v>12.471708</v>
      </c>
      <c r="E244" s="58">
        <v>0</v>
      </c>
      <c r="F244" s="53"/>
      <c r="H244" s="26">
        <f t="shared" si="40"/>
        <v>2100</v>
      </c>
      <c r="I244" s="58">
        <f t="shared" si="38"/>
        <v>2.9808097514340344</v>
      </c>
      <c r="J244" s="58">
        <f t="shared" si="41"/>
        <v>2.9808097514340344</v>
      </c>
      <c r="K244" s="58">
        <f t="shared" si="42"/>
        <v>0</v>
      </c>
      <c r="L244" s="53"/>
    </row>
    <row r="248" spans="2:12" ht="18" x14ac:dyDescent="0.3">
      <c r="B248" s="84"/>
    </row>
    <row r="249" spans="2:12" x14ac:dyDescent="0.3">
      <c r="C249" s="53"/>
      <c r="D249" s="53"/>
      <c r="E249" s="53"/>
      <c r="F249" s="53"/>
    </row>
    <row r="250" spans="2:12" x14ac:dyDescent="0.3">
      <c r="C250" s="53"/>
      <c r="D250" s="53"/>
      <c r="E250" s="53"/>
    </row>
    <row r="251" spans="2:12" x14ac:dyDescent="0.3">
      <c r="C251" s="53"/>
      <c r="D251" s="53"/>
      <c r="E251" s="53"/>
    </row>
    <row r="252" spans="2:12" x14ac:dyDescent="0.3">
      <c r="C252" s="53"/>
      <c r="D252" s="53"/>
      <c r="E252" s="53"/>
    </row>
    <row r="253" spans="2:12" x14ac:dyDescent="0.3">
      <c r="C253" s="53"/>
      <c r="D253" s="53"/>
      <c r="E253" s="53"/>
    </row>
    <row r="254" spans="2:12" x14ac:dyDescent="0.3">
      <c r="C254" s="53"/>
      <c r="D254" s="53"/>
      <c r="E254" s="53"/>
    </row>
    <row r="255" spans="2:12" x14ac:dyDescent="0.3">
      <c r="C255" s="53"/>
      <c r="D255" s="53"/>
      <c r="E255" s="53"/>
    </row>
    <row r="256" spans="2:12" x14ac:dyDescent="0.3">
      <c r="C256" s="53"/>
      <c r="D256" s="53"/>
      <c r="E256" s="53"/>
    </row>
    <row r="257" spans="1:12" x14ac:dyDescent="0.3">
      <c r="C257" s="53"/>
      <c r="D257" s="53"/>
      <c r="E257" s="53"/>
    </row>
    <row r="258" spans="1:12" x14ac:dyDescent="0.3">
      <c r="C258" s="53"/>
      <c r="D258" s="53"/>
      <c r="E258" s="53"/>
    </row>
    <row r="259" spans="1:12" x14ac:dyDescent="0.3">
      <c r="C259" s="53"/>
      <c r="D259" s="53"/>
      <c r="E259" s="53"/>
    </row>
    <row r="260" spans="1:12" x14ac:dyDescent="0.3">
      <c r="C260" s="53"/>
      <c r="D260" s="53"/>
      <c r="E260" s="53"/>
    </row>
    <row r="261" spans="1:12" x14ac:dyDescent="0.3">
      <c r="C261" s="53"/>
      <c r="D261" s="53"/>
      <c r="E261" s="53"/>
    </row>
    <row r="262" spans="1:12" x14ac:dyDescent="0.3">
      <c r="C262" s="53"/>
      <c r="D262" s="53"/>
      <c r="E262" s="53"/>
    </row>
    <row r="263" spans="1:12" x14ac:dyDescent="0.3">
      <c r="C263" s="53"/>
      <c r="D263" s="53"/>
      <c r="E263" s="53"/>
    </row>
    <row r="264" spans="1:12" x14ac:dyDescent="0.3">
      <c r="C264" s="53"/>
      <c r="D264" s="53"/>
      <c r="E264" s="53"/>
    </row>
    <row r="265" spans="1:12" x14ac:dyDescent="0.3">
      <c r="C265" s="53"/>
      <c r="D265" s="53"/>
      <c r="E265" s="53"/>
    </row>
    <row r="266" spans="1:12" x14ac:dyDescent="0.3">
      <c r="C266" s="53"/>
      <c r="D266" s="53"/>
      <c r="E266" s="53"/>
    </row>
    <row r="267" spans="1:12" x14ac:dyDescent="0.3">
      <c r="C267" s="53"/>
      <c r="D267" s="53"/>
      <c r="E267" s="53"/>
      <c r="F267" s="53"/>
    </row>
    <row r="272" spans="1:12" ht="15" thickBot="1" x14ac:dyDescent="0.35">
      <c r="A272" s="5" t="s">
        <v>106</v>
      </c>
      <c r="B272" s="208" t="s">
        <v>103</v>
      </c>
      <c r="C272" s="208"/>
      <c r="D272" s="208"/>
      <c r="E272" s="208"/>
      <c r="F272" s="208"/>
      <c r="H272" s="208" t="s">
        <v>104</v>
      </c>
      <c r="I272" s="208"/>
      <c r="J272" s="208"/>
      <c r="K272" s="208"/>
      <c r="L272" s="208"/>
    </row>
    <row r="273" spans="1:12" ht="18" x14ac:dyDescent="0.3">
      <c r="A273" s="5" t="s">
        <v>99</v>
      </c>
      <c r="B273" s="94" t="s">
        <v>47</v>
      </c>
      <c r="C273" s="16" t="s">
        <v>89</v>
      </c>
      <c r="D273" s="16" t="s">
        <v>37</v>
      </c>
      <c r="E273" s="16" t="s">
        <v>38</v>
      </c>
      <c r="F273" s="16" t="s">
        <v>90</v>
      </c>
      <c r="H273" s="94" t="s">
        <v>47</v>
      </c>
      <c r="I273" s="116" t="s">
        <v>89</v>
      </c>
      <c r="J273" s="116" t="s">
        <v>37</v>
      </c>
      <c r="K273" s="116" t="s">
        <v>38</v>
      </c>
      <c r="L273" s="16" t="s">
        <v>90</v>
      </c>
    </row>
    <row r="274" spans="1:12" ht="15" thickBot="1" x14ac:dyDescent="0.35">
      <c r="B274" s="35">
        <f>298.15</f>
        <v>298.14999999999998</v>
      </c>
      <c r="C274" s="55">
        <f>3/2*$D$2 + $D$2</f>
        <v>20.786180000000002</v>
      </c>
      <c r="D274" s="55">
        <f>3/2*$D$2  + $D$2</f>
        <v>20.786180000000002</v>
      </c>
      <c r="E274" s="55" t="e" cm="1">
        <f t="array" ref="E274">$D$2*SUM( ( ($B$12:$B$20) * ($B$12:$B$20)* EXP($B$12:$B$20/B274) ) / ( B274*B274* ( EXP(( $B$12:$B$20)/B274 )  -1)^2 ) ) +   $D$2</f>
        <v>#DIV/0!</v>
      </c>
      <c r="F274" s="58" t="s">
        <v>107</v>
      </c>
      <c r="H274" s="35">
        <f>298.15</f>
        <v>298.14999999999998</v>
      </c>
      <c r="I274" s="105">
        <f>(3/2*$D$2  + $D$2)/ 4.184</f>
        <v>4.9680162523900577</v>
      </c>
      <c r="J274" s="105">
        <f>(3/2*$D$2 + $D$2) / 4.184</f>
        <v>4.9680162523900577</v>
      </c>
      <c r="K274" s="105" t="e" cm="1">
        <f t="array" ref="K274" xml:space="preserve"> ($D$2*SUM( ( ($B$12:$B$20) * ($B$12:$B$20)* EXP($B$12:$B$20/B274) ) / ( B274*B274* ( EXP(( $B$12:$B$20)/B274 )  -1)^2 ) ) +   $D$2 ) / 4.184</f>
        <v>#DIV/0!</v>
      </c>
      <c r="L274" s="117" t="s">
        <v>107</v>
      </c>
    </row>
    <row r="275" spans="1:12" x14ac:dyDescent="0.3">
      <c r="B275" s="35">
        <f>300+100</f>
        <v>400</v>
      </c>
      <c r="C275" s="55">
        <f t="shared" ref="C275:C292" si="43">3/2*$D$2 + $D$2</f>
        <v>20.786180000000002</v>
      </c>
      <c r="D275" s="55">
        <f t="shared" ref="D275:D292" si="44">3/2*$D$2  + $D$2</f>
        <v>20.786180000000002</v>
      </c>
      <c r="E275" s="55" t="e" cm="1">
        <f t="array" ref="E275">$D$2*SUM( ( ($B$12:$B$20) * ($B$12:$B$20)* EXP($B$12:$B$20/B275) ) / ( B275*B275* ( EXP(( $B$12:$B$20)/B275 )  -1)^2 ) ) +   $D$2</f>
        <v>#DIV/0!</v>
      </c>
      <c r="H275" s="35">
        <f>300+100</f>
        <v>400</v>
      </c>
      <c r="I275" s="55">
        <f t="shared" ref="I275:I292" si="45">(3/2*$D$2  + $D$2)/ 4.184</f>
        <v>4.9680162523900577</v>
      </c>
      <c r="J275" s="55">
        <f t="shared" ref="J275:J292" si="46">(3/2*$D$2 + $D$2) / 4.184</f>
        <v>4.9680162523900577</v>
      </c>
      <c r="K275" s="55" t="e" cm="1">
        <f t="array" ref="K275" xml:space="preserve"> ($D$2*SUM( ( ($B$12:$B$20) * ($B$12:$B$20)* EXP($B$12:$B$20/B275) ) / ( B275*B275* ( EXP(( $B$12:$B$20)/B275)  -1)^2 ) ) +   $D$2 ) / 4.184</f>
        <v>#DIV/0!</v>
      </c>
    </row>
    <row r="276" spans="1:12" x14ac:dyDescent="0.3">
      <c r="B276" s="35">
        <f t="shared" ref="B276:B292" si="47">B275+100</f>
        <v>500</v>
      </c>
      <c r="C276" s="55">
        <f t="shared" si="43"/>
        <v>20.786180000000002</v>
      </c>
      <c r="D276" s="55">
        <f t="shared" si="44"/>
        <v>20.786180000000002</v>
      </c>
      <c r="E276" s="55" t="e" cm="1">
        <f t="array" ref="E276">$D$2*SUM( ( ($B$12:$B$20) * ($B$12:$B$20)* EXP($B$12:$B$20/B276) ) / ( B276*B276* ( EXP(( $B$12:$B$20)/B276 )  -1)^2 ) ) +   $D$2</f>
        <v>#DIV/0!</v>
      </c>
      <c r="H276" s="35">
        <f t="shared" ref="H276:H292" si="48">H275+100</f>
        <v>500</v>
      </c>
      <c r="I276" s="55">
        <f t="shared" si="45"/>
        <v>4.9680162523900577</v>
      </c>
      <c r="J276" s="55">
        <f t="shared" si="46"/>
        <v>4.9680162523900577</v>
      </c>
      <c r="K276" s="55" t="e" cm="1">
        <f t="array" ref="K276" xml:space="preserve"> ($D$2*SUM( ( ($B$12:$B$20) * ($B$12:$B$20)* EXP($B$12:$B$20/B276) ) / ( B276*B276* ( EXP(( $B$12:$B$20)/B276)  -1)^2 ) ) +   $D$2 ) / 4.184</f>
        <v>#DIV/0!</v>
      </c>
    </row>
    <row r="277" spans="1:12" x14ac:dyDescent="0.3">
      <c r="B277" s="35">
        <f t="shared" si="47"/>
        <v>600</v>
      </c>
      <c r="C277" s="55">
        <f t="shared" si="43"/>
        <v>20.786180000000002</v>
      </c>
      <c r="D277" s="55">
        <f t="shared" si="44"/>
        <v>20.786180000000002</v>
      </c>
      <c r="E277" s="55" t="e" cm="1">
        <f t="array" ref="E277">$D$2*SUM( ( ($B$12:$B$20) * ($B$12:$B$20)* EXP($B$12:$B$20/B277) ) / ( B277*B277* ( EXP(( $B$12:$B$20)/B277 )  -1)^2 ) ) +   $D$2</f>
        <v>#DIV/0!</v>
      </c>
      <c r="H277" s="35">
        <f t="shared" si="48"/>
        <v>600</v>
      </c>
      <c r="I277" s="55">
        <f t="shared" si="45"/>
        <v>4.9680162523900577</v>
      </c>
      <c r="J277" s="55">
        <f t="shared" si="46"/>
        <v>4.9680162523900577</v>
      </c>
      <c r="K277" s="55" t="e" cm="1">
        <f t="array" ref="K277" xml:space="preserve"> ($D$2*SUM( ( ($B$12:$B$20) * ($B$12:$B$20)* EXP($B$12:$B$20/B277) ) / ( B277*B277* ( EXP(( $B$12:$B$20)/B277)  -1)^2 ) ) +   $D$2 ) / 4.184</f>
        <v>#DIV/0!</v>
      </c>
    </row>
    <row r="278" spans="1:12" x14ac:dyDescent="0.3">
      <c r="B278" s="35">
        <f t="shared" si="47"/>
        <v>700</v>
      </c>
      <c r="C278" s="55">
        <f t="shared" si="43"/>
        <v>20.786180000000002</v>
      </c>
      <c r="D278" s="55">
        <f t="shared" si="44"/>
        <v>20.786180000000002</v>
      </c>
      <c r="E278" s="55" t="e" cm="1">
        <f t="array" ref="E278">$D$2*SUM( ( ($B$12:$B$20) * ($B$12:$B$20)* EXP($B$12:$B$20/B278) ) / ( B278*B278* ( EXP(( $B$12:$B$20)/B278 )  -1)^2 ) ) +   $D$2</f>
        <v>#DIV/0!</v>
      </c>
      <c r="H278" s="35">
        <f t="shared" si="48"/>
        <v>700</v>
      </c>
      <c r="I278" s="55">
        <f t="shared" si="45"/>
        <v>4.9680162523900577</v>
      </c>
      <c r="J278" s="55">
        <f t="shared" si="46"/>
        <v>4.9680162523900577</v>
      </c>
      <c r="K278" s="55" t="e" cm="1">
        <f t="array" ref="K278" xml:space="preserve"> ($D$2*SUM( ( ($B$12:$B$20) * ($B$12:$B$20)* EXP($B$12:$B$20/B278) ) / ( B278*B278* ( EXP(( $B$12:$B$20)/B278)  -1)^2 ) ) +   $D$2 ) / 4.184</f>
        <v>#DIV/0!</v>
      </c>
    </row>
    <row r="279" spans="1:12" x14ac:dyDescent="0.3">
      <c r="B279" s="35">
        <f t="shared" si="47"/>
        <v>800</v>
      </c>
      <c r="C279" s="55">
        <f t="shared" si="43"/>
        <v>20.786180000000002</v>
      </c>
      <c r="D279" s="55">
        <f t="shared" si="44"/>
        <v>20.786180000000002</v>
      </c>
      <c r="E279" s="55" t="e" cm="1">
        <f t="array" ref="E279">$D$2*SUM( ( ($B$12:$B$20) * ($B$12:$B$20)* EXP($B$12:$B$20/B279) ) / ( B279*B279* ( EXP(( $B$12:$B$20)/B279 )  -1)^2 ) ) +   $D$2</f>
        <v>#DIV/0!</v>
      </c>
      <c r="H279" s="35">
        <f t="shared" si="48"/>
        <v>800</v>
      </c>
      <c r="I279" s="55">
        <f t="shared" si="45"/>
        <v>4.9680162523900577</v>
      </c>
      <c r="J279" s="55">
        <f t="shared" si="46"/>
        <v>4.9680162523900577</v>
      </c>
      <c r="K279" s="55" t="e" cm="1">
        <f t="array" ref="K279" xml:space="preserve"> ($D$2*SUM( ( ($B$12:$B$20) * ($B$12:$B$20)* EXP($B$12:$B$20/B279) ) / ( B279*B279* ( EXP(( $B$12:$B$20)/B279)  -1)^2 ) ) +   $D$2 ) / 4.184</f>
        <v>#DIV/0!</v>
      </c>
    </row>
    <row r="280" spans="1:12" x14ac:dyDescent="0.3">
      <c r="B280" s="35">
        <f t="shared" si="47"/>
        <v>900</v>
      </c>
      <c r="C280" s="55">
        <f t="shared" si="43"/>
        <v>20.786180000000002</v>
      </c>
      <c r="D280" s="55">
        <f t="shared" si="44"/>
        <v>20.786180000000002</v>
      </c>
      <c r="E280" s="55" t="e" cm="1">
        <f t="array" ref="E280">$D$2*SUM( ( ($B$12:$B$20) * ($B$12:$B$20)* EXP($B$12:$B$20/B280) ) / ( B280*B280* ( EXP(( $B$12:$B$20)/B280 )  -1)^2 ) ) +   $D$2</f>
        <v>#DIV/0!</v>
      </c>
      <c r="H280" s="35">
        <f t="shared" si="48"/>
        <v>900</v>
      </c>
      <c r="I280" s="55">
        <f t="shared" si="45"/>
        <v>4.9680162523900577</v>
      </c>
      <c r="J280" s="55">
        <f t="shared" si="46"/>
        <v>4.9680162523900577</v>
      </c>
      <c r="K280" s="55" t="e" cm="1">
        <f t="array" ref="K280" xml:space="preserve"> ($D$2*SUM( ( ($B$12:$B$20) * ($B$12:$B$20)* EXP($B$12:$B$20/B280) ) / ( B280*B280* ( EXP(( $B$12:$B$20)/B280)  -1)^2 ) ) +   $D$2 ) / 4.184</f>
        <v>#DIV/0!</v>
      </c>
    </row>
    <row r="281" spans="1:12" x14ac:dyDescent="0.3">
      <c r="B281" s="35">
        <f t="shared" si="47"/>
        <v>1000</v>
      </c>
      <c r="C281" s="55">
        <f t="shared" si="43"/>
        <v>20.786180000000002</v>
      </c>
      <c r="D281" s="55">
        <f t="shared" si="44"/>
        <v>20.786180000000002</v>
      </c>
      <c r="E281" s="55" t="e" cm="1">
        <f t="array" ref="E281">$D$2*SUM( ( ($B$12:$B$20) * ($B$12:$B$20)* EXP($B$12:$B$20/B281) ) / ( B281*B281* ( EXP(( $B$12:$B$20)/B281 )  -1)^2 ) ) +   $D$2</f>
        <v>#DIV/0!</v>
      </c>
      <c r="H281" s="35">
        <f t="shared" si="48"/>
        <v>1000</v>
      </c>
      <c r="I281" s="55">
        <f t="shared" si="45"/>
        <v>4.9680162523900577</v>
      </c>
      <c r="J281" s="55">
        <f t="shared" si="46"/>
        <v>4.9680162523900577</v>
      </c>
      <c r="K281" s="55" t="e" cm="1">
        <f t="array" ref="K281" xml:space="preserve"> ($D$2*SUM( ( ($B$12:$B$20) * ($B$12:$B$20)* EXP($B$12:$B$20/B281) ) / ( B281*B281* ( EXP(( $B$12:$B$20)/B281)  -1)^2 ) ) +   $D$2 ) / 4.184</f>
        <v>#DIV/0!</v>
      </c>
    </row>
    <row r="282" spans="1:12" x14ac:dyDescent="0.3">
      <c r="B282" s="35">
        <f t="shared" si="47"/>
        <v>1100</v>
      </c>
      <c r="C282" s="55">
        <f t="shared" si="43"/>
        <v>20.786180000000002</v>
      </c>
      <c r="D282" s="55">
        <f t="shared" si="44"/>
        <v>20.786180000000002</v>
      </c>
      <c r="E282" s="55" t="e" cm="1">
        <f t="array" ref="E282">$D$2*SUM( ( ($B$12:$B$20) * ($B$12:$B$20)* EXP($B$12:$B$20/B282) ) / ( B282*B282* ( EXP(( $B$12:$B$20)/B282 )  -1)^2 ) ) +   $D$2</f>
        <v>#DIV/0!</v>
      </c>
      <c r="H282" s="35">
        <f t="shared" si="48"/>
        <v>1100</v>
      </c>
      <c r="I282" s="55">
        <f t="shared" si="45"/>
        <v>4.9680162523900577</v>
      </c>
      <c r="J282" s="55">
        <f t="shared" si="46"/>
        <v>4.9680162523900577</v>
      </c>
      <c r="K282" s="55" t="e" cm="1">
        <f t="array" ref="K282" xml:space="preserve"> ($D$2*SUM( ( ($B$12:$B$20) * ($B$12:$B$20)* EXP($B$12:$B$20/B282) ) / ( B282*B282* ( EXP(( $B$12:$B$20)/B282)  -1)^2 ) ) +   $D$2 ) / 4.184</f>
        <v>#DIV/0!</v>
      </c>
    </row>
    <row r="283" spans="1:12" x14ac:dyDescent="0.3">
      <c r="B283" s="35">
        <f t="shared" si="47"/>
        <v>1200</v>
      </c>
      <c r="C283" s="55">
        <f t="shared" si="43"/>
        <v>20.786180000000002</v>
      </c>
      <c r="D283" s="55">
        <f t="shared" si="44"/>
        <v>20.786180000000002</v>
      </c>
      <c r="E283" s="55" t="e" cm="1">
        <f t="array" ref="E283">$D$2*SUM( ( ($B$12:$B$20) * ($B$12:$B$20)* EXP($B$12:$B$20/B283) ) / ( B283*B283* ( EXP(( $B$12:$B$20)/B283 )  -1)^2 ) ) +   $D$2</f>
        <v>#DIV/0!</v>
      </c>
      <c r="H283" s="35">
        <f t="shared" si="48"/>
        <v>1200</v>
      </c>
      <c r="I283" s="55">
        <f t="shared" si="45"/>
        <v>4.9680162523900577</v>
      </c>
      <c r="J283" s="55">
        <f t="shared" si="46"/>
        <v>4.9680162523900577</v>
      </c>
      <c r="K283" s="55" t="e" cm="1">
        <f t="array" ref="K283" xml:space="preserve"> ($D$2*SUM( ( ($B$12:$B$20) * ($B$12:$B$20)* EXP($B$12:$B$20/B283) ) / ( B283*B283* ( EXP(( $B$12:$B$20)/B283)  -1)^2 ) ) +   $D$2 ) / 4.184</f>
        <v>#DIV/0!</v>
      </c>
    </row>
    <row r="284" spans="1:12" x14ac:dyDescent="0.3">
      <c r="B284" s="35">
        <f t="shared" si="47"/>
        <v>1300</v>
      </c>
      <c r="C284" s="55">
        <f t="shared" si="43"/>
        <v>20.786180000000002</v>
      </c>
      <c r="D284" s="55">
        <f t="shared" si="44"/>
        <v>20.786180000000002</v>
      </c>
      <c r="E284" s="55" t="e" cm="1">
        <f t="array" ref="E284">$D$2*SUM( ( ($B$12:$B$20) * ($B$12:$B$20)* EXP($B$12:$B$20/B284) ) / ( B284*B284* ( EXP(( $B$12:$B$20)/B284 )  -1)^2 ) ) +   $D$2</f>
        <v>#DIV/0!</v>
      </c>
      <c r="H284" s="35">
        <f t="shared" si="48"/>
        <v>1300</v>
      </c>
      <c r="I284" s="55">
        <f t="shared" si="45"/>
        <v>4.9680162523900577</v>
      </c>
      <c r="J284" s="55">
        <f t="shared" si="46"/>
        <v>4.9680162523900577</v>
      </c>
      <c r="K284" s="55" t="e" cm="1">
        <f t="array" ref="K284" xml:space="preserve"> ($D$2*SUM( ( ($B$12:$B$20) * ($B$12:$B$20)* EXP($B$12:$B$20/B284) ) / ( B284*B284* ( EXP(( $B$12:$B$20)/B284)  -1)^2 ) ) +   $D$2 ) / 4.184</f>
        <v>#DIV/0!</v>
      </c>
    </row>
    <row r="285" spans="1:12" x14ac:dyDescent="0.3">
      <c r="B285" s="35">
        <f t="shared" si="47"/>
        <v>1400</v>
      </c>
      <c r="C285" s="55">
        <f t="shared" si="43"/>
        <v>20.786180000000002</v>
      </c>
      <c r="D285" s="55">
        <f t="shared" si="44"/>
        <v>20.786180000000002</v>
      </c>
      <c r="E285" s="55" t="e" cm="1">
        <f t="array" ref="E285">$D$2*SUM( ( ($B$12:$B$20) * ($B$12:$B$20)* EXP($B$12:$B$20/B285) ) / ( B285*B285* ( EXP(( $B$12:$B$20)/B285 )  -1)^2 ) ) +   $D$2</f>
        <v>#DIV/0!</v>
      </c>
      <c r="H285" s="35">
        <f t="shared" si="48"/>
        <v>1400</v>
      </c>
      <c r="I285" s="55">
        <f t="shared" si="45"/>
        <v>4.9680162523900577</v>
      </c>
      <c r="J285" s="55">
        <f t="shared" si="46"/>
        <v>4.9680162523900577</v>
      </c>
      <c r="K285" s="55" t="e" cm="1">
        <f t="array" ref="K285" xml:space="preserve"> ($D$2*SUM( ( ($B$12:$B$20) * ($B$12:$B$20)* EXP($B$12:$B$20/B285) ) / ( B285*B285* ( EXP(( $B$12:$B$20)/B285)  -1)^2 ) ) +   $D$2 ) / 4.184</f>
        <v>#DIV/0!</v>
      </c>
    </row>
    <row r="286" spans="1:12" x14ac:dyDescent="0.3">
      <c r="B286" s="35">
        <f t="shared" si="47"/>
        <v>1500</v>
      </c>
      <c r="C286" s="55">
        <f t="shared" si="43"/>
        <v>20.786180000000002</v>
      </c>
      <c r="D286" s="55">
        <f t="shared" si="44"/>
        <v>20.786180000000002</v>
      </c>
      <c r="E286" s="55" t="e" cm="1">
        <f t="array" ref="E286">$D$2*SUM( ( ($B$12:$B$20) * ($B$12:$B$20)* EXP($B$12:$B$20/B286) ) / ( B286*B286* ( EXP(( $B$12:$B$20)/B286 )  -1)^2 ) ) +   $D$2</f>
        <v>#DIV/0!</v>
      </c>
      <c r="H286" s="35">
        <f t="shared" si="48"/>
        <v>1500</v>
      </c>
      <c r="I286" s="55">
        <f t="shared" si="45"/>
        <v>4.9680162523900577</v>
      </c>
      <c r="J286" s="55">
        <f t="shared" si="46"/>
        <v>4.9680162523900577</v>
      </c>
      <c r="K286" s="55" t="e" cm="1">
        <f t="array" ref="K286" xml:space="preserve"> ($D$2*SUM( ( ($B$12:$B$20) * ($B$12:$B$20)* EXP($B$12:$B$20/B286) ) / ( B286*B286* ( EXP(( $B$12:$B$20)/B286)  -1)^2 ) ) +   $D$2 ) / 4.184</f>
        <v>#DIV/0!</v>
      </c>
    </row>
    <row r="287" spans="1:12" x14ac:dyDescent="0.3">
      <c r="B287" s="35">
        <f t="shared" si="47"/>
        <v>1600</v>
      </c>
      <c r="C287" s="55">
        <f t="shared" si="43"/>
        <v>20.786180000000002</v>
      </c>
      <c r="D287" s="55">
        <f t="shared" si="44"/>
        <v>20.786180000000002</v>
      </c>
      <c r="E287" s="55" t="e" cm="1">
        <f t="array" ref="E287">$D$2*SUM( ( ($B$12:$B$20) * ($B$12:$B$20)* EXP($B$12:$B$20/B287) ) / ( B287*B287* ( EXP(( $B$12:$B$20)/B287 )  -1)^2 ) ) +   $D$2</f>
        <v>#DIV/0!</v>
      </c>
      <c r="H287" s="35">
        <f t="shared" si="48"/>
        <v>1600</v>
      </c>
      <c r="I287" s="55">
        <f t="shared" si="45"/>
        <v>4.9680162523900577</v>
      </c>
      <c r="J287" s="55">
        <f t="shared" si="46"/>
        <v>4.9680162523900577</v>
      </c>
      <c r="K287" s="55" t="e" cm="1">
        <f t="array" ref="K287" xml:space="preserve"> ($D$2*SUM( ( ($B$12:$B$20) * ($B$12:$B$20)* EXP($B$12:$B$20/B287) ) / ( B287*B287* ( EXP(( $B$12:$B$20)/B287)  -1)^2 ) ) +   $D$2 ) / 4.184</f>
        <v>#DIV/0!</v>
      </c>
    </row>
    <row r="288" spans="1:12" x14ac:dyDescent="0.3">
      <c r="B288" s="35">
        <f t="shared" si="47"/>
        <v>1700</v>
      </c>
      <c r="C288" s="55">
        <f t="shared" si="43"/>
        <v>20.786180000000002</v>
      </c>
      <c r="D288" s="55">
        <f t="shared" si="44"/>
        <v>20.786180000000002</v>
      </c>
      <c r="E288" s="55" t="e" cm="1">
        <f t="array" ref="E288">$D$2*SUM( ( ($B$12:$B$20) * ($B$12:$B$20)* EXP($B$12:$B$20/B288) ) / ( B288*B288* ( EXP(( $B$12:$B$20)/B288 )  -1)^2 ) ) +   $D$2</f>
        <v>#DIV/0!</v>
      </c>
      <c r="H288" s="35">
        <f t="shared" si="48"/>
        <v>1700</v>
      </c>
      <c r="I288" s="55">
        <f t="shared" si="45"/>
        <v>4.9680162523900577</v>
      </c>
      <c r="J288" s="55">
        <f t="shared" si="46"/>
        <v>4.9680162523900577</v>
      </c>
      <c r="K288" s="55" t="e" cm="1">
        <f t="array" ref="K288" xml:space="preserve"> ($D$2*SUM( ( ($B$12:$B$20) * ($B$12:$B$20)* EXP($B$12:$B$20/B288) ) / ( B288*B288* ( EXP(( $B$12:$B$20)/B288)  -1)^2 ) ) +   $D$2 ) / 4.184</f>
        <v>#DIV/0!</v>
      </c>
    </row>
    <row r="289" spans="2:12" x14ac:dyDescent="0.3">
      <c r="B289" s="35">
        <f t="shared" si="47"/>
        <v>1800</v>
      </c>
      <c r="C289" s="55">
        <f t="shared" si="43"/>
        <v>20.786180000000002</v>
      </c>
      <c r="D289" s="55">
        <f t="shared" si="44"/>
        <v>20.786180000000002</v>
      </c>
      <c r="E289" s="55" t="e" cm="1">
        <f t="array" ref="E289">$D$2*SUM( ( ($B$12:$B$20) * ($B$12:$B$20)* EXP($B$12:$B$20/B289) ) / ( B289*B289* ( EXP(( $B$12:$B$20)/B289 )  -1)^2 ) ) +   $D$2</f>
        <v>#DIV/0!</v>
      </c>
      <c r="H289" s="35">
        <f t="shared" si="48"/>
        <v>1800</v>
      </c>
      <c r="I289" s="55">
        <f t="shared" si="45"/>
        <v>4.9680162523900577</v>
      </c>
      <c r="J289" s="55">
        <f t="shared" si="46"/>
        <v>4.9680162523900577</v>
      </c>
      <c r="K289" s="55" t="e" cm="1">
        <f t="array" ref="K289" xml:space="preserve"> ($D$2*SUM( ( ($B$12:$B$20) * ($B$12:$B$20)* EXP($B$12:$B$20/B289) ) / ( B289*B289* ( EXP(( $B$12:$B$20)/B289)  -1)^2 ) ) +   $D$2 ) / 4.184</f>
        <v>#DIV/0!</v>
      </c>
    </row>
    <row r="290" spans="2:12" x14ac:dyDescent="0.3">
      <c r="B290" s="35">
        <f t="shared" si="47"/>
        <v>1900</v>
      </c>
      <c r="C290" s="55">
        <f t="shared" si="43"/>
        <v>20.786180000000002</v>
      </c>
      <c r="D290" s="55">
        <f t="shared" si="44"/>
        <v>20.786180000000002</v>
      </c>
      <c r="E290" s="55" t="e" cm="1">
        <f t="array" ref="E290">$D$2*SUM( ( ($B$12:$B$20) * ($B$12:$B$20)* EXP($B$12:$B$20/B290) ) / ( B290*B290* ( EXP(( $B$12:$B$20)/B290 )  -1)^2 ) ) +   $D$2</f>
        <v>#DIV/0!</v>
      </c>
      <c r="H290" s="35">
        <f t="shared" si="48"/>
        <v>1900</v>
      </c>
      <c r="I290" s="55">
        <f t="shared" si="45"/>
        <v>4.9680162523900577</v>
      </c>
      <c r="J290" s="55">
        <f t="shared" si="46"/>
        <v>4.9680162523900577</v>
      </c>
      <c r="K290" s="55" t="e" cm="1">
        <f t="array" ref="K290" xml:space="preserve"> ($D$2*SUM( ( ($B$12:$B$20) * ($B$12:$B$20)* EXP($B$12:$B$20/B290) ) / ( B290*B290* ( EXP(( $B$12:$B$20)/B290)  -1)^2 ) ) +   $D$2 ) / 4.184</f>
        <v>#DIV/0!</v>
      </c>
    </row>
    <row r="291" spans="2:12" x14ac:dyDescent="0.3">
      <c r="B291" s="35">
        <f t="shared" si="47"/>
        <v>2000</v>
      </c>
      <c r="C291" s="55">
        <f t="shared" si="43"/>
        <v>20.786180000000002</v>
      </c>
      <c r="D291" s="55">
        <f t="shared" si="44"/>
        <v>20.786180000000002</v>
      </c>
      <c r="E291" s="55" t="e" cm="1">
        <f t="array" ref="E291">$D$2*SUM( ( ($B$12:$B$20) * ($B$12:$B$20)* EXP($B$12:$B$20/B291) ) / ( B291*B291* ( EXP(( $B$12:$B$20)/B291 )  -1)^2 ) ) +   $D$2</f>
        <v>#DIV/0!</v>
      </c>
      <c r="H291" s="35">
        <f t="shared" si="48"/>
        <v>2000</v>
      </c>
      <c r="I291" s="55">
        <f t="shared" si="45"/>
        <v>4.9680162523900577</v>
      </c>
      <c r="J291" s="55">
        <f t="shared" si="46"/>
        <v>4.9680162523900577</v>
      </c>
      <c r="K291" s="55" t="e" cm="1">
        <f t="array" ref="K291" xml:space="preserve"> ($D$2*SUM( ( ($B$12:$B$20) * ($B$12:$B$20)* EXP($B$12:$B$20/B291) ) / ( B291*B291* ( EXP(( $B$12:$B$20)/B291)  -1)^2 ) ) +   $D$2 ) / 4.184</f>
        <v>#DIV/0!</v>
      </c>
    </row>
    <row r="292" spans="2:12" ht="15" thickBot="1" x14ac:dyDescent="0.35">
      <c r="B292" s="26">
        <f t="shared" si="47"/>
        <v>2100</v>
      </c>
      <c r="C292" s="58">
        <f t="shared" si="43"/>
        <v>20.786180000000002</v>
      </c>
      <c r="D292" s="58">
        <f t="shared" si="44"/>
        <v>20.786180000000002</v>
      </c>
      <c r="E292" s="58" t="e" cm="1">
        <f t="array" ref="E292">$D$2*SUM( ( ($B$12:$B$20) * ($B$12:$B$20)* EXP($B$12:$B$20/B292) ) / ( B292*B292* ( EXP(( $B$12:$B$20)/B292 )  -1)^2 ) ) +   $D$2</f>
        <v>#DIV/0!</v>
      </c>
      <c r="F292" s="53"/>
      <c r="H292" s="26">
        <f t="shared" si="48"/>
        <v>2100</v>
      </c>
      <c r="I292" s="58">
        <f t="shared" si="45"/>
        <v>4.9680162523900577</v>
      </c>
      <c r="J292" s="58">
        <f t="shared" si="46"/>
        <v>4.9680162523900577</v>
      </c>
      <c r="K292" s="58" t="e" cm="1">
        <f t="array" ref="K292" xml:space="preserve"> ($D$2*SUM( ( ($B$12:$B$20) * ($B$12:$B$20)* EXP($B$12:$B$20/B292) ) / ( B292*B292* ( EXP(( $B$12:$B$20)/B292)  -1)^2 ) ) +   $D$2 ) / 4.184</f>
        <v>#DIV/0!</v>
      </c>
      <c r="L292" s="53"/>
    </row>
  </sheetData>
  <mergeCells count="14">
    <mergeCell ref="B272:F272"/>
    <mergeCell ref="H272:L272"/>
    <mergeCell ref="D52:W52"/>
    <mergeCell ref="B174:F174"/>
    <mergeCell ref="H174:K174"/>
    <mergeCell ref="M177:N177"/>
    <mergeCell ref="M178:N178"/>
    <mergeCell ref="B200:F200"/>
    <mergeCell ref="H200:L200"/>
    <mergeCell ref="M204:N204"/>
    <mergeCell ref="M205:N205"/>
    <mergeCell ref="B224:F224"/>
    <mergeCell ref="H224:L224"/>
    <mergeCell ref="M228:N22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083F-AC36-465B-A509-2CDF096F2B92}">
  <dimension ref="A1:S108"/>
  <sheetViews>
    <sheetView workbookViewId="0">
      <selection activeCell="R20" sqref="R20"/>
    </sheetView>
  </sheetViews>
  <sheetFormatPr defaultRowHeight="14.4" x14ac:dyDescent="0.3"/>
  <cols>
    <col min="1" max="1" width="9.109375" style="153" bestFit="1" customWidth="1"/>
    <col min="2" max="2" width="12.21875" style="154" bestFit="1" customWidth="1"/>
    <col min="3" max="3" width="21.44140625" style="153" bestFit="1" customWidth="1"/>
    <col min="4" max="4" width="13.5546875" style="153" bestFit="1" customWidth="1"/>
    <col min="5" max="16" width="8.88671875" style="153"/>
    <col min="17" max="17" width="18.44140625" style="153" bestFit="1" customWidth="1"/>
    <col min="18" max="18" width="11.109375" style="153" bestFit="1" customWidth="1"/>
    <col min="19" max="16384" width="8.88671875" style="153"/>
  </cols>
  <sheetData>
    <row r="1" spans="1:19" x14ac:dyDescent="0.3">
      <c r="A1" s="153" t="s">
        <v>121</v>
      </c>
      <c r="B1" s="154" t="s">
        <v>122</v>
      </c>
      <c r="C1" s="153" t="s">
        <v>123</v>
      </c>
      <c r="D1" s="153" t="s">
        <v>124</v>
      </c>
    </row>
    <row r="2" spans="1:19" x14ac:dyDescent="0.3">
      <c r="A2" s="164">
        <v>1.05</v>
      </c>
      <c r="B2" s="154">
        <v>-40.148650000000004</v>
      </c>
      <c r="C2" s="154">
        <f>B2-$B$3</f>
        <v>9.7999999999984766E-3</v>
      </c>
      <c r="D2" s="153">
        <f>C2*625</f>
        <v>6.1249999999990479</v>
      </c>
    </row>
    <row r="3" spans="1:19" x14ac:dyDescent="0.3">
      <c r="A3" s="164">
        <v>1.2</v>
      </c>
      <c r="B3" s="154">
        <v>-40.158450000000002</v>
      </c>
      <c r="C3" s="154">
        <f t="shared" ref="C3:C22" si="0">B3-$B$3</f>
        <v>0</v>
      </c>
      <c r="D3" s="153">
        <f t="shared" ref="D3:D22" si="1">C3*625</f>
        <v>0</v>
      </c>
    </row>
    <row r="4" spans="1:19" ht="15" thickBot="1" x14ac:dyDescent="0.35">
      <c r="A4" s="164">
        <v>1.35</v>
      </c>
      <c r="B4" s="154">
        <v>-40.1511</v>
      </c>
      <c r="C4" s="154">
        <f t="shared" si="0"/>
        <v>7.3500000000024102E-3</v>
      </c>
      <c r="D4" s="153">
        <f t="shared" si="1"/>
        <v>4.5937500000015064</v>
      </c>
    </row>
    <row r="5" spans="1:19" x14ac:dyDescent="0.3">
      <c r="A5" s="164">
        <v>1.5</v>
      </c>
      <c r="B5" s="154">
        <v>-40.141919999999999</v>
      </c>
      <c r="C5" s="154">
        <f t="shared" si="0"/>
        <v>1.6530000000003042E-2</v>
      </c>
      <c r="D5" s="153">
        <f t="shared" si="1"/>
        <v>10.331250000001901</v>
      </c>
      <c r="Q5" s="215" t="s">
        <v>126</v>
      </c>
      <c r="R5" s="216"/>
      <c r="S5" s="217"/>
    </row>
    <row r="6" spans="1:19" x14ac:dyDescent="0.3">
      <c r="A6" s="164">
        <v>1.65</v>
      </c>
      <c r="B6" s="154">
        <v>-40.136339999999997</v>
      </c>
      <c r="C6" s="154">
        <f t="shared" si="0"/>
        <v>2.2110000000004959E-2</v>
      </c>
      <c r="D6" s="153">
        <f t="shared" si="1"/>
        <v>13.818750000003099</v>
      </c>
      <c r="O6" s="153" t="s">
        <v>125</v>
      </c>
      <c r="Q6" s="165" t="s">
        <v>128</v>
      </c>
      <c r="R6" s="166">
        <v>-41.011796889599999</v>
      </c>
      <c r="S6" s="167" t="s">
        <v>127</v>
      </c>
    </row>
    <row r="7" spans="1:19" x14ac:dyDescent="0.3">
      <c r="A7" s="164">
        <f>A6+0.15</f>
        <v>1.7999999999999998</v>
      </c>
      <c r="B7" s="154">
        <v>-40.134149999999998</v>
      </c>
      <c r="C7" s="154">
        <f t="shared" si="0"/>
        <v>2.4300000000003763E-2</v>
      </c>
      <c r="D7" s="153">
        <f t="shared" si="1"/>
        <v>15.187500000002352</v>
      </c>
      <c r="Q7" s="165" t="s">
        <v>129</v>
      </c>
      <c r="R7" s="153">
        <v>4.2827999999999998E-2</v>
      </c>
      <c r="S7" s="167" t="s">
        <v>127</v>
      </c>
    </row>
    <row r="8" spans="1:19" x14ac:dyDescent="0.3">
      <c r="A8" s="164">
        <f t="shared" ref="A8:A22" si="2">A7+0.15</f>
        <v>1.9499999999999997</v>
      </c>
      <c r="B8" s="154">
        <v>-40.133850000000002</v>
      </c>
      <c r="C8" s="154">
        <f t="shared" si="0"/>
        <v>2.4599999999999511E-2</v>
      </c>
      <c r="D8" s="153">
        <f t="shared" si="1"/>
        <v>15.374999999999694</v>
      </c>
      <c r="Q8" s="165"/>
      <c r="S8" s="168"/>
    </row>
    <row r="9" spans="1:19" x14ac:dyDescent="0.3">
      <c r="A9" s="164">
        <f t="shared" si="2"/>
        <v>2.0999999999999996</v>
      </c>
      <c r="B9" s="154">
        <v>-40.13429</v>
      </c>
      <c r="C9" s="154">
        <f t="shared" si="0"/>
        <v>2.4160000000001958E-2</v>
      </c>
      <c r="D9" s="153">
        <f t="shared" si="1"/>
        <v>15.100000000001224</v>
      </c>
      <c r="Q9" s="165" t="s">
        <v>130</v>
      </c>
      <c r="R9" s="153">
        <f>R6*627.503</f>
        <v>-25735.025583614672</v>
      </c>
      <c r="S9" s="167" t="s">
        <v>131</v>
      </c>
    </row>
    <row r="10" spans="1:19" x14ac:dyDescent="0.3">
      <c r="A10" s="164">
        <f t="shared" si="2"/>
        <v>2.2499999999999996</v>
      </c>
      <c r="B10" s="154">
        <v>-40.13485</v>
      </c>
      <c r="C10" s="154">
        <f t="shared" si="0"/>
        <v>2.3600000000001842E-2</v>
      </c>
      <c r="D10" s="153">
        <f t="shared" si="1"/>
        <v>14.750000000001151</v>
      </c>
      <c r="H10"/>
      <c r="Q10" s="165" t="s">
        <v>129</v>
      </c>
      <c r="R10" s="153">
        <f>R7*627.503</f>
        <v>26.874698484</v>
      </c>
      <c r="S10" s="167" t="s">
        <v>131</v>
      </c>
    </row>
    <row r="11" spans="1:19" x14ac:dyDescent="0.3">
      <c r="A11" s="164">
        <f t="shared" si="2"/>
        <v>2.3999999999999995</v>
      </c>
      <c r="B11" s="154">
        <v>-40.135300000000001</v>
      </c>
      <c r="C11" s="154">
        <f t="shared" si="0"/>
        <v>2.3150000000001114E-2</v>
      </c>
      <c r="D11" s="153">
        <f t="shared" si="1"/>
        <v>14.468750000000696</v>
      </c>
      <c r="Q11" s="165"/>
      <c r="S11" s="168"/>
    </row>
    <row r="12" spans="1:19" x14ac:dyDescent="0.3">
      <c r="A12" s="164">
        <f t="shared" si="2"/>
        <v>2.5499999999999994</v>
      </c>
      <c r="B12" s="154">
        <v>-40.135599999999997</v>
      </c>
      <c r="C12" s="154">
        <f t="shared" si="0"/>
        <v>2.2850000000005366E-2</v>
      </c>
      <c r="D12" s="153">
        <f t="shared" si="1"/>
        <v>14.281250000003354</v>
      </c>
      <c r="Q12" s="165" t="s">
        <v>132</v>
      </c>
      <c r="R12" s="166">
        <f>R6+R7</f>
        <v>-40.968968889599999</v>
      </c>
      <c r="S12" s="167" t="s">
        <v>127</v>
      </c>
    </row>
    <row r="13" spans="1:19" ht="15" thickBot="1" x14ac:dyDescent="0.35">
      <c r="A13" s="164">
        <f t="shared" si="2"/>
        <v>2.6999999999999993</v>
      </c>
      <c r="B13" s="154">
        <v>-40.135759999999998</v>
      </c>
      <c r="C13" s="154">
        <f t="shared" si="0"/>
        <v>2.2690000000004318E-2</v>
      </c>
      <c r="D13" s="153">
        <f t="shared" si="1"/>
        <v>14.181250000002699</v>
      </c>
      <c r="Q13" s="169"/>
      <c r="R13" s="170">
        <f>R9+R10</f>
        <v>-25708.150885130672</v>
      </c>
      <c r="S13" s="171" t="s">
        <v>131</v>
      </c>
    </row>
    <row r="14" spans="1:19" x14ac:dyDescent="0.3">
      <c r="A14" s="164">
        <f t="shared" si="2"/>
        <v>2.8499999999999992</v>
      </c>
      <c r="B14" s="154">
        <v>-40.135849999999998</v>
      </c>
      <c r="C14" s="154">
        <f t="shared" si="0"/>
        <v>2.2600000000004172E-2</v>
      </c>
      <c r="D14" s="153">
        <f t="shared" si="1"/>
        <v>14.125000000002608</v>
      </c>
    </row>
    <row r="15" spans="1:19" x14ac:dyDescent="0.3">
      <c r="A15" s="164">
        <f t="shared" si="2"/>
        <v>2.9999999999999991</v>
      </c>
      <c r="B15" s="154">
        <v>-40.13588</v>
      </c>
      <c r="C15" s="154">
        <f t="shared" si="0"/>
        <v>2.2570000000001755E-2</v>
      </c>
      <c r="D15" s="153">
        <f t="shared" si="1"/>
        <v>14.106250000001097</v>
      </c>
    </row>
    <row r="16" spans="1:19" x14ac:dyDescent="0.3">
      <c r="A16" s="164">
        <f t="shared" si="2"/>
        <v>3.149999999999999</v>
      </c>
      <c r="B16" s="154">
        <v>-40.135890000000003</v>
      </c>
      <c r="C16" s="154">
        <f t="shared" si="0"/>
        <v>2.2559999999998581E-2</v>
      </c>
      <c r="D16" s="153">
        <f t="shared" si="1"/>
        <v>14.099999999999113</v>
      </c>
    </row>
    <row r="17" spans="1:19" x14ac:dyDescent="0.3">
      <c r="A17" s="164">
        <f t="shared" si="2"/>
        <v>3.2999999999999989</v>
      </c>
      <c r="B17" s="154">
        <v>-40.135890000000003</v>
      </c>
      <c r="C17" s="154">
        <f t="shared" si="0"/>
        <v>2.2559999999998581E-2</v>
      </c>
      <c r="D17" s="153">
        <f t="shared" si="1"/>
        <v>14.099999999999113</v>
      </c>
    </row>
    <row r="18" spans="1:19" x14ac:dyDescent="0.3">
      <c r="A18" s="164">
        <f t="shared" si="2"/>
        <v>3.4499999999999988</v>
      </c>
      <c r="B18" s="154">
        <v>-40.13588</v>
      </c>
      <c r="C18" s="154">
        <f t="shared" si="0"/>
        <v>2.2570000000001755E-2</v>
      </c>
      <c r="D18" s="153">
        <f t="shared" si="1"/>
        <v>14.106250000001097</v>
      </c>
    </row>
    <row r="19" spans="1:19" x14ac:dyDescent="0.3">
      <c r="A19" s="164">
        <f t="shared" si="2"/>
        <v>3.5999999999999988</v>
      </c>
      <c r="B19" s="154">
        <v>-40.135869999999997</v>
      </c>
      <c r="C19" s="154">
        <f t="shared" si="0"/>
        <v>2.2580000000004929E-2</v>
      </c>
      <c r="D19" s="153">
        <f t="shared" si="1"/>
        <v>14.112500000003081</v>
      </c>
    </row>
    <row r="20" spans="1:19" ht="16.2" x14ac:dyDescent="0.3">
      <c r="A20" s="164">
        <f t="shared" si="2"/>
        <v>3.7499999999999987</v>
      </c>
      <c r="B20" s="154">
        <v>-40.135860000000001</v>
      </c>
      <c r="C20" s="154">
        <f t="shared" si="0"/>
        <v>2.2590000000000998E-2</v>
      </c>
      <c r="D20" s="153">
        <f t="shared" si="1"/>
        <v>14.118750000000624</v>
      </c>
      <c r="Q20" s="153" t="s">
        <v>133</v>
      </c>
      <c r="R20">
        <v>-1162.2420999999999</v>
      </c>
      <c r="S20" s="153" t="s">
        <v>134</v>
      </c>
    </row>
    <row r="21" spans="1:19" x14ac:dyDescent="0.3">
      <c r="A21" s="164">
        <f t="shared" si="2"/>
        <v>3.8999999999999986</v>
      </c>
      <c r="B21" s="154">
        <v>-40.135860000000001</v>
      </c>
      <c r="C21" s="154">
        <f t="shared" si="0"/>
        <v>2.2590000000000998E-2</v>
      </c>
      <c r="D21" s="153">
        <f t="shared" si="1"/>
        <v>14.118750000000624</v>
      </c>
    </row>
    <row r="22" spans="1:19" x14ac:dyDescent="0.3">
      <c r="A22" s="164">
        <f t="shared" si="2"/>
        <v>4.0499999999999989</v>
      </c>
      <c r="B22" s="154">
        <v>-40.135860000000001</v>
      </c>
      <c r="C22" s="154">
        <f t="shared" si="0"/>
        <v>2.2590000000000998E-2</v>
      </c>
      <c r="D22" s="153">
        <f t="shared" si="1"/>
        <v>14.118750000000624</v>
      </c>
    </row>
    <row r="88" spans="1:3" x14ac:dyDescent="0.3">
      <c r="A88" s="164"/>
      <c r="C88" s="154"/>
    </row>
    <row r="89" spans="1:3" x14ac:dyDescent="0.3">
      <c r="A89" s="164"/>
      <c r="C89" s="154"/>
    </row>
    <row r="90" spans="1:3" x14ac:dyDescent="0.3">
      <c r="A90" s="164"/>
      <c r="C90" s="154"/>
    </row>
    <row r="91" spans="1:3" x14ac:dyDescent="0.3">
      <c r="A91" s="164"/>
      <c r="C91" s="154"/>
    </row>
    <row r="92" spans="1:3" x14ac:dyDescent="0.3">
      <c r="A92" s="164"/>
      <c r="C92" s="154"/>
    </row>
    <row r="93" spans="1:3" x14ac:dyDescent="0.3">
      <c r="A93" s="164"/>
      <c r="C93" s="154"/>
    </row>
    <row r="94" spans="1:3" x14ac:dyDescent="0.3">
      <c r="A94" s="164"/>
      <c r="C94" s="154"/>
    </row>
    <row r="95" spans="1:3" x14ac:dyDescent="0.3">
      <c r="A95" s="164"/>
      <c r="C95" s="154"/>
    </row>
    <row r="96" spans="1:3" x14ac:dyDescent="0.3">
      <c r="A96" s="164"/>
      <c r="C96" s="154"/>
    </row>
    <row r="97" spans="1:3" x14ac:dyDescent="0.3">
      <c r="A97" s="164"/>
      <c r="C97" s="154"/>
    </row>
    <row r="98" spans="1:3" x14ac:dyDescent="0.3">
      <c r="A98" s="164"/>
      <c r="C98" s="154"/>
    </row>
    <row r="99" spans="1:3" x14ac:dyDescent="0.3">
      <c r="A99" s="164"/>
      <c r="C99" s="154"/>
    </row>
    <row r="100" spans="1:3" x14ac:dyDescent="0.3">
      <c r="A100" s="164"/>
      <c r="C100" s="154"/>
    </row>
    <row r="101" spans="1:3" x14ac:dyDescent="0.3">
      <c r="A101" s="164"/>
      <c r="C101" s="154"/>
    </row>
    <row r="102" spans="1:3" x14ac:dyDescent="0.3">
      <c r="A102" s="164"/>
      <c r="C102" s="154"/>
    </row>
    <row r="103" spans="1:3" x14ac:dyDescent="0.3">
      <c r="A103" s="164"/>
      <c r="C103" s="154"/>
    </row>
    <row r="104" spans="1:3" x14ac:dyDescent="0.3">
      <c r="A104" s="164"/>
      <c r="C104" s="154"/>
    </row>
    <row r="105" spans="1:3" x14ac:dyDescent="0.3">
      <c r="A105" s="164"/>
      <c r="C105" s="154"/>
    </row>
    <row r="106" spans="1:3" x14ac:dyDescent="0.3">
      <c r="A106" s="164"/>
      <c r="C106" s="154"/>
    </row>
    <row r="107" spans="1:3" x14ac:dyDescent="0.3">
      <c r="A107" s="164"/>
      <c r="C107" s="154"/>
    </row>
    <row r="108" spans="1:3" x14ac:dyDescent="0.3">
      <c r="A108" s="164"/>
      <c r="C108" s="154"/>
    </row>
  </sheetData>
  <mergeCells count="1">
    <mergeCell ref="Q5:S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C1BC-3FDB-4D75-B41E-D8AF10DFA405}">
  <dimension ref="A1:W292"/>
  <sheetViews>
    <sheetView topLeftCell="A3" workbookViewId="0">
      <selection activeCell="I6" sqref="I6"/>
    </sheetView>
  </sheetViews>
  <sheetFormatPr defaultRowHeight="14.4" x14ac:dyDescent="0.3"/>
  <cols>
    <col min="1" max="1" width="29.88671875" style="5" bestFit="1" customWidth="1"/>
    <col min="2" max="2" width="27.77734375" style="5" bestFit="1" customWidth="1"/>
    <col min="3" max="3" width="14.6640625" style="5" bestFit="1" customWidth="1"/>
    <col min="4" max="4" width="29.88671875" style="5" bestFit="1" customWidth="1"/>
    <col min="5" max="5" width="14.6640625" style="5" bestFit="1" customWidth="1"/>
    <col min="6" max="6" width="19.44140625" style="5" bestFit="1" customWidth="1"/>
    <col min="7" max="7" width="16" style="5" bestFit="1" customWidth="1"/>
    <col min="8" max="8" width="19.21875" style="5" bestFit="1" customWidth="1"/>
    <col min="9" max="9" width="16.77734375" style="5" bestFit="1" customWidth="1"/>
    <col min="10" max="10" width="20.33203125" style="5" bestFit="1" customWidth="1"/>
    <col min="11" max="11" width="21.109375" style="5" bestFit="1" customWidth="1"/>
    <col min="12" max="12" width="15.21875" style="5" bestFit="1" customWidth="1"/>
    <col min="13" max="14" width="20.33203125" style="5" bestFit="1" customWidth="1"/>
    <col min="15" max="15" width="14.77734375" style="5" bestFit="1" customWidth="1"/>
    <col min="16" max="16" width="8.88671875" style="5"/>
    <col min="17" max="17" width="12.33203125" style="5" customWidth="1"/>
    <col min="18" max="18" width="12.77734375" style="5" bestFit="1" customWidth="1"/>
    <col min="19" max="19" width="16" style="5" bestFit="1" customWidth="1"/>
    <col min="20" max="16384" width="8.88671875" style="5"/>
  </cols>
  <sheetData>
    <row r="1" spans="1:2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4" t="s">
        <v>11</v>
      </c>
    </row>
    <row r="2" spans="1:21" ht="15" thickBot="1" x14ac:dyDescent="0.35">
      <c r="A2" s="6">
        <v>1.3805999999999999E-23</v>
      </c>
      <c r="B2" s="7">
        <v>3.1415899999999999</v>
      </c>
      <c r="C2" s="7">
        <v>6.626068E-34</v>
      </c>
      <c r="D2" s="7">
        <v>8.3144720000000003</v>
      </c>
      <c r="E2" s="8">
        <f>(12 + 5*1.00783)*1.66E-27</f>
        <v>2.8284988999999996E-26</v>
      </c>
      <c r="F2" s="7">
        <v>6.0221407599999999E+23</v>
      </c>
      <c r="G2" s="7">
        <f>((2*$E$2*$B$2*$A$2*$H$2)/($C$2*$C$2))^1.5</f>
        <v>6.8012639879533802E+31</v>
      </c>
      <c r="H2" s="8">
        <f>298.15</f>
        <v>298.14999999999998</v>
      </c>
      <c r="I2" s="9">
        <v>29979300000</v>
      </c>
      <c r="J2" s="10">
        <v>101325</v>
      </c>
      <c r="K2" s="9">
        <f>(E2*1000)/15.02348</f>
        <v>1.8827188507589453E-24</v>
      </c>
      <c r="L2" s="10">
        <f>F2*K2</f>
        <v>1.1337997930775801</v>
      </c>
    </row>
    <row r="3" spans="1:21" ht="15" thickBot="1" x14ac:dyDescent="0.35"/>
    <row r="4" spans="1:21" ht="15" thickBot="1" x14ac:dyDescent="0.35">
      <c r="E4" s="11" t="s">
        <v>12</v>
      </c>
      <c r="F4" s="12" t="s">
        <v>13</v>
      </c>
      <c r="G4" s="13" t="s">
        <v>14</v>
      </c>
      <c r="I4" s="11" t="s">
        <v>15</v>
      </c>
      <c r="J4" s="12" t="s">
        <v>16</v>
      </c>
      <c r="K4" s="12" t="s">
        <v>17</v>
      </c>
      <c r="L4" s="14" t="s">
        <v>18</v>
      </c>
    </row>
    <row r="5" spans="1:21" ht="16.8" thickBot="1" x14ac:dyDescent="0.35">
      <c r="B5" s="15" t="s">
        <v>19</v>
      </c>
      <c r="D5" s="16" t="s">
        <v>20</v>
      </c>
      <c r="E5" s="173">
        <v>12.12354</v>
      </c>
      <c r="F5" s="174">
        <v>31.085360000000001</v>
      </c>
      <c r="G5" s="175">
        <v>31.085360000000001</v>
      </c>
      <c r="I5" s="20">
        <v>4.2834999999999998E-2</v>
      </c>
      <c r="J5" s="21">
        <f>I5*627.509474</f>
        <v>26.879368318789997</v>
      </c>
      <c r="K5" s="21">
        <f>I5*4.35974E-18</f>
        <v>1.8674946289999998E-19</v>
      </c>
      <c r="L5" s="22">
        <f>(2*K5)/(C2)</f>
        <v>563681093825176.5</v>
      </c>
    </row>
    <row r="6" spans="1:21" ht="16.8" thickBot="1" x14ac:dyDescent="0.35">
      <c r="A6" s="23" t="s">
        <v>21</v>
      </c>
      <c r="B6" s="24">
        <v>3</v>
      </c>
      <c r="D6" s="25" t="s">
        <v>22</v>
      </c>
      <c r="E6" s="26">
        <f>E5*1.66E-47</f>
        <v>2.0125076400000001E-46</v>
      </c>
      <c r="F6" s="27">
        <f>F5*1.66E-47</f>
        <v>5.1601697600000003E-46</v>
      </c>
      <c r="G6" s="28">
        <f>G5*1.66E-47</f>
        <v>5.1601697600000003E-46</v>
      </c>
      <c r="U6" s="29"/>
    </row>
    <row r="7" spans="1:21" ht="15" thickBot="1" x14ac:dyDescent="0.35">
      <c r="E7" s="172"/>
      <c r="F7" s="172"/>
      <c r="G7" s="172"/>
      <c r="U7" s="29"/>
    </row>
    <row r="8" spans="1:21" ht="15" thickBot="1" x14ac:dyDescent="0.35">
      <c r="A8" s="5" t="s">
        <v>23</v>
      </c>
      <c r="D8" s="23" t="s">
        <v>24</v>
      </c>
      <c r="E8" s="17">
        <v>148.86252999999999</v>
      </c>
      <c r="F8" s="18">
        <v>58.057589999999998</v>
      </c>
      <c r="G8" s="19">
        <v>58.057589999999998</v>
      </c>
      <c r="I8" s="29"/>
      <c r="U8" s="29"/>
    </row>
    <row r="9" spans="1:21" ht="15" thickBot="1" x14ac:dyDescent="0.35">
      <c r="E9" s="26">
        <f>E8*1000000000</f>
        <v>148862530000</v>
      </c>
      <c r="F9" s="176">
        <f>F8*1000000000</f>
        <v>58057590000</v>
      </c>
      <c r="G9" s="177">
        <f>G8*1000000000</f>
        <v>58057590000</v>
      </c>
    </row>
    <row r="10" spans="1:21" ht="15" customHeight="1" thickBot="1" x14ac:dyDescent="0.35">
      <c r="E10" s="172"/>
      <c r="F10" s="172"/>
      <c r="G10" s="172"/>
    </row>
    <row r="11" spans="1:21" ht="15" customHeight="1" thickBot="1" x14ac:dyDescent="0.35">
      <c r="D11" s="30" t="s">
        <v>25</v>
      </c>
      <c r="E11" s="31">
        <v>7.1442699999999997</v>
      </c>
      <c r="F11" s="31">
        <v>2.7863199999999999</v>
      </c>
      <c r="G11" s="32">
        <v>2.7863199999999999</v>
      </c>
    </row>
    <row r="12" spans="1:21" ht="27" customHeight="1" x14ac:dyDescent="0.3">
      <c r="A12" s="33" t="s">
        <v>26</v>
      </c>
      <c r="B12" s="34">
        <v>795.62</v>
      </c>
      <c r="E12" s="172"/>
      <c r="F12" s="172"/>
      <c r="G12" s="172"/>
    </row>
    <row r="13" spans="1:21" ht="15" thickBot="1" x14ac:dyDescent="0.35">
      <c r="A13" s="35"/>
      <c r="B13" s="36">
        <v>795.63</v>
      </c>
      <c r="S13" s="29"/>
      <c r="T13" s="29"/>
    </row>
    <row r="14" spans="1:21" ht="15.6" x14ac:dyDescent="0.3">
      <c r="A14" s="35"/>
      <c r="B14" s="36">
        <v>1550.24</v>
      </c>
      <c r="D14" s="37" t="s">
        <v>27</v>
      </c>
      <c r="E14" s="118"/>
      <c r="F14" s="119" t="s">
        <v>28</v>
      </c>
      <c r="G14" s="119" t="s">
        <v>29</v>
      </c>
      <c r="H14" s="120" t="s">
        <v>30</v>
      </c>
    </row>
    <row r="15" spans="1:21" x14ac:dyDescent="0.3">
      <c r="A15" s="35"/>
      <c r="B15" s="36">
        <v>1680.7</v>
      </c>
      <c r="E15" s="121"/>
      <c r="F15" s="122" t="s">
        <v>31</v>
      </c>
      <c r="G15" s="122" t="s">
        <v>32</v>
      </c>
      <c r="H15" s="123" t="s">
        <v>32</v>
      </c>
    </row>
    <row r="16" spans="1:21" x14ac:dyDescent="0.3">
      <c r="A16" s="35"/>
      <c r="B16" s="36">
        <v>1680.7</v>
      </c>
      <c r="E16" s="121" t="s">
        <v>33</v>
      </c>
      <c r="F16" s="122">
        <v>28.937999999999999</v>
      </c>
      <c r="G16" s="122">
        <v>9.1869999999999994</v>
      </c>
      <c r="H16" s="123">
        <v>52.021000000000001</v>
      </c>
    </row>
    <row r="17" spans="1:10" x14ac:dyDescent="0.3">
      <c r="A17" s="35"/>
      <c r="B17" s="36">
        <v>2068.0500000000002</v>
      </c>
      <c r="E17" s="121" t="s">
        <v>34</v>
      </c>
      <c r="F17" s="122">
        <v>0</v>
      </c>
      <c r="G17" s="122">
        <v>0</v>
      </c>
      <c r="H17" s="123">
        <v>1.377</v>
      </c>
    </row>
    <row r="18" spans="1:10" x14ac:dyDescent="0.3">
      <c r="A18" s="35"/>
      <c r="B18" s="36">
        <v>2068.06</v>
      </c>
      <c r="E18" s="121" t="s">
        <v>36</v>
      </c>
      <c r="F18" s="122">
        <v>0.88900000000000001</v>
      </c>
      <c r="G18" s="122">
        <v>2.9809999999999999</v>
      </c>
      <c r="H18" s="123">
        <v>34.442999999999998</v>
      </c>
    </row>
    <row r="19" spans="1:10" x14ac:dyDescent="0.3">
      <c r="A19" s="178"/>
      <c r="B19" s="36">
        <v>2687.32</v>
      </c>
      <c r="E19" s="121" t="s">
        <v>37</v>
      </c>
      <c r="F19" s="122">
        <v>0.88900000000000001</v>
      </c>
      <c r="G19" s="122">
        <v>2.9809999999999999</v>
      </c>
      <c r="H19" s="123">
        <v>14.928000000000001</v>
      </c>
    </row>
    <row r="20" spans="1:10" x14ac:dyDescent="0.3">
      <c r="A20" s="35"/>
      <c r="B20" s="36">
        <v>4432.16</v>
      </c>
      <c r="E20" s="121" t="s">
        <v>38</v>
      </c>
      <c r="F20" s="122">
        <v>27.16</v>
      </c>
      <c r="G20" s="122">
        <v>3.226</v>
      </c>
      <c r="H20" s="123">
        <v>1.272</v>
      </c>
    </row>
    <row r="21" spans="1:10" x14ac:dyDescent="0.3">
      <c r="A21" s="35"/>
      <c r="B21" s="36">
        <v>4644.83</v>
      </c>
      <c r="E21" s="121" t="s">
        <v>135</v>
      </c>
      <c r="F21" s="122">
        <v>0.90800000000000003</v>
      </c>
      <c r="G21" s="122">
        <v>1.133</v>
      </c>
      <c r="H21" s="123">
        <v>0.53800000000000003</v>
      </c>
    </row>
    <row r="22" spans="1:10" ht="15" thickBot="1" x14ac:dyDescent="0.35">
      <c r="A22" s="26"/>
      <c r="B22" s="28">
        <v>4644.83</v>
      </c>
      <c r="E22" s="126" t="s">
        <v>136</v>
      </c>
      <c r="F22" s="179">
        <v>0.90800000000000003</v>
      </c>
      <c r="G22" s="122">
        <v>1.133</v>
      </c>
      <c r="H22" s="123">
        <v>0.53800000000000003</v>
      </c>
    </row>
    <row r="23" spans="1:10" x14ac:dyDescent="0.3">
      <c r="G23" s="118"/>
      <c r="H23" s="120" t="s">
        <v>39</v>
      </c>
      <c r="J23"/>
    </row>
    <row r="24" spans="1:10" x14ac:dyDescent="0.3">
      <c r="G24" s="121" t="s">
        <v>137</v>
      </c>
      <c r="H24" s="129">
        <v>5.2844400000000002E-11</v>
      </c>
    </row>
    <row r="25" spans="1:10" x14ac:dyDescent="0.3">
      <c r="G25" s="121" t="s">
        <v>138</v>
      </c>
      <c r="H25" s="129">
        <v>2645970000</v>
      </c>
    </row>
    <row r="26" spans="1:10" x14ac:dyDescent="0.3">
      <c r="G26" s="121" t="s">
        <v>139</v>
      </c>
      <c r="H26" s="129">
        <v>2.3401699999999999E-20</v>
      </c>
      <c r="I26" s="5" t="s">
        <v>44</v>
      </c>
    </row>
    <row r="27" spans="1:10" x14ac:dyDescent="0.3">
      <c r="G27" s="121" t="s">
        <v>140</v>
      </c>
      <c r="H27" s="129">
        <v>0.28297600000000001</v>
      </c>
      <c r="I27" s="50"/>
    </row>
    <row r="28" spans="1:10" x14ac:dyDescent="0.3">
      <c r="G28" s="121" t="s">
        <v>141</v>
      </c>
      <c r="H28" s="129">
        <v>0.28297499999999998</v>
      </c>
      <c r="I28" s="50"/>
    </row>
    <row r="29" spans="1:10" x14ac:dyDescent="0.3">
      <c r="G29" s="121" t="s">
        <v>142</v>
      </c>
      <c r="H29" s="129">
        <v>1.17174</v>
      </c>
      <c r="I29" s="50"/>
    </row>
    <row r="30" spans="1:10" ht="15" thickBot="1" x14ac:dyDescent="0.35">
      <c r="G30" s="121" t="s">
        <v>143</v>
      </c>
      <c r="H30" s="129">
        <v>1.0745199999999999</v>
      </c>
    </row>
    <row r="31" spans="1:10" ht="16.2" x14ac:dyDescent="0.3">
      <c r="A31" s="17" t="s">
        <v>45</v>
      </c>
      <c r="B31" s="19" t="s">
        <v>46</v>
      </c>
      <c r="C31" s="13" t="s">
        <v>47</v>
      </c>
      <c r="D31" s="52" t="s">
        <v>48</v>
      </c>
      <c r="E31" s="16" t="s">
        <v>49</v>
      </c>
      <c r="G31" s="121" t="s">
        <v>144</v>
      </c>
      <c r="H31" s="129">
        <v>1.0745199999999999</v>
      </c>
    </row>
    <row r="32" spans="1:10" x14ac:dyDescent="0.3">
      <c r="A32" s="35">
        <v>1162.2420999999999</v>
      </c>
      <c r="B32" s="65">
        <f t="shared" ref="B32:B43" si="0">A32*$I$2</f>
        <v>34843204588530</v>
      </c>
      <c r="C32" s="36">
        <f>298.15</f>
        <v>298.14999999999998</v>
      </c>
      <c r="D32" s="55">
        <f>($A$2*C32)/$J$2</f>
        <v>4.062431680236861E-26</v>
      </c>
      <c r="E32" s="56">
        <f>$F$2*($F$83*D32)/($D$2*C32)</f>
        <v>0.99996338110898686</v>
      </c>
      <c r="G32" s="121" t="s">
        <v>145</v>
      </c>
      <c r="H32" s="129">
        <v>2</v>
      </c>
    </row>
    <row r="33" spans="1:8" ht="15" x14ac:dyDescent="0.35">
      <c r="A33" s="35">
        <v>552.98760000000004</v>
      </c>
      <c r="B33" s="65">
        <f t="shared" si="0"/>
        <v>16578181156680.002</v>
      </c>
      <c r="C33" s="36">
        <f>300+100</f>
        <v>400</v>
      </c>
      <c r="D33" s="55">
        <f t="shared" ref="D33:D50" si="1">($A$2*C33)/$J$2</f>
        <v>5.4501850481125095E-26</v>
      </c>
      <c r="E33" s="56">
        <f>$F$2*($F$83*D33)/($D$2*C33)</f>
        <v>0.99996338110898686</v>
      </c>
      <c r="F33" s="131"/>
      <c r="G33" s="121" t="s">
        <v>146</v>
      </c>
      <c r="H33" s="129">
        <v>2764560</v>
      </c>
    </row>
    <row r="34" spans="1:8" ht="15" thickBot="1" x14ac:dyDescent="0.35">
      <c r="A34" s="35">
        <v>552.98820000000001</v>
      </c>
      <c r="B34" s="65">
        <f t="shared" si="0"/>
        <v>16578199144260</v>
      </c>
      <c r="C34" s="36">
        <f t="shared" ref="C34:C50" si="2">C33+100</f>
        <v>500</v>
      </c>
      <c r="D34" s="55">
        <f t="shared" si="1"/>
        <v>6.8127313101406362E-26</v>
      </c>
      <c r="E34" s="56">
        <f t="shared" ref="E34:E50" si="3">$F$2*($F$83*D34)/($D$2*C34)</f>
        <v>0.99996338110898675</v>
      </c>
      <c r="G34" s="126" t="s">
        <v>147</v>
      </c>
      <c r="H34" s="130">
        <v>408.41</v>
      </c>
    </row>
    <row r="35" spans="1:8" x14ac:dyDescent="0.3">
      <c r="A35" s="35">
        <v>1077.4745</v>
      </c>
      <c r="B35" s="65">
        <f t="shared" si="0"/>
        <v>32301931277850</v>
      </c>
      <c r="C35" s="36">
        <f t="shared" si="2"/>
        <v>600</v>
      </c>
      <c r="D35" s="55">
        <f t="shared" si="1"/>
        <v>8.175277572168763E-26</v>
      </c>
      <c r="E35" s="56">
        <f t="shared" si="3"/>
        <v>0.99996338110898653</v>
      </c>
    </row>
    <row r="36" spans="1:8" x14ac:dyDescent="0.3">
      <c r="A36" s="35">
        <v>1168.1460999999999</v>
      </c>
      <c r="B36" s="65">
        <f t="shared" si="0"/>
        <v>35020202375729.996</v>
      </c>
      <c r="C36" s="36">
        <f t="shared" si="2"/>
        <v>700</v>
      </c>
      <c r="D36" s="55">
        <f t="shared" si="1"/>
        <v>9.5378238341968898E-26</v>
      </c>
      <c r="E36" s="56">
        <f t="shared" si="3"/>
        <v>0.99996338110898653</v>
      </c>
    </row>
    <row r="37" spans="1:8" x14ac:dyDescent="0.3">
      <c r="A37" s="35">
        <v>1168.1469</v>
      </c>
      <c r="B37" s="65">
        <f t="shared" si="0"/>
        <v>35020226359170</v>
      </c>
      <c r="C37" s="36">
        <f t="shared" si="2"/>
        <v>800</v>
      </c>
      <c r="D37" s="55">
        <f t="shared" si="1"/>
        <v>1.0900370096225019E-25</v>
      </c>
      <c r="E37" s="56">
        <f t="shared" si="3"/>
        <v>0.99996338110898686</v>
      </c>
    </row>
    <row r="38" spans="1:8" x14ac:dyDescent="0.3">
      <c r="A38" s="35">
        <v>1437.3716999999999</v>
      </c>
      <c r="B38" s="65">
        <f t="shared" si="0"/>
        <v>43091397405810</v>
      </c>
      <c r="C38" s="36">
        <f t="shared" si="2"/>
        <v>900</v>
      </c>
      <c r="D38" s="55">
        <f t="shared" si="1"/>
        <v>1.2262916358253145E-25</v>
      </c>
      <c r="E38" s="56">
        <f t="shared" si="3"/>
        <v>0.99996338110898675</v>
      </c>
    </row>
    <row r="39" spans="1:8" x14ac:dyDescent="0.3">
      <c r="A39" s="35">
        <v>1437.3724999999999</v>
      </c>
      <c r="B39" s="65">
        <f t="shared" si="0"/>
        <v>43091421389250</v>
      </c>
      <c r="C39" s="36">
        <f t="shared" si="2"/>
        <v>1000</v>
      </c>
      <c r="D39" s="55">
        <f t="shared" si="1"/>
        <v>1.3625462620281272E-25</v>
      </c>
      <c r="E39" s="56">
        <f t="shared" si="3"/>
        <v>0.99996338110898675</v>
      </c>
    </row>
    <row r="40" spans="1:8" x14ac:dyDescent="0.3">
      <c r="A40" s="35">
        <v>1867.7798</v>
      </c>
      <c r="B40" s="65">
        <f t="shared" si="0"/>
        <v>55994730958140</v>
      </c>
      <c r="C40" s="36">
        <f t="shared" si="2"/>
        <v>1100</v>
      </c>
      <c r="D40" s="55">
        <f t="shared" si="1"/>
        <v>1.4988008882309398E-25</v>
      </c>
      <c r="E40" s="56">
        <f t="shared" si="3"/>
        <v>0.99996338110898653</v>
      </c>
    </row>
    <row r="41" spans="1:8" x14ac:dyDescent="0.3">
      <c r="A41" s="35">
        <v>3080.5124999999998</v>
      </c>
      <c r="B41" s="65">
        <f t="shared" si="0"/>
        <v>92351608391250</v>
      </c>
      <c r="C41" s="36">
        <f t="shared" si="2"/>
        <v>1200</v>
      </c>
      <c r="D41" s="55">
        <f t="shared" si="1"/>
        <v>1.6350555144337526E-25</v>
      </c>
      <c r="E41" s="56">
        <f t="shared" si="3"/>
        <v>0.99996338110898653</v>
      </c>
    </row>
    <row r="42" spans="1:8" x14ac:dyDescent="0.3">
      <c r="A42" s="35">
        <v>3228.3244</v>
      </c>
      <c r="B42" s="65">
        <f t="shared" si="0"/>
        <v>96782905684920</v>
      </c>
      <c r="C42" s="36">
        <f t="shared" si="2"/>
        <v>1300</v>
      </c>
      <c r="D42" s="55">
        <f t="shared" si="1"/>
        <v>1.7713101406365654E-25</v>
      </c>
      <c r="E42" s="56">
        <f t="shared" si="3"/>
        <v>0.99996338110898675</v>
      </c>
    </row>
    <row r="43" spans="1:8" ht="15" thickBot="1" x14ac:dyDescent="0.35">
      <c r="A43" s="26">
        <v>3228.3247000000001</v>
      </c>
      <c r="B43" s="67">
        <f t="shared" si="0"/>
        <v>96782914678710</v>
      </c>
      <c r="C43" s="36">
        <f t="shared" si="2"/>
        <v>1400</v>
      </c>
      <c r="D43" s="55">
        <f t="shared" si="1"/>
        <v>1.907564766839378E-25</v>
      </c>
      <c r="E43" s="56">
        <f t="shared" si="3"/>
        <v>0.99996338110898653</v>
      </c>
    </row>
    <row r="44" spans="1:8" x14ac:dyDescent="0.3">
      <c r="B44" s="53"/>
      <c r="C44" s="54">
        <f t="shared" si="2"/>
        <v>1500</v>
      </c>
      <c r="D44" s="55">
        <f t="shared" si="1"/>
        <v>2.0438193930421908E-25</v>
      </c>
      <c r="E44" s="56">
        <f t="shared" si="3"/>
        <v>0.99996338110898675</v>
      </c>
    </row>
    <row r="45" spans="1:8" x14ac:dyDescent="0.3">
      <c r="B45" s="53"/>
      <c r="C45" s="54">
        <f t="shared" si="2"/>
        <v>1600</v>
      </c>
      <c r="D45" s="55">
        <f t="shared" si="1"/>
        <v>2.1800740192450038E-25</v>
      </c>
      <c r="E45" s="56">
        <f t="shared" si="3"/>
        <v>0.99996338110898686</v>
      </c>
    </row>
    <row r="46" spans="1:8" x14ac:dyDescent="0.3">
      <c r="B46" s="53"/>
      <c r="C46" s="54">
        <f t="shared" si="2"/>
        <v>1700</v>
      </c>
      <c r="D46" s="55">
        <f t="shared" si="1"/>
        <v>2.3163286454478159E-25</v>
      </c>
      <c r="E46" s="56">
        <f t="shared" si="3"/>
        <v>0.99996338110898664</v>
      </c>
    </row>
    <row r="47" spans="1:8" x14ac:dyDescent="0.3">
      <c r="B47" s="53"/>
      <c r="C47" s="54">
        <f t="shared" si="2"/>
        <v>1800</v>
      </c>
      <c r="D47" s="55">
        <f t="shared" si="1"/>
        <v>2.4525832716506289E-25</v>
      </c>
      <c r="E47" s="56">
        <f t="shared" si="3"/>
        <v>0.99996338110898675</v>
      </c>
    </row>
    <row r="48" spans="1:8" x14ac:dyDescent="0.3">
      <c r="B48" s="53"/>
      <c r="C48" s="54">
        <f t="shared" si="2"/>
        <v>1900</v>
      </c>
      <c r="D48" s="55">
        <f t="shared" si="1"/>
        <v>2.5888378978534419E-25</v>
      </c>
      <c r="E48" s="56">
        <f t="shared" si="3"/>
        <v>0.99996338110898686</v>
      </c>
    </row>
    <row r="49" spans="1:23" x14ac:dyDescent="0.3">
      <c r="B49" s="53"/>
      <c r="C49" s="54">
        <f t="shared" si="2"/>
        <v>2000</v>
      </c>
      <c r="D49" s="55">
        <f t="shared" si="1"/>
        <v>2.7250925240562545E-25</v>
      </c>
      <c r="E49" s="56">
        <f t="shared" si="3"/>
        <v>0.99996338110898675</v>
      </c>
    </row>
    <row r="50" spans="1:23" ht="15" thickBot="1" x14ac:dyDescent="0.35">
      <c r="C50" s="25">
        <f t="shared" si="2"/>
        <v>2100</v>
      </c>
      <c r="D50" s="58">
        <f t="shared" si="1"/>
        <v>2.8613471502590675E-25</v>
      </c>
      <c r="E50" s="59">
        <f t="shared" si="3"/>
        <v>0.99996338110898664</v>
      </c>
    </row>
    <row r="51" spans="1:23" ht="15" thickBot="1" x14ac:dyDescent="0.35"/>
    <row r="52" spans="1:23" ht="18.600000000000001" thickBot="1" x14ac:dyDescent="0.35">
      <c r="D52" s="209" t="s">
        <v>50</v>
      </c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1"/>
    </row>
    <row r="53" spans="1:23" x14ac:dyDescent="0.3">
      <c r="A53" s="11" t="s">
        <v>51</v>
      </c>
      <c r="B53" s="61">
        <f>E54</f>
        <v>1.0036788863156825</v>
      </c>
      <c r="D53" s="62" t="s">
        <v>52</v>
      </c>
      <c r="E53" s="63">
        <v>298.14999999999998</v>
      </c>
      <c r="F53" s="63">
        <f>300+100</f>
        <v>400</v>
      </c>
      <c r="G53" s="63">
        <f t="shared" ref="G53:W53" si="4">F53+100</f>
        <v>500</v>
      </c>
      <c r="H53" s="63">
        <f t="shared" si="4"/>
        <v>600</v>
      </c>
      <c r="I53" s="63">
        <f t="shared" si="4"/>
        <v>700</v>
      </c>
      <c r="J53" s="63">
        <f t="shared" si="4"/>
        <v>800</v>
      </c>
      <c r="K53" s="63">
        <f t="shared" si="4"/>
        <v>900</v>
      </c>
      <c r="L53" s="63">
        <f t="shared" si="4"/>
        <v>1000</v>
      </c>
      <c r="M53" s="63">
        <f t="shared" si="4"/>
        <v>1100</v>
      </c>
      <c r="N53" s="63">
        <f t="shared" si="4"/>
        <v>1200</v>
      </c>
      <c r="O53" s="63">
        <f t="shared" si="4"/>
        <v>1300</v>
      </c>
      <c r="P53" s="63">
        <f t="shared" si="4"/>
        <v>1400</v>
      </c>
      <c r="Q53" s="63">
        <f t="shared" si="4"/>
        <v>1500</v>
      </c>
      <c r="R53" s="63">
        <f t="shared" si="4"/>
        <v>1600</v>
      </c>
      <c r="S53" s="63">
        <f t="shared" si="4"/>
        <v>1700</v>
      </c>
      <c r="T53" s="63">
        <f t="shared" si="4"/>
        <v>1800</v>
      </c>
      <c r="U53" s="63">
        <f t="shared" si="4"/>
        <v>1900</v>
      </c>
      <c r="V53" s="63">
        <f t="shared" si="4"/>
        <v>2000</v>
      </c>
      <c r="W53" s="64">
        <f t="shared" si="4"/>
        <v>2100</v>
      </c>
    </row>
    <row r="54" spans="1:23" x14ac:dyDescent="0.3">
      <c r="A54" s="35"/>
      <c r="B54" s="65">
        <f t="shared" ref="B54:B64" si="5">E55</f>
        <v>1.0745136902548569</v>
      </c>
      <c r="D54" s="180">
        <f t="shared" ref="D54:D65" si="6">A32*$I$2</f>
        <v>34843204588530</v>
      </c>
      <c r="E54" s="53">
        <f>1 / (1 - EXP((-$C$2*$D$54)/($A$2*E53)))</f>
        <v>1.0036788863156825</v>
      </c>
      <c r="F54" s="53">
        <f t="shared" ref="F54:W54" si="7">1 / (1 - EXP((-$C$2*$D$54)/($A$2*F53)))</f>
        <v>1.0155255856643233</v>
      </c>
      <c r="G54" s="53">
        <f t="shared" si="7"/>
        <v>1.0365664540417998</v>
      </c>
      <c r="H54" s="53">
        <f t="shared" si="7"/>
        <v>1.0656421512281551</v>
      </c>
      <c r="I54" s="53">
        <f t="shared" si="7"/>
        <v>1.1009886651826988</v>
      </c>
      <c r="J54" s="53">
        <f t="shared" si="7"/>
        <v>1.1410908255778576</v>
      </c>
      <c r="K54" s="53">
        <f t="shared" si="7"/>
        <v>1.1847953056266523</v>
      </c>
      <c r="L54" s="53">
        <f t="shared" si="7"/>
        <v>1.2312548193926622</v>
      </c>
      <c r="M54" s="53">
        <f t="shared" si="7"/>
        <v>1.2798499899115514</v>
      </c>
      <c r="N54" s="53">
        <f t="shared" si="7"/>
        <v>1.3301247465837196</v>
      </c>
      <c r="O54" s="53">
        <f t="shared" si="7"/>
        <v>1.3817391667835863</v>
      </c>
      <c r="P54" s="53">
        <f t="shared" si="7"/>
        <v>1.434436375743263</v>
      </c>
      <c r="Q54" s="53">
        <f t="shared" si="7"/>
        <v>1.4880195213972724</v>
      </c>
      <c r="R54" s="53">
        <f t="shared" si="7"/>
        <v>1.5423356967476947</v>
      </c>
      <c r="S54" s="53">
        <f t="shared" si="7"/>
        <v>1.5972646062650544</v>
      </c>
      <c r="T54" s="53">
        <f t="shared" si="7"/>
        <v>1.6527104802131367</v>
      </c>
      <c r="U54" s="53">
        <f t="shared" si="7"/>
        <v>1.70859623139921</v>
      </c>
      <c r="V54" s="53">
        <f t="shared" si="7"/>
        <v>1.7648591774005362</v>
      </c>
      <c r="W54" s="65">
        <f t="shared" si="7"/>
        <v>1.8214478690865301</v>
      </c>
    </row>
    <row r="55" spans="1:23" x14ac:dyDescent="0.3">
      <c r="A55" s="35"/>
      <c r="B55" s="65">
        <f t="shared" si="5"/>
        <v>1.0745134584229286</v>
      </c>
      <c r="D55" s="180">
        <f t="shared" si="6"/>
        <v>16578181156680.002</v>
      </c>
      <c r="E55" s="53">
        <f>1 / (1 - EXP((-$C$2*$D$55)/($A$2*E53)))</f>
        <v>1.0745136902548569</v>
      </c>
      <c r="F55" s="53">
        <f t="shared" ref="F55:W55" si="8">1 / (1 - EXP((-$C$2*$D$55)/($A$2*F53)))</f>
        <v>1.1584979385282139</v>
      </c>
      <c r="G55" s="53">
        <f t="shared" si="8"/>
        <v>1.2557427727589163</v>
      </c>
      <c r="H55" s="53">
        <f t="shared" si="8"/>
        <v>1.3614942344499521</v>
      </c>
      <c r="I55" s="53">
        <f t="shared" si="8"/>
        <v>1.4725201050177072</v>
      </c>
      <c r="J55" s="53">
        <f t="shared" si="8"/>
        <v>1.5870064390808953</v>
      </c>
      <c r="K55" s="53">
        <f t="shared" si="8"/>
        <v>1.7038728904755085</v>
      </c>
      <c r="L55" s="53">
        <f t="shared" si="8"/>
        <v>1.8224412274747688</v>
      </c>
      <c r="M55" s="53">
        <f t="shared" si="8"/>
        <v>1.9422661796833065</v>
      </c>
      <c r="N55" s="53">
        <f t="shared" si="8"/>
        <v>2.0630441727939792</v>
      </c>
      <c r="O55" s="53">
        <f t="shared" si="8"/>
        <v>2.1845615088827555</v>
      </c>
      <c r="P55" s="53">
        <f t="shared" si="8"/>
        <v>2.3066635906744928</v>
      </c>
      <c r="Q55" s="53">
        <f t="shared" si="8"/>
        <v>2.4292359128602743</v>
      </c>
      <c r="R55" s="53">
        <f t="shared" si="8"/>
        <v>2.5521919127611241</v>
      </c>
      <c r="S55" s="53">
        <f t="shared" si="8"/>
        <v>2.6754649689377454</v>
      </c>
      <c r="T55" s="53">
        <f t="shared" si="8"/>
        <v>2.799002990701895</v>
      </c>
      <c r="U55" s="53">
        <f t="shared" si="8"/>
        <v>2.9227646730854451</v>
      </c>
      <c r="V55" s="53">
        <f t="shared" si="8"/>
        <v>3.0467168500879835</v>
      </c>
      <c r="W55" s="65">
        <f t="shared" si="8"/>
        <v>3.1708325889237914</v>
      </c>
    </row>
    <row r="56" spans="1:23" x14ac:dyDescent="0.3">
      <c r="A56" s="35"/>
      <c r="B56" s="65">
        <f t="shared" si="5"/>
        <v>1.0055486117462353</v>
      </c>
      <c r="D56" s="180">
        <f t="shared" si="6"/>
        <v>16578199144260</v>
      </c>
      <c r="E56" s="53">
        <f>1 / (1 - EXP((-$C$2*$D$56)/($A$2*E53)))</f>
        <v>1.0745134584229286</v>
      </c>
      <c r="F56" s="53">
        <f t="shared" ref="F56:W56" si="9">1 / (1 - EXP((-$C$2*$D$56)/($A$2*F53)))</f>
        <v>1.1584975422328125</v>
      </c>
      <c r="G56" s="53">
        <f t="shared" si="9"/>
        <v>1.2557422182682456</v>
      </c>
      <c r="H56" s="53">
        <f t="shared" si="9"/>
        <v>1.3614935262984986</v>
      </c>
      <c r="I56" s="53">
        <f t="shared" si="9"/>
        <v>1.4725192469062078</v>
      </c>
      <c r="J56" s="53">
        <f t="shared" si="9"/>
        <v>1.5870054337898465</v>
      </c>
      <c r="K56" s="53">
        <f t="shared" si="9"/>
        <v>1.7038717400746983</v>
      </c>
      <c r="L56" s="53">
        <f t="shared" si="9"/>
        <v>1.8224399335212791</v>
      </c>
      <c r="M56" s="53">
        <f t="shared" si="9"/>
        <v>1.9422647433675244</v>
      </c>
      <c r="N56" s="53">
        <f t="shared" si="9"/>
        <v>2.0630425950415354</v>
      </c>
      <c r="O56" s="53">
        <f t="shared" si="9"/>
        <v>2.1845597904251859</v>
      </c>
      <c r="P56" s="53">
        <f t="shared" si="9"/>
        <v>2.3066617320986462</v>
      </c>
      <c r="Q56" s="53">
        <f t="shared" si="9"/>
        <v>2.4292339146433641</v>
      </c>
      <c r="R56" s="53">
        <f t="shared" si="9"/>
        <v>2.5521897752959926</v>
      </c>
      <c r="S56" s="53">
        <f t="shared" si="9"/>
        <v>2.6754626925513705</v>
      </c>
      <c r="T56" s="53">
        <f t="shared" si="9"/>
        <v>2.7990005756691607</v>
      </c>
      <c r="U56" s="53">
        <f t="shared" si="9"/>
        <v>2.9227621196395348</v>
      </c>
      <c r="V56" s="53">
        <f t="shared" si="9"/>
        <v>3.0467141584283328</v>
      </c>
      <c r="W56" s="65">
        <f t="shared" si="9"/>
        <v>3.1708297592222454</v>
      </c>
    </row>
    <row r="57" spans="1:23" x14ac:dyDescent="0.3">
      <c r="A57" s="35"/>
      <c r="B57" s="65">
        <f t="shared" si="5"/>
        <v>1.0035751776423589</v>
      </c>
      <c r="D57" s="180">
        <f t="shared" si="6"/>
        <v>32301931277850</v>
      </c>
      <c r="E57" s="53">
        <f>1 / (1 - EXP((-$C$2*$D$57)/($A$2*E53)))</f>
        <v>1.0055486117462353</v>
      </c>
      <c r="F57" s="53">
        <f t="shared" ref="F57:W57" si="10">1 / (1 - EXP((-$C$2*$D$57)/($A$2*F53)))</f>
        <v>1.0211778365277964</v>
      </c>
      <c r="G57" s="53">
        <f t="shared" si="10"/>
        <v>1.0471444716846048</v>
      </c>
      <c r="H57" s="53">
        <f t="shared" si="10"/>
        <v>1.0816467544395965</v>
      </c>
      <c r="I57" s="53">
        <f t="shared" si="10"/>
        <v>1.1225666311126643</v>
      </c>
      <c r="J57" s="53">
        <f t="shared" si="10"/>
        <v>1.1682367950709414</v>
      </c>
      <c r="K57" s="53">
        <f t="shared" si="10"/>
        <v>1.2174463658414143</v>
      </c>
      <c r="L57" s="53">
        <f t="shared" si="10"/>
        <v>1.2693314940217006</v>
      </c>
      <c r="M57" s="53">
        <f t="shared" si="10"/>
        <v>1.323273093142094</v>
      </c>
      <c r="N57" s="53">
        <f t="shared" si="10"/>
        <v>1.378821697781252</v>
      </c>
      <c r="O57" s="53">
        <f t="shared" si="10"/>
        <v>1.4356457887501206</v>
      </c>
      <c r="P57" s="53">
        <f t="shared" si="10"/>
        <v>1.4934968269379334</v>
      </c>
      <c r="Q57" s="53">
        <f t="shared" si="10"/>
        <v>1.5521855267806635</v>
      </c>
      <c r="R57" s="53">
        <f t="shared" si="10"/>
        <v>1.6115655830902658</v>
      </c>
      <c r="S57" s="53">
        <f t="shared" si="10"/>
        <v>1.6715223532442141</v>
      </c>
      <c r="T57" s="53">
        <f t="shared" si="10"/>
        <v>1.7319648668295253</v>
      </c>
      <c r="U57" s="53">
        <f t="shared" si="10"/>
        <v>1.7928200991161702</v>
      </c>
      <c r="V57" s="53">
        <f t="shared" si="10"/>
        <v>1.8540288069056081</v>
      </c>
      <c r="W57" s="65">
        <f t="shared" si="10"/>
        <v>1.9155424583820684</v>
      </c>
    </row>
    <row r="58" spans="1:23" x14ac:dyDescent="0.3">
      <c r="A58" s="35"/>
      <c r="B58" s="65">
        <f t="shared" si="5"/>
        <v>1.0035751637903942</v>
      </c>
      <c r="D58" s="180">
        <f t="shared" si="6"/>
        <v>35020202375729.996</v>
      </c>
      <c r="E58" s="53">
        <f>1 / (1 - EXP((-$C$2*$D$58)/($A$2*E53)))</f>
        <v>1.0035751776423589</v>
      </c>
      <c r="F58" s="53">
        <f t="shared" ref="F58:W58" si="11">1 / (1 - EXP((-$C$2*$D$58)/($A$2*F53)))</f>
        <v>1.0151943861881807</v>
      </c>
      <c r="G58" s="53">
        <f t="shared" si="11"/>
        <v>1.0359283164051782</v>
      </c>
      <c r="H58" s="53">
        <f t="shared" si="11"/>
        <v>1.0646596627886011</v>
      </c>
      <c r="I58" s="53">
        <f t="shared" si="11"/>
        <v>1.0996491363700063</v>
      </c>
      <c r="J58" s="53">
        <f t="shared" si="11"/>
        <v>1.1393928385127414</v>
      </c>
      <c r="K58" s="53">
        <f t="shared" si="11"/>
        <v>1.1827420343477257</v>
      </c>
      <c r="L58" s="53">
        <f t="shared" si="11"/>
        <v>1.2288509960592018</v>
      </c>
      <c r="M58" s="53">
        <f t="shared" si="11"/>
        <v>1.2771005912804101</v>
      </c>
      <c r="N58" s="53">
        <f t="shared" si="11"/>
        <v>1.3270344610839726</v>
      </c>
      <c r="O58" s="53">
        <f t="shared" si="11"/>
        <v>1.3783122098062361</v>
      </c>
      <c r="P58" s="53">
        <f t="shared" si="11"/>
        <v>1.4306764566160768</v>
      </c>
      <c r="Q58" s="53">
        <f t="shared" si="11"/>
        <v>1.4839298727885528</v>
      </c>
      <c r="R58" s="53">
        <f t="shared" si="11"/>
        <v>1.537919126154323</v>
      </c>
      <c r="S58" s="53">
        <f t="shared" si="11"/>
        <v>1.5925235517263492</v>
      </c>
      <c r="T58" s="53">
        <f t="shared" si="11"/>
        <v>1.6476470627839335</v>
      </c>
      <c r="U58" s="53">
        <f t="shared" si="11"/>
        <v>1.7032123016971341</v>
      </c>
      <c r="V58" s="53">
        <f t="shared" si="11"/>
        <v>1.7591563556931495</v>
      </c>
      <c r="W58" s="65">
        <f t="shared" si="11"/>
        <v>1.8154275792957399</v>
      </c>
    </row>
    <row r="59" spans="1:23" x14ac:dyDescent="0.3">
      <c r="A59" s="35"/>
      <c r="B59" s="65">
        <f t="shared" si="5"/>
        <v>1.0009725567675556</v>
      </c>
      <c r="D59" s="180">
        <f t="shared" si="6"/>
        <v>35020226359170</v>
      </c>
      <c r="E59" s="53">
        <f>1 / (1 - EXP((-$C$2*$D$59)/($A$2*E53)))</f>
        <v>1.0035751637903942</v>
      </c>
      <c r="F59" s="53">
        <f t="shared" ref="F59:W59" si="12">1 / (1 - EXP((-$C$2*$D$59)/($A$2*F53)))</f>
        <v>1.0151943417996032</v>
      </c>
      <c r="G59" s="53">
        <f t="shared" si="12"/>
        <v>1.0359282307220083</v>
      </c>
      <c r="H59" s="53">
        <f t="shared" si="12"/>
        <v>1.0646595307223017</v>
      </c>
      <c r="I59" s="53">
        <f t="shared" si="12"/>
        <v>1.0996489561808289</v>
      </c>
      <c r="J59" s="53">
        <f t="shared" si="12"/>
        <v>1.1393926099933518</v>
      </c>
      <c r="K59" s="53">
        <f t="shared" si="12"/>
        <v>1.182741757917777</v>
      </c>
      <c r="L59" s="53">
        <f t="shared" si="12"/>
        <v>1.2288506723528934</v>
      </c>
      <c r="M59" s="53">
        <f t="shared" si="12"/>
        <v>1.2771002209673621</v>
      </c>
      <c r="N59" s="53">
        <f t="shared" si="12"/>
        <v>1.3270340447962299</v>
      </c>
      <c r="O59" s="53">
        <f t="shared" si="12"/>
        <v>1.3783117481127301</v>
      </c>
      <c r="P59" s="53">
        <f t="shared" si="12"/>
        <v>1.4306759500178234</v>
      </c>
      <c r="Q59" s="53">
        <f t="shared" si="12"/>
        <v>1.4839293217224256</v>
      </c>
      <c r="R59" s="53">
        <f t="shared" si="12"/>
        <v>1.5379185309998911</v>
      </c>
      <c r="S59" s="53">
        <f t="shared" si="12"/>
        <v>1.5925229128133369</v>
      </c>
      <c r="T59" s="53">
        <f t="shared" si="12"/>
        <v>1.6476463803992669</v>
      </c>
      <c r="U59" s="53">
        <f t="shared" si="12"/>
        <v>1.7032115760912065</v>
      </c>
      <c r="V59" s="53">
        <f t="shared" si="12"/>
        <v>1.759155587085224</v>
      </c>
      <c r="W59" s="65">
        <f t="shared" si="12"/>
        <v>1.8154267678785363</v>
      </c>
    </row>
    <row r="60" spans="1:23" x14ac:dyDescent="0.3">
      <c r="A60" s="35"/>
      <c r="B60" s="65">
        <f t="shared" si="5"/>
        <v>1.0009725530091733</v>
      </c>
      <c r="D60" s="180">
        <f t="shared" si="6"/>
        <v>43091397405810</v>
      </c>
      <c r="E60" s="53">
        <f>1 / (1 - EXP((-$C$2*$D$60)/($A$2*E53)))</f>
        <v>1.0009725567675556</v>
      </c>
      <c r="F60" s="53">
        <f t="shared" ref="F60:W60" si="13">1 / (1 - EXP((-$C$2*$D$60)/($A$2*F53)))</f>
        <v>1.005715147312169</v>
      </c>
      <c r="G60" s="53">
        <f t="shared" si="13"/>
        <v>1.0162419841892758</v>
      </c>
      <c r="H60" s="53">
        <f t="shared" si="13"/>
        <v>1.0328919679866284</v>
      </c>
      <c r="I60" s="53">
        <f t="shared" si="13"/>
        <v>1.0549701976642021</v>
      </c>
      <c r="J60" s="53">
        <f t="shared" si="13"/>
        <v>1.0815294614023774</v>
      </c>
      <c r="K60" s="53">
        <f t="shared" si="13"/>
        <v>1.1116879169222216</v>
      </c>
      <c r="L60" s="53">
        <f t="shared" si="13"/>
        <v>1.1447168309090936</v>
      </c>
      <c r="M60" s="53">
        <f t="shared" si="13"/>
        <v>1.1800406547571329</v>
      </c>
      <c r="N60" s="53">
        <f t="shared" si="13"/>
        <v>1.2172119331142885</v>
      </c>
      <c r="O60" s="53">
        <f t="shared" si="13"/>
        <v>1.2558835962437149</v>
      </c>
      <c r="P60" s="53">
        <f t="shared" si="13"/>
        <v>1.2957853140822617</v>
      </c>
      <c r="Q60" s="53">
        <f t="shared" si="13"/>
        <v>1.3367049900353829</v>
      </c>
      <c r="R60" s="53">
        <f t="shared" si="13"/>
        <v>1.3784747669368127</v>
      </c>
      <c r="S60" s="53">
        <f t="shared" si="13"/>
        <v>1.4209605772954035</v>
      </c>
      <c r="T60" s="53">
        <f t="shared" si="13"/>
        <v>1.4640543564544883</v>
      </c>
      <c r="U60" s="53">
        <f t="shared" si="13"/>
        <v>1.5076682208655565</v>
      </c>
      <c r="V60" s="53">
        <f t="shared" si="13"/>
        <v>1.5517300887490129</v>
      </c>
      <c r="W60" s="65">
        <f t="shared" si="13"/>
        <v>1.5961803606644474</v>
      </c>
    </row>
    <row r="61" spans="1:23" x14ac:dyDescent="0.3">
      <c r="A61" s="35"/>
      <c r="B61" s="65">
        <f t="shared" si="5"/>
        <v>1.0001217523413641</v>
      </c>
      <c r="D61" s="180">
        <f t="shared" si="6"/>
        <v>43091421389250</v>
      </c>
      <c r="E61" s="53">
        <f>1 / (1 - EXP((-$C$2*$D$61)/($A$2*E53)))</f>
        <v>1.0009725530091733</v>
      </c>
      <c r="F61" s="53">
        <f t="shared" ref="F61:W61" si="14">1 / (1 - EXP((-$C$2*$D$61)/($A$2*F53)))</f>
        <v>1.0057151307719487</v>
      </c>
      <c r="G61" s="53">
        <f t="shared" si="14"/>
        <v>1.0162419461908865</v>
      </c>
      <c r="H61" s="53">
        <f t="shared" si="14"/>
        <v>1.0328919028098997</v>
      </c>
      <c r="I61" s="53">
        <f t="shared" si="14"/>
        <v>1.0549701023036959</v>
      </c>
      <c r="J61" s="53">
        <f t="shared" si="14"/>
        <v>1.0815293345314625</v>
      </c>
      <c r="K61" s="53">
        <f t="shared" si="14"/>
        <v>1.1116877581239681</v>
      </c>
      <c r="L61" s="53">
        <f t="shared" si="14"/>
        <v>1.1447166402242022</v>
      </c>
      <c r="M61" s="53">
        <f t="shared" si="14"/>
        <v>1.1800404324394262</v>
      </c>
      <c r="N61" s="53">
        <f t="shared" si="14"/>
        <v>1.2172116795034371</v>
      </c>
      <c r="O61" s="53">
        <f t="shared" si="14"/>
        <v>1.2558833117008597</v>
      </c>
      <c r="P61" s="53">
        <f t="shared" si="14"/>
        <v>1.2957849989587298</v>
      </c>
      <c r="Q61" s="53">
        <f t="shared" si="14"/>
        <v>1.3367046446586486</v>
      </c>
      <c r="R61" s="53">
        <f t="shared" si="14"/>
        <v>1.378474391605335</v>
      </c>
      <c r="S61" s="53">
        <f t="shared" si="14"/>
        <v>1.4209601722779321</v>
      </c>
      <c r="T61" s="53">
        <f t="shared" si="14"/>
        <v>1.4640539219915079</v>
      </c>
      <c r="U61" s="53">
        <f t="shared" si="14"/>
        <v>1.5076677571716517</v>
      </c>
      <c r="V61" s="53">
        <f t="shared" si="14"/>
        <v>1.5517295960155173</v>
      </c>
      <c r="W61" s="65">
        <f t="shared" si="14"/>
        <v>1.5961798390620638</v>
      </c>
    </row>
    <row r="62" spans="1:23" x14ac:dyDescent="0.3">
      <c r="A62" s="35"/>
      <c r="B62" s="65">
        <f t="shared" si="5"/>
        <v>1.0000003497242489</v>
      </c>
      <c r="D62" s="180">
        <f t="shared" si="6"/>
        <v>55994730958140</v>
      </c>
      <c r="E62" s="53">
        <f>1 / (1 - EXP((-$C$2*$D$62)/($A$2*E53)))</f>
        <v>1.0001217523413641</v>
      </c>
      <c r="F62" s="53">
        <f t="shared" ref="F62:W62" si="15">1 / (1 - EXP((-$C$2*$D$62)/($A$2*F53)))</f>
        <v>1.0012097574959729</v>
      </c>
      <c r="G62" s="53">
        <f t="shared" si="15"/>
        <v>1.0046532328432067</v>
      </c>
      <c r="H62" s="53">
        <f t="shared" si="15"/>
        <v>1.0114745890888808</v>
      </c>
      <c r="I62" s="53">
        <f t="shared" si="15"/>
        <v>1.0219844039779982</v>
      </c>
      <c r="J62" s="53">
        <f t="shared" si="15"/>
        <v>1.0360123581052938</v>
      </c>
      <c r="K62" s="53">
        <f t="shared" si="15"/>
        <v>1.0531725697472665</v>
      </c>
      <c r="L62" s="53">
        <f t="shared" si="15"/>
        <v>1.073026366595432</v>
      </c>
      <c r="M62" s="53">
        <f t="shared" si="15"/>
        <v>1.0951588553823033</v>
      </c>
      <c r="N62" s="53">
        <f t="shared" si="15"/>
        <v>1.1192069207430295</v>
      </c>
      <c r="O62" s="53">
        <f t="shared" si="15"/>
        <v>1.1448642214180467</v>
      </c>
      <c r="P62" s="53">
        <f t="shared" si="15"/>
        <v>1.1718767586738461</v>
      </c>
      <c r="Q62" s="53">
        <f t="shared" si="15"/>
        <v>1.200035435806982</v>
      </c>
      <c r="R62" s="53">
        <f t="shared" si="15"/>
        <v>1.2291683780518585</v>
      </c>
      <c r="S62" s="53">
        <f t="shared" si="15"/>
        <v>1.2591340611189767</v>
      </c>
      <c r="T62" s="53">
        <f t="shared" si="15"/>
        <v>1.2898155327121399</v>
      </c>
      <c r="U62" s="53">
        <f t="shared" si="15"/>
        <v>1.3211156979815277</v>
      </c>
      <c r="V62" s="53">
        <f t="shared" si="15"/>
        <v>1.3529535300032773</v>
      </c>
      <c r="W62" s="65">
        <f t="shared" si="15"/>
        <v>1.3852610439476278</v>
      </c>
    </row>
    <row r="63" spans="1:23" x14ac:dyDescent="0.3">
      <c r="A63" s="35"/>
      <c r="B63" s="65">
        <f t="shared" si="5"/>
        <v>1.0000001713700597</v>
      </c>
      <c r="D63" s="180">
        <f t="shared" si="6"/>
        <v>92351608391250</v>
      </c>
      <c r="E63" s="53">
        <f>1 / (1 - EXP((-$C$2*$D$63)/($A$2*E53)))</f>
        <v>1.0000003497242489</v>
      </c>
      <c r="F63" s="53">
        <f t="shared" ref="F63:W63" si="16">1 / (1 - EXP((-$C$2*$D$63)/($A$2*F53)))</f>
        <v>1.0000154049805738</v>
      </c>
      <c r="G63" s="53">
        <f t="shared" si="16"/>
        <v>1.0001413139185611</v>
      </c>
      <c r="H63" s="53">
        <f t="shared" si="16"/>
        <v>1.0006194961384758</v>
      </c>
      <c r="I63" s="53">
        <f t="shared" si="16"/>
        <v>1.0017818100626634</v>
      </c>
      <c r="J63" s="53">
        <f t="shared" si="16"/>
        <v>1.0039403531187439</v>
      </c>
      <c r="K63" s="53">
        <f t="shared" si="16"/>
        <v>1.0073172184317445</v>
      </c>
      <c r="L63" s="53">
        <f t="shared" si="16"/>
        <v>1.0120297069211734</v>
      </c>
      <c r="M63" s="53">
        <f t="shared" si="16"/>
        <v>1.0181071312007732</v>
      </c>
      <c r="N63" s="53">
        <f t="shared" si="16"/>
        <v>1.0255168838315936</v>
      </c>
      <c r="O63" s="53">
        <f t="shared" si="16"/>
        <v>1.0341883334470476</v>
      </c>
      <c r="P63" s="53">
        <f t="shared" si="16"/>
        <v>1.0440308918250247</v>
      </c>
      <c r="Q63" s="53">
        <f t="shared" si="16"/>
        <v>1.0549462676369825</v>
      </c>
      <c r="R63" s="53">
        <f t="shared" si="16"/>
        <v>1.0668361359777263</v>
      </c>
      <c r="S63" s="53">
        <f t="shared" si="16"/>
        <v>1.079606572050724</v>
      </c>
      <c r="T63" s="53">
        <f t="shared" si="16"/>
        <v>1.0931703495180498</v>
      </c>
      <c r="U63" s="53">
        <f t="shared" si="16"/>
        <v>1.1074478989589915</v>
      </c>
      <c r="V63" s="53">
        <f t="shared" si="16"/>
        <v>1.1223674646008668</v>
      </c>
      <c r="W63" s="65">
        <f t="shared" si="16"/>
        <v>1.1378648082111478</v>
      </c>
    </row>
    <row r="64" spans="1:23" ht="15" thickBot="1" x14ac:dyDescent="0.35">
      <c r="A64" s="26"/>
      <c r="B64" s="67">
        <f t="shared" si="5"/>
        <v>1.0000001713698117</v>
      </c>
      <c r="D64" s="180">
        <f t="shared" si="6"/>
        <v>96782905684920</v>
      </c>
      <c r="E64" s="53">
        <f>1 / (1 - EXP((-$C$2*$D$64)/($A$2*E53)))</f>
        <v>1.0000001713700597</v>
      </c>
      <c r="F64" s="53">
        <f t="shared" ref="F64:W64" si="17">1 / (1 - EXP((-$C$2*$D$64)/($A$2*F53)))</f>
        <v>1.0000090520748772</v>
      </c>
      <c r="G64" s="53">
        <f t="shared" si="17"/>
        <v>1.0000923496960279</v>
      </c>
      <c r="H64" s="53">
        <f t="shared" si="17"/>
        <v>1.0004345283768283</v>
      </c>
      <c r="I64" s="53">
        <f t="shared" si="17"/>
        <v>1.0013143468400154</v>
      </c>
      <c r="J64" s="53">
        <f t="shared" si="17"/>
        <v>1.003017732320004</v>
      </c>
      <c r="K64" s="53">
        <f t="shared" si="17"/>
        <v>1.0057683412077196</v>
      </c>
      <c r="L64" s="53">
        <f t="shared" si="17"/>
        <v>1.0097026683428938</v>
      </c>
      <c r="M64" s="53">
        <f t="shared" si="17"/>
        <v>1.0148765428315103</v>
      </c>
      <c r="N64" s="53">
        <f t="shared" si="17"/>
        <v>1.021284401080002</v>
      </c>
      <c r="O64" s="53">
        <f t="shared" si="17"/>
        <v>1.0288797621028343</v>
      </c>
      <c r="P64" s="53">
        <f t="shared" si="17"/>
        <v>1.0375920858493746</v>
      </c>
      <c r="Q64" s="53">
        <f t="shared" si="17"/>
        <v>1.0473389982413559</v>
      </c>
      <c r="R64" s="53">
        <f t="shared" si="17"/>
        <v>1.0580344482194399</v>
      </c>
      <c r="S64" s="53">
        <f t="shared" si="17"/>
        <v>1.0695937835611666</v>
      </c>
      <c r="T64" s="53">
        <f t="shared" si="17"/>
        <v>1.0819366743128129</v>
      </c>
      <c r="U64" s="53">
        <f t="shared" si="17"/>
        <v>1.094988611761617</v>
      </c>
      <c r="V64" s="53">
        <f t="shared" si="17"/>
        <v>1.1086815050498686</v>
      </c>
      <c r="W64" s="65">
        <f t="shared" si="17"/>
        <v>1.1229537308213247</v>
      </c>
    </row>
    <row r="65" spans="1:23" ht="15" thickBot="1" x14ac:dyDescent="0.35">
      <c r="B65" s="53"/>
      <c r="D65" s="181">
        <f t="shared" si="6"/>
        <v>96782914678710</v>
      </c>
      <c r="E65" s="57">
        <f>1 / (1 - EXP((-$C$2*$D$65)/($A$2*E53)))</f>
        <v>1.0000001713698117</v>
      </c>
      <c r="F65" s="57">
        <f t="shared" ref="F65:W65" si="18">1 / (1 - EXP((-$C$2*$D$65)/($A$2*F53)))</f>
        <v>1.000009052065109</v>
      </c>
      <c r="G65" s="57">
        <f t="shared" si="18"/>
        <v>1.0000923496162952</v>
      </c>
      <c r="H65" s="57">
        <f t="shared" si="18"/>
        <v>1.0004345280640863</v>
      </c>
      <c r="I65" s="57">
        <f t="shared" si="18"/>
        <v>1.0013143460284695</v>
      </c>
      <c r="J65" s="57">
        <f t="shared" si="18"/>
        <v>1.0030177306868393</v>
      </c>
      <c r="K65" s="57">
        <f t="shared" si="18"/>
        <v>1.0057683384252076</v>
      </c>
      <c r="L65" s="57">
        <f t="shared" si="18"/>
        <v>1.0097026641141111</v>
      </c>
      <c r="M65" s="57">
        <f t="shared" si="18"/>
        <v>1.0148765369069896</v>
      </c>
      <c r="N65" s="57">
        <f t="shared" si="18"/>
        <v>1.0212843932608875</v>
      </c>
      <c r="O65" s="57">
        <f t="shared" si="18"/>
        <v>1.028879752236733</v>
      </c>
      <c r="P65" s="57">
        <f t="shared" si="18"/>
        <v>1.0375920738232491</v>
      </c>
      <c r="Q65" s="57">
        <f t="shared" si="18"/>
        <v>1.0473389839739253</v>
      </c>
      <c r="R65" s="57">
        <f t="shared" si="18"/>
        <v>1.0580344316542516</v>
      </c>
      <c r="S65" s="57">
        <f t="shared" si="18"/>
        <v>1.0695937646607623</v>
      </c>
      <c r="T65" s="57">
        <f t="shared" si="18"/>
        <v>1.0819366530540313</v>
      </c>
      <c r="U65" s="57">
        <f t="shared" si="18"/>
        <v>1.094988588131915</v>
      </c>
      <c r="V65" s="57">
        <f t="shared" si="18"/>
        <v>1.1086814790444917</v>
      </c>
      <c r="W65" s="67">
        <f t="shared" si="18"/>
        <v>1.1229537024411553</v>
      </c>
    </row>
    <row r="66" spans="1:23" x14ac:dyDescent="0.3">
      <c r="B66" s="53"/>
    </row>
    <row r="67" spans="1:23" ht="15" thickBot="1" x14ac:dyDescent="0.35">
      <c r="B67" s="53"/>
      <c r="D67" s="69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</row>
    <row r="68" spans="1:23" x14ac:dyDescent="0.3">
      <c r="B68" s="53"/>
      <c r="D68" s="70" t="s">
        <v>53</v>
      </c>
      <c r="E68" s="71">
        <v>298.14999999999998</v>
      </c>
      <c r="F68" s="71">
        <f>300+100</f>
        <v>400</v>
      </c>
      <c r="G68" s="71">
        <f t="shared" ref="G68:W68" si="19">F68+100</f>
        <v>500</v>
      </c>
      <c r="H68" s="71">
        <f t="shared" si="19"/>
        <v>600</v>
      </c>
      <c r="I68" s="71">
        <f t="shared" si="19"/>
        <v>700</v>
      </c>
      <c r="J68" s="71">
        <f t="shared" si="19"/>
        <v>800</v>
      </c>
      <c r="K68" s="71">
        <f t="shared" si="19"/>
        <v>900</v>
      </c>
      <c r="L68" s="71">
        <f t="shared" si="19"/>
        <v>1000</v>
      </c>
      <c r="M68" s="71">
        <f t="shared" si="19"/>
        <v>1100</v>
      </c>
      <c r="N68" s="71">
        <f t="shared" si="19"/>
        <v>1200</v>
      </c>
      <c r="O68" s="71">
        <f t="shared" si="19"/>
        <v>1300</v>
      </c>
      <c r="P68" s="71">
        <f t="shared" si="19"/>
        <v>1400</v>
      </c>
      <c r="Q68" s="71">
        <f t="shared" si="19"/>
        <v>1500</v>
      </c>
      <c r="R68" s="71">
        <f t="shared" si="19"/>
        <v>1600</v>
      </c>
      <c r="S68" s="71">
        <f t="shared" si="19"/>
        <v>1700</v>
      </c>
      <c r="T68" s="71">
        <f t="shared" si="19"/>
        <v>1800</v>
      </c>
      <c r="U68" s="71">
        <f t="shared" si="19"/>
        <v>1900</v>
      </c>
      <c r="V68" s="71">
        <f t="shared" si="19"/>
        <v>2000</v>
      </c>
      <c r="W68" s="72">
        <f t="shared" si="19"/>
        <v>2100</v>
      </c>
    </row>
    <row r="69" spans="1:23" ht="15" thickBot="1" x14ac:dyDescent="0.35">
      <c r="B69" s="53"/>
      <c r="D69" s="68" t="s">
        <v>54</v>
      </c>
      <c r="E69" s="57">
        <f t="shared" ref="E69:W69" si="20">PRODUCT(E54:E62)</f>
        <v>1.1760308127779078</v>
      </c>
      <c r="F69" s="57">
        <f t="shared" si="20"/>
        <v>1.4526335719707784</v>
      </c>
      <c r="G69" s="57">
        <f t="shared" si="20"/>
        <v>1.905788691899911</v>
      </c>
      <c r="H69" s="57">
        <f t="shared" si="20"/>
        <v>2.6134519837522854</v>
      </c>
      <c r="I69" s="57">
        <f t="shared" si="20"/>
        <v>3.6859547957764351</v>
      </c>
      <c r="J69" s="57">
        <f t="shared" si="20"/>
        <v>5.2819790512643587</v>
      </c>
      <c r="K69" s="57">
        <f t="shared" si="20"/>
        <v>7.6245192501227743</v>
      </c>
      <c r="L69" s="57">
        <f t="shared" si="20"/>
        <v>11.021343776331605</v>
      </c>
      <c r="M69" s="57">
        <f t="shared" si="20"/>
        <v>15.89083759033363</v>
      </c>
      <c r="N69" s="57">
        <f t="shared" si="20"/>
        <v>22.794190277057023</v>
      </c>
      <c r="O69" s="57">
        <f t="shared" si="20"/>
        <v>32.475010830535787</v>
      </c>
      <c r="P69" s="57">
        <f t="shared" si="20"/>
        <v>45.907581622407221</v>
      </c>
      <c r="Q69" s="57">
        <f t="shared" si="20"/>
        <v>64.355101248365301</v>
      </c>
      <c r="R69" s="57">
        <f t="shared" si="20"/>
        <v>89.43940820534587</v>
      </c>
      <c r="S69" s="57">
        <f t="shared" si="20"/>
        <v>123.22382498538754</v>
      </c>
      <c r="T69" s="57">
        <f t="shared" si="20"/>
        <v>168.31091568021432</v>
      </c>
      <c r="U69" s="57">
        <f t="shared" si="20"/>
        <v>227.95710993810863</v>
      </c>
      <c r="V69" s="57">
        <f t="shared" si="20"/>
        <v>306.20631233067087</v>
      </c>
      <c r="W69" s="67">
        <f t="shared" si="20"/>
        <v>408.04478900862011</v>
      </c>
    </row>
    <row r="70" spans="1:23" x14ac:dyDescent="0.3">
      <c r="B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</row>
    <row r="71" spans="1:23" ht="15" thickBot="1" x14ac:dyDescent="0.35"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</row>
    <row r="72" spans="1:23" x14ac:dyDescent="0.3">
      <c r="A72" s="17" t="s">
        <v>55</v>
      </c>
      <c r="B72" s="19">
        <f>COUNT(B53:B70)</f>
        <v>12</v>
      </c>
    </row>
    <row r="73" spans="1:23" ht="21" thickBot="1" x14ac:dyDescent="0.35">
      <c r="A73" s="73" t="s">
        <v>56</v>
      </c>
      <c r="B73" s="74">
        <f>PRODUCT(B53:B64)</f>
        <v>1.1760316271372253</v>
      </c>
    </row>
    <row r="76" spans="1:23" ht="15" thickBot="1" x14ac:dyDescent="0.35"/>
    <row r="77" spans="1:23" x14ac:dyDescent="0.3">
      <c r="A77" s="16" t="s">
        <v>57</v>
      </c>
    </row>
    <row r="78" spans="1:23" x14ac:dyDescent="0.3">
      <c r="A78" s="75">
        <v>1.17174</v>
      </c>
    </row>
    <row r="79" spans="1:23" x14ac:dyDescent="0.3">
      <c r="A79" s="76" t="s">
        <v>58</v>
      </c>
    </row>
    <row r="80" spans="1:23" ht="15" thickBot="1" x14ac:dyDescent="0.35">
      <c r="A80" s="77">
        <f>ABS(B73-A78)/B73</f>
        <v>3.6492446616187288E-3</v>
      </c>
    </row>
    <row r="81" spans="2:10" ht="15" thickBot="1" x14ac:dyDescent="0.35"/>
    <row r="82" spans="2:10" ht="18" x14ac:dyDescent="0.3">
      <c r="D82" s="11" t="s">
        <v>47</v>
      </c>
      <c r="E82" s="60" t="s">
        <v>59</v>
      </c>
      <c r="F82" s="52" t="s">
        <v>9</v>
      </c>
    </row>
    <row r="83" spans="2:10" ht="18.600000000000001" thickBot="1" x14ac:dyDescent="0.35">
      <c r="B83" s="78"/>
      <c r="D83" s="35">
        <f>298.15</f>
        <v>298.14999999999998</v>
      </c>
      <c r="E83" s="65">
        <f xml:space="preserve"> ( (2*$B$2*$E$2*$A$2*D83)/($C$2*$C$2) )^(1.5) * ($A$2*D83) /$F$83</f>
        <v>2762967.0290315906</v>
      </c>
      <c r="F83" s="25">
        <v>101325</v>
      </c>
      <c r="H83" s="5" t="s">
        <v>60</v>
      </c>
    </row>
    <row r="84" spans="2:10" ht="15" thickBot="1" x14ac:dyDescent="0.35">
      <c r="D84" s="35">
        <f>300+100</f>
        <v>400</v>
      </c>
      <c r="E84" s="65">
        <f t="shared" ref="E84:E101" si="21" xml:space="preserve"> ( (2*$B$2*$E$2*$A$2*D84)/($C$2*$C$2) )^(1.5) * ($A$2*D84) /$F$83</f>
        <v>5760214.3737771697</v>
      </c>
    </row>
    <row r="85" spans="2:10" ht="15" thickBot="1" x14ac:dyDescent="0.35">
      <c r="D85" s="35">
        <f t="shared" ref="D85:D101" si="22">D84+100</f>
        <v>500</v>
      </c>
      <c r="E85" s="65">
        <f t="shared" si="21"/>
        <v>10062680.394325944</v>
      </c>
      <c r="J85" s="16" t="s">
        <v>61</v>
      </c>
    </row>
    <row r="86" spans="2:10" x14ac:dyDescent="0.3">
      <c r="D86" s="35">
        <f t="shared" si="22"/>
        <v>600</v>
      </c>
      <c r="E86" s="65">
        <f t="shared" si="21"/>
        <v>15873284.277899453</v>
      </c>
      <c r="H86" s="79" t="s">
        <v>62</v>
      </c>
      <c r="I86" s="17" t="s">
        <v>63</v>
      </c>
      <c r="J86" s="80">
        <f xml:space="preserve"> ( (2*$B$2*$E$2*$A$2*298.15)/($C$2*$C$2) )^(1.5) * ($A$2*D83) /$F$83</f>
        <v>2762967.0290315906</v>
      </c>
    </row>
    <row r="87" spans="2:10" ht="15" thickBot="1" x14ac:dyDescent="0.35">
      <c r="D87" s="35">
        <f t="shared" si="22"/>
        <v>700</v>
      </c>
      <c r="E87" s="65">
        <f t="shared" si="21"/>
        <v>23336395.05750823</v>
      </c>
      <c r="H87" s="63" t="s">
        <v>64</v>
      </c>
      <c r="I87" s="26" t="s">
        <v>63</v>
      </c>
      <c r="J87" s="81">
        <v>2764560</v>
      </c>
    </row>
    <row r="88" spans="2:10" x14ac:dyDescent="0.3">
      <c r="D88" s="35">
        <f t="shared" si="22"/>
        <v>800</v>
      </c>
      <c r="E88" s="65">
        <f t="shared" si="21"/>
        <v>32584693.158288561</v>
      </c>
      <c r="J88" s="82" t="s">
        <v>58</v>
      </c>
    </row>
    <row r="89" spans="2:10" x14ac:dyDescent="0.3">
      <c r="D89" s="35">
        <f t="shared" si="22"/>
        <v>900</v>
      </c>
      <c r="E89" s="65">
        <f t="shared" si="21"/>
        <v>43741627.900870442</v>
      </c>
      <c r="J89" s="83">
        <f>ABS(J86-J87)/J87</f>
        <v>5.762113929194669E-4</v>
      </c>
    </row>
    <row r="90" spans="2:10" x14ac:dyDescent="0.3">
      <c r="D90" s="35">
        <f t="shared" si="22"/>
        <v>1000</v>
      </c>
      <c r="E90" s="65">
        <f t="shared" si="21"/>
        <v>56923116.349926531</v>
      </c>
    </row>
    <row r="91" spans="2:10" x14ac:dyDescent="0.3">
      <c r="D91" s="35">
        <f t="shared" si="22"/>
        <v>1100</v>
      </c>
      <c r="E91" s="65">
        <f t="shared" si="21"/>
        <v>72238776.392798007</v>
      </c>
    </row>
    <row r="92" spans="2:10" x14ac:dyDescent="0.3">
      <c r="D92" s="35">
        <f t="shared" si="22"/>
        <v>1200</v>
      </c>
      <c r="E92" s="65">
        <f t="shared" si="21"/>
        <v>89792855.620836362</v>
      </c>
    </row>
    <row r="93" spans="2:10" x14ac:dyDescent="0.3">
      <c r="D93" s="35">
        <f t="shared" si="22"/>
        <v>1300</v>
      </c>
      <c r="E93" s="65">
        <f t="shared" si="21"/>
        <v>109684951.86599311</v>
      </c>
    </row>
    <row r="94" spans="2:10" x14ac:dyDescent="0.3">
      <c r="D94" s="35">
        <f t="shared" si="22"/>
        <v>1400</v>
      </c>
      <c r="E94" s="65">
        <f t="shared" si="21"/>
        <v>132010585.54889879</v>
      </c>
    </row>
    <row r="95" spans="2:10" x14ac:dyDescent="0.3">
      <c r="D95" s="35">
        <f t="shared" si="22"/>
        <v>1500</v>
      </c>
      <c r="E95" s="65">
        <f t="shared" si="21"/>
        <v>156861663.32969725</v>
      </c>
    </row>
    <row r="96" spans="2:10" x14ac:dyDescent="0.3">
      <c r="D96" s="35">
        <f t="shared" si="22"/>
        <v>1600</v>
      </c>
      <c r="E96" s="65">
        <f t="shared" si="21"/>
        <v>184326859.96087041</v>
      </c>
    </row>
    <row r="97" spans="1:10" x14ac:dyDescent="0.3">
      <c r="D97" s="35">
        <f t="shared" si="22"/>
        <v>1700</v>
      </c>
      <c r="E97" s="65">
        <f t="shared" si="21"/>
        <v>214491937.23759905</v>
      </c>
    </row>
    <row r="98" spans="1:10" x14ac:dyDescent="0.3">
      <c r="D98" s="35">
        <f t="shared" si="22"/>
        <v>1800</v>
      </c>
      <c r="E98" s="65">
        <f t="shared" si="21"/>
        <v>247440013.67075413</v>
      </c>
    </row>
    <row r="99" spans="1:10" x14ac:dyDescent="0.3">
      <c r="D99" s="35">
        <f t="shared" si="22"/>
        <v>1900</v>
      </c>
      <c r="E99" s="65">
        <f t="shared" si="21"/>
        <v>283251794.93067282</v>
      </c>
    </row>
    <row r="100" spans="1:10" x14ac:dyDescent="0.3">
      <c r="D100" s="35">
        <f t="shared" si="22"/>
        <v>2000</v>
      </c>
      <c r="E100" s="65">
        <f t="shared" si="21"/>
        <v>322005772.61843193</v>
      </c>
    </row>
    <row r="101" spans="1:10" ht="15" thickBot="1" x14ac:dyDescent="0.35">
      <c r="D101" s="26">
        <f t="shared" si="22"/>
        <v>2100</v>
      </c>
      <c r="E101" s="67">
        <f t="shared" si="21"/>
        <v>363778397.14593542</v>
      </c>
    </row>
    <row r="104" spans="1:10" ht="15" thickBot="1" x14ac:dyDescent="0.35"/>
    <row r="105" spans="1:10" ht="18" x14ac:dyDescent="0.3">
      <c r="D105" s="11" t="s">
        <v>47</v>
      </c>
      <c r="E105" s="60" t="s">
        <v>65</v>
      </c>
    </row>
    <row r="106" spans="1:10" x14ac:dyDescent="0.3">
      <c r="D106" s="35">
        <f>298.15</f>
        <v>298.14999999999998</v>
      </c>
      <c r="E106" s="65">
        <f xml:space="preserve"> ( SQRT($B$2)/$B$6) * SQRT(  (D106*D106*D106) / ($E$11 * $F$11 * $G$11 ) )</f>
        <v>408.4094634748372</v>
      </c>
    </row>
    <row r="107" spans="1:10" x14ac:dyDescent="0.3">
      <c r="D107" s="35">
        <f>300+100</f>
        <v>400</v>
      </c>
      <c r="E107" s="65">
        <f t="shared" ref="E107:E124" si="23" xml:space="preserve"> ( SQRT($B$2)/$B$6) * SQRT(  (D107*D107*D107) / ($E$11 * $F$11 * $G$11 ) )</f>
        <v>634.6489462087884</v>
      </c>
    </row>
    <row r="108" spans="1:10" x14ac:dyDescent="0.3">
      <c r="D108" s="35">
        <f t="shared" ref="D108:D124" si="24">D107+100</f>
        <v>500</v>
      </c>
      <c r="E108" s="65">
        <f t="shared" si="23"/>
        <v>886.94886598216124</v>
      </c>
      <c r="H108" s="5" t="s">
        <v>60</v>
      </c>
    </row>
    <row r="109" spans="1:10" ht="15" thickBot="1" x14ac:dyDescent="0.35">
      <c r="D109" s="35">
        <f t="shared" si="24"/>
        <v>600</v>
      </c>
      <c r="E109" s="65">
        <f t="shared" si="23"/>
        <v>1165.924563004935</v>
      </c>
    </row>
    <row r="110" spans="1:10" ht="18.600000000000001" thickBot="1" x14ac:dyDescent="0.35">
      <c r="A110" s="84"/>
      <c r="B110" s="78"/>
      <c r="D110" s="35">
        <f t="shared" si="24"/>
        <v>700</v>
      </c>
      <c r="E110" s="65">
        <f t="shared" si="23"/>
        <v>1469.2328713104548</v>
      </c>
      <c r="J110" s="16" t="s">
        <v>61</v>
      </c>
    </row>
    <row r="111" spans="1:10" x14ac:dyDescent="0.3">
      <c r="D111" s="35">
        <f t="shared" si="24"/>
        <v>800</v>
      </c>
      <c r="E111" s="65">
        <f t="shared" si="23"/>
        <v>1795.0582941485227</v>
      </c>
      <c r="H111" s="79" t="s">
        <v>62</v>
      </c>
      <c r="I111" s="17" t="s">
        <v>66</v>
      </c>
      <c r="J111" s="80">
        <f>E106</f>
        <v>408.4094634748372</v>
      </c>
    </row>
    <row r="112" spans="1:10" ht="15" thickBot="1" x14ac:dyDescent="0.35">
      <c r="D112" s="35">
        <f t="shared" si="24"/>
        <v>900</v>
      </c>
      <c r="E112" s="65">
        <f t="shared" si="23"/>
        <v>2141.9401934546604</v>
      </c>
      <c r="H112" s="63" t="s">
        <v>64</v>
      </c>
      <c r="I112" s="26" t="s">
        <v>66</v>
      </c>
      <c r="J112" s="81">
        <v>408.41</v>
      </c>
    </row>
    <row r="113" spans="4:10" x14ac:dyDescent="0.3">
      <c r="D113" s="35">
        <f t="shared" si="24"/>
        <v>1000</v>
      </c>
      <c r="E113" s="65">
        <f t="shared" si="23"/>
        <v>2508.6702308068184</v>
      </c>
      <c r="J113" s="82" t="s">
        <v>58</v>
      </c>
    </row>
    <row r="114" spans="4:10" x14ac:dyDescent="0.3">
      <c r="D114" s="35">
        <f t="shared" si="24"/>
        <v>1100</v>
      </c>
      <c r="E114" s="65">
        <f t="shared" si="23"/>
        <v>2894.2270887323721</v>
      </c>
      <c r="J114" s="83">
        <f>(J111-J112)/J112</f>
        <v>-1.3136925218018498E-6</v>
      </c>
    </row>
    <row r="115" spans="4:10" x14ac:dyDescent="0.3">
      <c r="D115" s="35">
        <f t="shared" si="24"/>
        <v>1200</v>
      </c>
      <c r="E115" s="65">
        <f t="shared" si="23"/>
        <v>3297.7326594110059</v>
      </c>
    </row>
    <row r="116" spans="4:10" x14ac:dyDescent="0.3">
      <c r="D116" s="35">
        <f t="shared" si="24"/>
        <v>1300</v>
      </c>
      <c r="E116" s="65">
        <f t="shared" si="23"/>
        <v>3718.4213908968313</v>
      </c>
      <c r="H116" s="86"/>
    </row>
    <row r="117" spans="4:10" x14ac:dyDescent="0.3">
      <c r="D117" s="35">
        <f t="shared" si="24"/>
        <v>1400</v>
      </c>
      <c r="E117" s="65">
        <f t="shared" si="23"/>
        <v>4155.6181057832182</v>
      </c>
    </row>
    <row r="118" spans="4:10" x14ac:dyDescent="0.3">
      <c r="D118" s="35">
        <f t="shared" si="24"/>
        <v>1500</v>
      </c>
      <c r="E118" s="65">
        <f t="shared" si="23"/>
        <v>4608.721498790107</v>
      </c>
    </row>
    <row r="119" spans="4:10" x14ac:dyDescent="0.3">
      <c r="D119" s="35">
        <f t="shared" si="24"/>
        <v>1600</v>
      </c>
      <c r="E119" s="65">
        <f t="shared" si="23"/>
        <v>5077.1915696703072</v>
      </c>
    </row>
    <row r="120" spans="4:10" x14ac:dyDescent="0.3">
      <c r="D120" s="35">
        <f t="shared" si="24"/>
        <v>1700</v>
      </c>
      <c r="E120" s="65">
        <f t="shared" si="23"/>
        <v>5560.5398608622718</v>
      </c>
    </row>
    <row r="121" spans="4:10" x14ac:dyDescent="0.3">
      <c r="D121" s="35">
        <f t="shared" si="24"/>
        <v>1800</v>
      </c>
      <c r="E121" s="65">
        <f t="shared" si="23"/>
        <v>6058.3217427512636</v>
      </c>
    </row>
    <row r="122" spans="4:10" x14ac:dyDescent="0.3">
      <c r="D122" s="35">
        <f t="shared" si="24"/>
        <v>1900</v>
      </c>
      <c r="E122" s="65">
        <f t="shared" si="23"/>
        <v>6570.1302252281366</v>
      </c>
    </row>
    <row r="123" spans="4:10" x14ac:dyDescent="0.3">
      <c r="D123" s="35">
        <f t="shared" si="24"/>
        <v>2000</v>
      </c>
      <c r="E123" s="65">
        <f t="shared" si="23"/>
        <v>7095.5909278572899</v>
      </c>
    </row>
    <row r="124" spans="4:10" ht="15" thickBot="1" x14ac:dyDescent="0.35">
      <c r="D124" s="26">
        <f t="shared" si="24"/>
        <v>2100</v>
      </c>
      <c r="E124" s="67">
        <f t="shared" si="23"/>
        <v>7634.357943780039</v>
      </c>
    </row>
    <row r="126" spans="4:10" ht="15" thickBot="1" x14ac:dyDescent="0.35"/>
    <row r="127" spans="4:10" ht="18" x14ac:dyDescent="0.3">
      <c r="D127" s="11" t="s">
        <v>47</v>
      </c>
      <c r="E127" s="13" t="s">
        <v>67</v>
      </c>
      <c r="F127" s="52" t="s">
        <v>68</v>
      </c>
    </row>
    <row r="128" spans="4:10" ht="15.6" x14ac:dyDescent="0.3">
      <c r="D128" s="35">
        <f>298.15</f>
        <v>298.14999999999998</v>
      </c>
      <c r="E128" s="87">
        <f>$B$135*EXP($B$134/($A$2*D128) )</f>
        <v>0</v>
      </c>
      <c r="F128" s="54">
        <f>$B$135</f>
        <v>2</v>
      </c>
      <c r="G128" s="5" t="s">
        <v>69</v>
      </c>
      <c r="H128" s="88">
        <f>$B$135*EXP($B$134/($A$2*298.15) )</f>
        <v>0</v>
      </c>
    </row>
    <row r="129" spans="1:10" ht="15.6" x14ac:dyDescent="0.2">
      <c r="A129" s="89"/>
      <c r="D129" s="35">
        <f>300+100</f>
        <v>400</v>
      </c>
      <c r="E129" s="87">
        <f t="shared" ref="E129:E146" si="25">$B$135*EXP($B$134/($A$2*D129) )</f>
        <v>0</v>
      </c>
      <c r="F129" s="54">
        <f t="shared" ref="F129:F146" si="26">$B$135</f>
        <v>2</v>
      </c>
    </row>
    <row r="130" spans="1:10" ht="16.2" thickBot="1" x14ac:dyDescent="0.35">
      <c r="D130" s="35">
        <f t="shared" ref="D130:D146" si="27">D129+100</f>
        <v>500</v>
      </c>
      <c r="E130" s="87">
        <f t="shared" si="25"/>
        <v>0</v>
      </c>
      <c r="F130" s="54">
        <f t="shared" si="26"/>
        <v>2</v>
      </c>
    </row>
    <row r="131" spans="1:10" ht="15.6" x14ac:dyDescent="0.3">
      <c r="A131" s="90" t="s">
        <v>70</v>
      </c>
      <c r="B131" s="91">
        <v>-41.011797089300003</v>
      </c>
      <c r="D131" s="35">
        <f t="shared" si="27"/>
        <v>600</v>
      </c>
      <c r="E131" s="87">
        <f t="shared" si="25"/>
        <v>0</v>
      </c>
      <c r="F131" s="54">
        <f t="shared" si="26"/>
        <v>2</v>
      </c>
      <c r="H131" s="17"/>
      <c r="I131" s="18" t="s">
        <v>171</v>
      </c>
      <c r="J131" s="19" t="s">
        <v>131</v>
      </c>
    </row>
    <row r="132" spans="1:10" ht="18.600000000000001" thickBot="1" x14ac:dyDescent="0.35">
      <c r="A132" s="90" t="s">
        <v>71</v>
      </c>
      <c r="B132" s="182">
        <f>B131/(229400000000000000)</f>
        <v>-1.7877854005797734E-16</v>
      </c>
      <c r="D132" s="35">
        <f t="shared" si="27"/>
        <v>700</v>
      </c>
      <c r="E132" s="87">
        <f t="shared" si="25"/>
        <v>0</v>
      </c>
      <c r="F132" s="54">
        <f t="shared" si="26"/>
        <v>2</v>
      </c>
      <c r="H132" s="196" t="s">
        <v>172</v>
      </c>
      <c r="I132" s="197">
        <f>$I$5+$B$131</f>
        <v>-40.968962089300007</v>
      </c>
      <c r="J132" s="28">
        <f>$I$132*627.503</f>
        <v>-25708.146617922022</v>
      </c>
    </row>
    <row r="133" spans="1:10" ht="15.6" x14ac:dyDescent="0.3">
      <c r="A133" s="90" t="s">
        <v>72</v>
      </c>
      <c r="B133" s="90">
        <f>3.25263E-19</f>
        <v>3.2526300000000002E-19</v>
      </c>
      <c r="D133" s="35">
        <f t="shared" si="27"/>
        <v>800</v>
      </c>
      <c r="E133" s="87">
        <f t="shared" si="25"/>
        <v>0</v>
      </c>
      <c r="F133" s="54">
        <f t="shared" si="26"/>
        <v>2</v>
      </c>
    </row>
    <row r="134" spans="1:10" ht="18" x14ac:dyDescent="0.3">
      <c r="A134" s="90" t="s">
        <v>73</v>
      </c>
      <c r="B134" s="182">
        <f>B132+B133</f>
        <v>-1.7845327705797734E-16</v>
      </c>
      <c r="D134" s="35">
        <f t="shared" si="27"/>
        <v>900</v>
      </c>
      <c r="E134" s="87">
        <f t="shared" si="25"/>
        <v>0</v>
      </c>
      <c r="F134" s="54">
        <f t="shared" si="26"/>
        <v>2</v>
      </c>
    </row>
    <row r="135" spans="1:10" ht="18" x14ac:dyDescent="0.3">
      <c r="A135" s="90" t="s">
        <v>74</v>
      </c>
      <c r="B135" s="90">
        <v>2</v>
      </c>
      <c r="D135" s="35">
        <f t="shared" si="27"/>
        <v>1000</v>
      </c>
      <c r="E135" s="87">
        <f t="shared" si="25"/>
        <v>0</v>
      </c>
      <c r="F135" s="54">
        <f t="shared" si="26"/>
        <v>2</v>
      </c>
    </row>
    <row r="136" spans="1:10" ht="15.6" x14ac:dyDescent="0.3">
      <c r="A136" s="5" t="s">
        <v>75</v>
      </c>
      <c r="B136" s="53">
        <f>A2*D128</f>
        <v>4.1162588999999997E-21</v>
      </c>
      <c r="D136" s="35">
        <f t="shared" si="27"/>
        <v>1100</v>
      </c>
      <c r="E136" s="87">
        <f t="shared" si="25"/>
        <v>0</v>
      </c>
      <c r="F136" s="54">
        <f t="shared" si="26"/>
        <v>2</v>
      </c>
    </row>
    <row r="137" spans="1:10" ht="15.6" x14ac:dyDescent="0.3">
      <c r="D137" s="35">
        <f t="shared" si="27"/>
        <v>1200</v>
      </c>
      <c r="E137" s="87">
        <f t="shared" si="25"/>
        <v>0</v>
      </c>
      <c r="F137" s="54">
        <f t="shared" si="26"/>
        <v>2</v>
      </c>
    </row>
    <row r="138" spans="1:10" ht="15.6" x14ac:dyDescent="0.3">
      <c r="D138" s="35">
        <f t="shared" si="27"/>
        <v>1300</v>
      </c>
      <c r="E138" s="87">
        <f t="shared" si="25"/>
        <v>0</v>
      </c>
      <c r="F138" s="54">
        <f t="shared" si="26"/>
        <v>2</v>
      </c>
    </row>
    <row r="139" spans="1:10" ht="15.6" x14ac:dyDescent="0.3">
      <c r="D139" s="35">
        <f t="shared" si="27"/>
        <v>1400</v>
      </c>
      <c r="E139" s="87">
        <f t="shared" si="25"/>
        <v>0</v>
      </c>
      <c r="F139" s="54">
        <f t="shared" si="26"/>
        <v>2</v>
      </c>
    </row>
    <row r="140" spans="1:10" ht="15.6" x14ac:dyDescent="0.3">
      <c r="D140" s="35">
        <f t="shared" si="27"/>
        <v>1500</v>
      </c>
      <c r="E140" s="87">
        <f t="shared" si="25"/>
        <v>0</v>
      </c>
      <c r="F140" s="54">
        <f t="shared" si="26"/>
        <v>2</v>
      </c>
    </row>
    <row r="141" spans="1:10" ht="15.6" x14ac:dyDescent="0.3">
      <c r="D141" s="35">
        <f t="shared" si="27"/>
        <v>1600</v>
      </c>
      <c r="E141" s="87">
        <f t="shared" si="25"/>
        <v>0</v>
      </c>
      <c r="F141" s="54">
        <f t="shared" si="26"/>
        <v>2</v>
      </c>
    </row>
    <row r="142" spans="1:10" ht="15.6" x14ac:dyDescent="0.3">
      <c r="D142" s="35">
        <f t="shared" si="27"/>
        <v>1700</v>
      </c>
      <c r="E142" s="87">
        <f t="shared" si="25"/>
        <v>0</v>
      </c>
      <c r="F142" s="54">
        <f t="shared" si="26"/>
        <v>2</v>
      </c>
    </row>
    <row r="143" spans="1:10" ht="15.6" x14ac:dyDescent="0.3">
      <c r="D143" s="35">
        <f t="shared" si="27"/>
        <v>1800</v>
      </c>
      <c r="E143" s="87">
        <f t="shared" si="25"/>
        <v>0</v>
      </c>
      <c r="F143" s="54">
        <f t="shared" si="26"/>
        <v>2</v>
      </c>
    </row>
    <row r="144" spans="1:10" ht="15.6" x14ac:dyDescent="0.3">
      <c r="D144" s="35">
        <f t="shared" si="27"/>
        <v>1900</v>
      </c>
      <c r="E144" s="87">
        <f t="shared" si="25"/>
        <v>0</v>
      </c>
      <c r="F144" s="54">
        <f t="shared" si="26"/>
        <v>2</v>
      </c>
    </row>
    <row r="145" spans="4:13" ht="15.6" x14ac:dyDescent="0.3">
      <c r="D145" s="35">
        <f t="shared" si="27"/>
        <v>2000</v>
      </c>
      <c r="E145" s="87">
        <f t="shared" si="25"/>
        <v>0</v>
      </c>
      <c r="F145" s="54">
        <f t="shared" si="26"/>
        <v>2</v>
      </c>
    </row>
    <row r="146" spans="4:13" ht="16.2" thickBot="1" x14ac:dyDescent="0.35">
      <c r="D146" s="26">
        <f t="shared" si="27"/>
        <v>2100</v>
      </c>
      <c r="E146" s="93">
        <f t="shared" si="25"/>
        <v>0</v>
      </c>
      <c r="F146" s="25">
        <f t="shared" si="26"/>
        <v>2</v>
      </c>
    </row>
    <row r="151" spans="4:13" ht="15" thickBot="1" x14ac:dyDescent="0.35">
      <c r="H151" s="5" t="s">
        <v>76</v>
      </c>
    </row>
    <row r="152" spans="4:13" ht="20.399999999999999" x14ac:dyDescent="0.3">
      <c r="D152" s="94" t="s">
        <v>47</v>
      </c>
      <c r="E152" s="95" t="s">
        <v>77</v>
      </c>
      <c r="F152" s="96" t="s">
        <v>78</v>
      </c>
      <c r="G152" s="96" t="s">
        <v>79</v>
      </c>
      <c r="H152" s="96" t="s">
        <v>80</v>
      </c>
      <c r="I152" s="97" t="s">
        <v>81</v>
      </c>
    </row>
    <row r="153" spans="4:13" ht="15.6" x14ac:dyDescent="0.3">
      <c r="D153" s="35">
        <f>298.15</f>
        <v>298.14999999999998</v>
      </c>
      <c r="E153" s="98">
        <f xml:space="preserve"> ( SQRT($B$2)/$B$6) * SQRT(  (D153*D153*D153) / ($E$11 * $F$11 * $G$11 ) )</f>
        <v>408.4094634748372</v>
      </c>
      <c r="F153" s="92">
        <f>2</f>
        <v>2</v>
      </c>
      <c r="G153" s="53">
        <f xml:space="preserve"> ( (2*$B$2*$E$2*$A$2*D153)/($C$2*$C$2) )^(1.5) * ($A$2*D153) /$F$83</f>
        <v>2762967.0290315906</v>
      </c>
      <c r="H153" s="53">
        <f>PRODUCT(E54:E65)</f>
        <v>1.1760316271372253</v>
      </c>
      <c r="I153" s="99">
        <f>PRODUCT(E153:H153)</f>
        <v>2654119643.7960896</v>
      </c>
      <c r="J153" s="63"/>
      <c r="K153" s="86"/>
      <c r="M153" s="53"/>
    </row>
    <row r="154" spans="4:13" ht="15.6" x14ac:dyDescent="0.3">
      <c r="D154" s="35">
        <f>300+100</f>
        <v>400</v>
      </c>
      <c r="E154" s="98">
        <f t="shared" ref="E154:E171" si="28" xml:space="preserve"> ( SQRT($B$2)/$B$6) * SQRT(  (D154*D154*D154) / ($E$11 * $F$11 * $G$11 ) )</f>
        <v>634.6489462087884</v>
      </c>
      <c r="F154" s="92">
        <f>2</f>
        <v>2</v>
      </c>
      <c r="G154" s="53">
        <f t="shared" ref="G154:G171" si="29" xml:space="preserve"> ( (2*$B$2*$E$2*$A$2*D154)/($C$2*$C$2) )^(1.5) * ($A$2*D154) /$F$83</f>
        <v>5760214.3737771697</v>
      </c>
      <c r="H154" s="53">
        <f>PRODUCT(F54:F65)</f>
        <v>1.4526822489684323</v>
      </c>
      <c r="I154" s="65">
        <f>PRODUCT(E154:H154)</f>
        <v>10621181618.653322</v>
      </c>
      <c r="M154" s="100"/>
    </row>
    <row r="155" spans="4:13" ht="15.6" x14ac:dyDescent="0.3">
      <c r="D155" s="35">
        <f t="shared" ref="D155:D171" si="30">D154+100</f>
        <v>500</v>
      </c>
      <c r="E155" s="98">
        <f t="shared" si="28"/>
        <v>886.94886598216124</v>
      </c>
      <c r="F155" s="92">
        <f>2</f>
        <v>2</v>
      </c>
      <c r="G155" s="53">
        <f t="shared" si="29"/>
        <v>10062680.394325944</v>
      </c>
      <c r="H155" s="53">
        <f>PRODUCT(G54:G65)</f>
        <v>1.9064100702266744</v>
      </c>
      <c r="I155" s="65">
        <f>PRODUCT(E155:H155)</f>
        <v>34029736082.218159</v>
      </c>
      <c r="J155" s="5" t="s">
        <v>82</v>
      </c>
    </row>
    <row r="156" spans="4:13" ht="16.2" thickBot="1" x14ac:dyDescent="0.35">
      <c r="D156" s="35">
        <f t="shared" si="30"/>
        <v>600</v>
      </c>
      <c r="E156" s="98">
        <f t="shared" si="28"/>
        <v>1165.924563004935</v>
      </c>
      <c r="F156" s="92">
        <f>2</f>
        <v>2</v>
      </c>
      <c r="G156" s="53">
        <f t="shared" si="29"/>
        <v>15873284.277899453</v>
      </c>
      <c r="H156" s="53">
        <f>PRODUCT(H54:H65)</f>
        <v>2.6173441452305792</v>
      </c>
      <c r="I156" s="65">
        <f t="shared" ref="I156:I171" si="31">PRODUCT(E156:H156)</f>
        <v>96878648579.423233</v>
      </c>
    </row>
    <row r="157" spans="4:13" ht="16.2" thickBot="1" x14ac:dyDescent="0.35">
      <c r="D157" s="35">
        <f t="shared" si="30"/>
        <v>700</v>
      </c>
      <c r="E157" s="98">
        <f t="shared" si="28"/>
        <v>1469.2328713104548</v>
      </c>
      <c r="F157" s="92">
        <f>2</f>
        <v>2</v>
      </c>
      <c r="G157" s="53">
        <f t="shared" si="29"/>
        <v>23336395.05750823</v>
      </c>
      <c r="H157" s="53">
        <f>PRODUCT(I54:I65)</f>
        <v>3.7022353534548609</v>
      </c>
      <c r="I157" s="65">
        <f t="shared" si="31"/>
        <v>253874115834.9888</v>
      </c>
      <c r="L157" s="16" t="s">
        <v>61</v>
      </c>
    </row>
    <row r="158" spans="4:13" ht="15.6" x14ac:dyDescent="0.3">
      <c r="D158" s="35">
        <f t="shared" si="30"/>
        <v>800</v>
      </c>
      <c r="E158" s="98">
        <f t="shared" si="28"/>
        <v>1795.0582941485227</v>
      </c>
      <c r="F158" s="92">
        <f>2</f>
        <v>2</v>
      </c>
      <c r="G158" s="53">
        <f t="shared" si="29"/>
        <v>32584693.158288561</v>
      </c>
      <c r="H158" s="53">
        <f>PRODUCT(J54:J65)</f>
        <v>5.3348450092747246</v>
      </c>
      <c r="I158" s="65">
        <f t="shared" si="31"/>
        <v>624085359794.104</v>
      </c>
      <c r="J158" s="79" t="s">
        <v>62</v>
      </c>
      <c r="K158" s="17" t="s">
        <v>83</v>
      </c>
      <c r="L158" s="80">
        <f>I153</f>
        <v>2654119643.7960896</v>
      </c>
    </row>
    <row r="159" spans="4:13" ht="16.2" thickBot="1" x14ac:dyDescent="0.35">
      <c r="D159" s="35">
        <f t="shared" si="30"/>
        <v>900</v>
      </c>
      <c r="E159" s="98">
        <f t="shared" si="28"/>
        <v>2141.9401934546604</v>
      </c>
      <c r="F159" s="92">
        <f>2</f>
        <v>2</v>
      </c>
      <c r="G159" s="53">
        <f t="shared" si="29"/>
        <v>43741627.900870442</v>
      </c>
      <c r="H159" s="53">
        <f>PRODUCT(K54:K65)</f>
        <v>7.7691703460152661</v>
      </c>
      <c r="I159" s="65">
        <f t="shared" si="31"/>
        <v>1455817453620.46</v>
      </c>
      <c r="J159" s="63" t="s">
        <v>64</v>
      </c>
      <c r="K159" s="26" t="s">
        <v>83</v>
      </c>
      <c r="L159" s="81">
        <v>2645970000</v>
      </c>
    </row>
    <row r="160" spans="4:13" ht="15.6" x14ac:dyDescent="0.3">
      <c r="D160" s="35">
        <f t="shared" si="30"/>
        <v>1000</v>
      </c>
      <c r="E160" s="98">
        <f t="shared" si="28"/>
        <v>2508.6702308068184</v>
      </c>
      <c r="F160" s="92">
        <f>2</f>
        <v>2</v>
      </c>
      <c r="G160" s="53">
        <f t="shared" si="29"/>
        <v>56923116.349926531</v>
      </c>
      <c r="H160" s="53">
        <f>PRODUCT(L54:L65)</f>
        <v>11.371423029560953</v>
      </c>
      <c r="I160" s="65">
        <f t="shared" si="31"/>
        <v>3247708606819.998</v>
      </c>
      <c r="L160" s="82" t="s">
        <v>58</v>
      </c>
    </row>
    <row r="161" spans="1:12" ht="15.6" x14ac:dyDescent="0.3">
      <c r="D161" s="35">
        <f t="shared" si="30"/>
        <v>1100</v>
      </c>
      <c r="E161" s="98">
        <f t="shared" si="28"/>
        <v>2894.2270887323721</v>
      </c>
      <c r="F161" s="92">
        <f>2</f>
        <v>2</v>
      </c>
      <c r="G161" s="53">
        <f t="shared" si="29"/>
        <v>72238776.392798007</v>
      </c>
      <c r="H161" s="53">
        <f>PRODUCT(M54:M65)</f>
        <v>16.66351800935044</v>
      </c>
      <c r="I161" s="65">
        <f t="shared" si="31"/>
        <v>6967864169373.5713</v>
      </c>
      <c r="L161" s="83">
        <f>ABS(L158-L159)/L159</f>
        <v>3.0800212383699172E-3</v>
      </c>
    </row>
    <row r="162" spans="1:12" ht="15.6" x14ac:dyDescent="0.3">
      <c r="D162" s="35">
        <f t="shared" si="30"/>
        <v>1200</v>
      </c>
      <c r="E162" s="98">
        <f t="shared" si="28"/>
        <v>3297.7326594110059</v>
      </c>
      <c r="F162" s="92">
        <f>2</f>
        <v>2</v>
      </c>
      <c r="G162" s="53">
        <f t="shared" si="29"/>
        <v>89792855.620836362</v>
      </c>
      <c r="H162" s="53">
        <f>PRODUCT(N54:N65)</f>
        <v>24.38149760093075</v>
      </c>
      <c r="I162" s="65">
        <f t="shared" si="31"/>
        <v>14439348633460.129</v>
      </c>
      <c r="J162" s="5" t="s">
        <v>84</v>
      </c>
    </row>
    <row r="163" spans="1:12" ht="15.6" x14ac:dyDescent="0.3">
      <c r="D163" s="35">
        <f t="shared" si="30"/>
        <v>1300</v>
      </c>
      <c r="E163" s="98">
        <f t="shared" si="28"/>
        <v>3718.4213908968313</v>
      </c>
      <c r="F163" s="92">
        <f>2</f>
        <v>2</v>
      </c>
      <c r="G163" s="53">
        <f t="shared" si="29"/>
        <v>109684951.86599311</v>
      </c>
      <c r="H163" s="53">
        <f>PRODUCT(O54:O65)</f>
        <v>35.553158114289644</v>
      </c>
      <c r="I163" s="65">
        <f t="shared" si="31"/>
        <v>29001057452459.832</v>
      </c>
      <c r="J163" s="86">
        <f>L158/L159</f>
        <v>1.0030800212383699</v>
      </c>
    </row>
    <row r="164" spans="1:12" ht="15.6" x14ac:dyDescent="0.3">
      <c r="D164" s="35">
        <f t="shared" si="30"/>
        <v>1400</v>
      </c>
      <c r="E164" s="98">
        <f t="shared" si="28"/>
        <v>4155.6181057832182</v>
      </c>
      <c r="F164" s="92">
        <f>2</f>
        <v>2</v>
      </c>
      <c r="G164" s="53">
        <f t="shared" si="29"/>
        <v>132010585.54889879</v>
      </c>
      <c r="H164" s="53">
        <f>PRODUCT(P54:P65)</f>
        <v>51.600161428730729</v>
      </c>
      <c r="I164" s="65">
        <f t="shared" si="31"/>
        <v>56614208915430.961</v>
      </c>
    </row>
    <row r="165" spans="1:12" ht="15.6" x14ac:dyDescent="0.3">
      <c r="D165" s="35">
        <f t="shared" si="30"/>
        <v>1500</v>
      </c>
      <c r="E165" s="98">
        <f t="shared" si="28"/>
        <v>4608.721498790107</v>
      </c>
      <c r="F165" s="92">
        <f>2</f>
        <v>2</v>
      </c>
      <c r="G165" s="53">
        <f t="shared" si="29"/>
        <v>156861663.32969725</v>
      </c>
      <c r="H165" s="53">
        <f>PRODUCT(Q54:Q65)</f>
        <v>74.471115985340759</v>
      </c>
      <c r="I165" s="65">
        <f t="shared" si="31"/>
        <v>107675063957605.81</v>
      </c>
    </row>
    <row r="166" spans="1:12" ht="15.6" x14ac:dyDescent="0.3">
      <c r="D166" s="35">
        <f t="shared" si="30"/>
        <v>1600</v>
      </c>
      <c r="E166" s="98">
        <f t="shared" si="28"/>
        <v>5077.1915696703072</v>
      </c>
      <c r="F166" s="92">
        <f>2</f>
        <v>2</v>
      </c>
      <c r="G166" s="53">
        <f t="shared" si="29"/>
        <v>184326859.96087041</v>
      </c>
      <c r="H166" s="53">
        <f>PRODUCT(R54:R65)</f>
        <v>106.81352407002446</v>
      </c>
      <c r="I166" s="65">
        <f t="shared" si="31"/>
        <v>199925603039568.41</v>
      </c>
    </row>
    <row r="167" spans="1:12" ht="15.6" x14ac:dyDescent="0.3">
      <c r="D167" s="35">
        <f t="shared" si="30"/>
        <v>1700</v>
      </c>
      <c r="E167" s="98">
        <f t="shared" si="28"/>
        <v>5560.5398608622718</v>
      </c>
      <c r="F167" s="92">
        <f>2</f>
        <v>2</v>
      </c>
      <c r="G167" s="53">
        <f t="shared" si="29"/>
        <v>214491937.23759905</v>
      </c>
      <c r="H167" s="53">
        <f>PRODUCT(S54:S65)</f>
        <v>152.19414243342183</v>
      </c>
      <c r="I167" s="65">
        <f t="shared" si="31"/>
        <v>363041157773590.75</v>
      </c>
    </row>
    <row r="168" spans="1:12" ht="15.6" x14ac:dyDescent="0.3">
      <c r="D168" s="35">
        <f t="shared" si="30"/>
        <v>1800</v>
      </c>
      <c r="E168" s="98">
        <f t="shared" si="28"/>
        <v>6058.3217427512636</v>
      </c>
      <c r="F168" s="92">
        <f>2</f>
        <v>2</v>
      </c>
      <c r="G168" s="53">
        <f t="shared" si="29"/>
        <v>247440013.67075413</v>
      </c>
      <c r="H168" s="53">
        <f>PRODUCT(T54:T65)</f>
        <v>215.37922128687896</v>
      </c>
      <c r="I168" s="65">
        <f t="shared" si="31"/>
        <v>645737581815161.75</v>
      </c>
    </row>
    <row r="169" spans="1:12" ht="15.6" x14ac:dyDescent="0.3">
      <c r="D169" s="35">
        <f t="shared" si="30"/>
        <v>1900</v>
      </c>
      <c r="E169" s="98">
        <f t="shared" si="28"/>
        <v>6570.1302252281366</v>
      </c>
      <c r="F169" s="92">
        <f>2</f>
        <v>2</v>
      </c>
      <c r="G169" s="53">
        <f t="shared" si="29"/>
        <v>283251794.93067282</v>
      </c>
      <c r="H169" s="53">
        <f>PRODUCT(U54:U65)</f>
        <v>302.68830490871159</v>
      </c>
      <c r="I169" s="65">
        <f>PRODUCT(E169:H169)</f>
        <v>1126606584744934</v>
      </c>
    </row>
    <row r="170" spans="1:12" ht="15.6" x14ac:dyDescent="0.3">
      <c r="D170" s="35">
        <f t="shared" si="30"/>
        <v>2000</v>
      </c>
      <c r="E170" s="98">
        <f t="shared" si="28"/>
        <v>7095.5909278572899</v>
      </c>
      <c r="F170" s="92">
        <f>2</f>
        <v>2</v>
      </c>
      <c r="G170" s="53">
        <f t="shared" si="29"/>
        <v>322005772.61843193</v>
      </c>
      <c r="H170" s="53">
        <f>PRODUCT(V54:V65)</f>
        <v>422.43783025997158</v>
      </c>
      <c r="I170" s="65">
        <f t="shared" si="31"/>
        <v>1930389853393255.5</v>
      </c>
    </row>
    <row r="171" spans="1:12" ht="16.2" thickBot="1" x14ac:dyDescent="0.35">
      <c r="D171" s="26">
        <f t="shared" si="30"/>
        <v>2100</v>
      </c>
      <c r="E171" s="102">
        <f t="shared" si="28"/>
        <v>7634.357943780039</v>
      </c>
      <c r="F171" s="103">
        <f>2</f>
        <v>2</v>
      </c>
      <c r="G171" s="57">
        <f t="shared" si="29"/>
        <v>363778397.14593542</v>
      </c>
      <c r="H171" s="57">
        <f>PRODUCT(W54:W65)</f>
        <v>585.49368541396348</v>
      </c>
      <c r="I171" s="67">
        <f t="shared" si="31"/>
        <v>3252083100927444</v>
      </c>
    </row>
    <row r="172" spans="1:12" x14ac:dyDescent="0.3">
      <c r="H172" s="53"/>
    </row>
    <row r="174" spans="1:12" ht="15" thickBot="1" x14ac:dyDescent="0.35">
      <c r="A174" s="5" t="s">
        <v>85</v>
      </c>
      <c r="B174" s="208" t="s">
        <v>86</v>
      </c>
      <c r="C174" s="208"/>
      <c r="D174" s="208"/>
      <c r="E174" s="208"/>
      <c r="F174" s="208"/>
      <c r="G174" s="104"/>
      <c r="H174" s="208" t="s">
        <v>87</v>
      </c>
      <c r="I174" s="208"/>
      <c r="J174" s="208"/>
      <c r="K174" s="208"/>
    </row>
    <row r="175" spans="1:12" ht="18" x14ac:dyDescent="0.3">
      <c r="A175" s="5" t="s">
        <v>88</v>
      </c>
      <c r="B175" s="95" t="s">
        <v>47</v>
      </c>
      <c r="C175" s="16" t="s">
        <v>89</v>
      </c>
      <c r="D175" s="16" t="s">
        <v>37</v>
      </c>
      <c r="E175" s="16" t="s">
        <v>38</v>
      </c>
      <c r="F175" s="16" t="s">
        <v>90</v>
      </c>
      <c r="G175" s="104" t="s">
        <v>91</v>
      </c>
      <c r="H175" s="95" t="s">
        <v>47</v>
      </c>
      <c r="I175" s="16" t="s">
        <v>89</v>
      </c>
      <c r="J175" s="16" t="s">
        <v>37</v>
      </c>
      <c r="K175" s="16" t="s">
        <v>38</v>
      </c>
      <c r="L175" s="16" t="s">
        <v>90</v>
      </c>
    </row>
    <row r="176" spans="1:12" ht="15" thickBot="1" x14ac:dyDescent="0.35">
      <c r="B176" s="35">
        <f>298.15</f>
        <v>298.14999999999998</v>
      </c>
      <c r="C176" s="55">
        <f>3/2*$D$2*B176</f>
        <v>3718.4397401999995</v>
      </c>
      <c r="D176" s="55">
        <f t="shared" ref="D176:D194" si="32">3/2*$D$2*B176</f>
        <v>3718.4397401999995</v>
      </c>
      <c r="E176" s="55" cm="1">
        <f t="array" ref="E176">$D$2*SUM( ($B$12:$B$17)/(EXP($B$12:$B$17/B176)-1) + 0.5*$B$12:$B$17)</f>
        <v>36805.576361696199</v>
      </c>
      <c r="F176" s="58">
        <v>0</v>
      </c>
      <c r="H176" s="132">
        <f>298.15</f>
        <v>298.14999999999998</v>
      </c>
      <c r="I176" s="105">
        <f>3/2*$D$2*H176 /4184</f>
        <v>0.8887284273900572</v>
      </c>
      <c r="J176" s="105">
        <f>3/2*$D$2*H176 / 4184</f>
        <v>0.8887284273900572</v>
      </c>
      <c r="K176" s="105" cm="1">
        <f t="array" ref="K176">$D$2*SUM( ($B$12:$B$17)/(EXP($B$12:$B$17/B176)-1) + 0.5*$B$12:$B$17) / 4184</f>
        <v>8.7967438722983271</v>
      </c>
      <c r="L176" s="106">
        <f xml:space="preserve"> F176/4184</f>
        <v>0</v>
      </c>
    </row>
    <row r="177" spans="2:14" x14ac:dyDescent="0.3">
      <c r="B177" s="35">
        <f>300+100</f>
        <v>400</v>
      </c>
      <c r="C177" s="55">
        <f t="shared" ref="C177:C194" si="33">3/2*$D$2*B177</f>
        <v>4988.6831999999995</v>
      </c>
      <c r="D177" s="55">
        <f t="shared" si="32"/>
        <v>4988.6831999999995</v>
      </c>
      <c r="E177" s="55" cm="1">
        <f t="array" ref="E177">$D$2*SUM( ($B$12:$B$17)/(EXP($B$12:$B$17/B177)-1) + 0.5*$B$12:$B$17)</f>
        <v>38524.625889611962</v>
      </c>
      <c r="H177" s="35">
        <f>300+100</f>
        <v>400</v>
      </c>
      <c r="I177" s="55">
        <f t="shared" ref="I177:I194" si="34">3/2*$D$2*H177 /4184</f>
        <v>1.1923239005736137</v>
      </c>
      <c r="J177" s="55">
        <f t="shared" ref="J177:J194" si="35">3/2*$D$2*H177 / 4184</f>
        <v>1.1923239005736137</v>
      </c>
      <c r="K177" s="55" cm="1">
        <f t="array" ref="K177">$D$2*SUM( ($B$12:$B$17)/(EXP($B$12:$B$17/B177)-1) + 0.5*$B$12:$B$17) / 4184</f>
        <v>9.2076065701749439</v>
      </c>
      <c r="M177" s="212" t="s">
        <v>92</v>
      </c>
      <c r="N177" s="212"/>
    </row>
    <row r="178" spans="2:14" ht="18.600000000000001" thickBot="1" x14ac:dyDescent="0.35">
      <c r="B178" s="35">
        <f t="shared" ref="B178:B194" si="36">B177+100</f>
        <v>500</v>
      </c>
      <c r="C178" s="55">
        <f t="shared" si="33"/>
        <v>6235.8539999999994</v>
      </c>
      <c r="D178" s="55">
        <f t="shared" si="32"/>
        <v>6235.8539999999994</v>
      </c>
      <c r="E178" s="55" cm="1">
        <f t="array" ref="E178">$D$2*SUM( ($B$12:$B$17)/(EXP($B$12:$B$17/B178)-1) + 0.5*$B$12:$B$17)</f>
        <v>40906.593040215601</v>
      </c>
      <c r="H178" s="35">
        <f t="shared" ref="H178:H194" si="37">H177+100</f>
        <v>500</v>
      </c>
      <c r="I178" s="55">
        <f t="shared" si="34"/>
        <v>1.490404875717017</v>
      </c>
      <c r="J178" s="55">
        <f t="shared" si="35"/>
        <v>1.490404875717017</v>
      </c>
      <c r="K178" s="55" cm="1">
        <f t="array" ref="K178">$D$2*SUM( ($B$12:$B$17)/(EXP($B$12:$B$17/B178)-1) + 0.5*$B$12:$B$17) / 4184</f>
        <v>9.7769103824607075</v>
      </c>
      <c r="M178" s="213" t="s">
        <v>93</v>
      </c>
      <c r="N178" s="213"/>
    </row>
    <row r="179" spans="2:14" x14ac:dyDescent="0.3">
      <c r="B179" s="35">
        <f t="shared" si="36"/>
        <v>600</v>
      </c>
      <c r="C179" s="55">
        <f t="shared" si="33"/>
        <v>7483.0248000000001</v>
      </c>
      <c r="D179" s="55">
        <f t="shared" si="32"/>
        <v>7483.0248000000001</v>
      </c>
      <c r="E179" s="55" cm="1">
        <f t="array" ref="E179">$D$2*SUM( ($B$12:$B$17)/(EXP($B$12:$B$17/B179)-1) + 0.5*$B$12:$B$17)</f>
        <v>43839.941754604828</v>
      </c>
      <c r="H179" s="35">
        <f t="shared" si="37"/>
        <v>600</v>
      </c>
      <c r="I179" s="55">
        <f t="shared" si="34"/>
        <v>1.7884858508604207</v>
      </c>
      <c r="J179" s="55">
        <f t="shared" si="35"/>
        <v>1.7884858508604207</v>
      </c>
      <c r="K179" s="55" cm="1">
        <f t="array" ref="K179">$D$2*SUM( ($B$12:$B$17)/(EXP($B$12:$B$17/B179)-1) + 0.5*$B$12:$B$17) / 4184</f>
        <v>10.477997551291786</v>
      </c>
      <c r="M179" s="133"/>
      <c r="N179" s="134" t="s">
        <v>28</v>
      </c>
    </row>
    <row r="180" spans="2:14" x14ac:dyDescent="0.3">
      <c r="B180" s="35">
        <f t="shared" si="36"/>
        <v>700</v>
      </c>
      <c r="C180" s="55">
        <f t="shared" si="33"/>
        <v>8730.1955999999991</v>
      </c>
      <c r="D180" s="55">
        <f t="shared" si="32"/>
        <v>8730.1955999999991</v>
      </c>
      <c r="E180" s="55" cm="1">
        <f t="array" ref="E180">$D$2*SUM( ($B$12:$B$17)/(EXP($B$12:$B$17/B180)-1) + 0.5*$B$12:$B$17)</f>
        <v>47194.03871102105</v>
      </c>
      <c r="H180" s="35">
        <f t="shared" si="37"/>
        <v>700</v>
      </c>
      <c r="I180" s="55">
        <f t="shared" si="34"/>
        <v>2.0865668260038239</v>
      </c>
      <c r="J180" s="55">
        <f t="shared" si="35"/>
        <v>2.0865668260038239</v>
      </c>
      <c r="K180" s="55" cm="1">
        <f t="array" ref="K180">$D$2*SUM( ($B$12:$B$17)/(EXP($B$12:$B$17/B180)-1) + 0.5*$B$12:$B$17) / 4184</f>
        <v>11.279645963437154</v>
      </c>
      <c r="M180" s="132"/>
      <c r="N180" s="135" t="s">
        <v>31</v>
      </c>
    </row>
    <row r="181" spans="2:14" x14ac:dyDescent="0.3">
      <c r="B181" s="35">
        <f t="shared" si="36"/>
        <v>800</v>
      </c>
      <c r="C181" s="55">
        <f t="shared" si="33"/>
        <v>9977.366399999999</v>
      </c>
      <c r="D181" s="55">
        <f t="shared" si="32"/>
        <v>9977.366399999999</v>
      </c>
      <c r="E181" s="55" cm="1">
        <f t="array" ref="E181">$D$2*SUM( ($B$12:$B$17)/(EXP($B$12:$B$17/B181)-1) + 0.5*$B$12:$B$17)</f>
        <v>50865.070646274755</v>
      </c>
      <c r="H181" s="35">
        <f t="shared" si="37"/>
        <v>800</v>
      </c>
      <c r="I181" s="55">
        <f t="shared" si="34"/>
        <v>2.3846478011472274</v>
      </c>
      <c r="J181" s="55">
        <f t="shared" si="35"/>
        <v>2.3846478011472274</v>
      </c>
      <c r="K181" s="55" cm="1">
        <f t="array" ref="K181">$D$2*SUM( ($B$12:$B$17)/(EXP($B$12:$B$17/B181)-1) + 0.5*$B$12:$B$17) / 4184</f>
        <v>12.157043653507351</v>
      </c>
      <c r="M181" s="132" t="s">
        <v>33</v>
      </c>
      <c r="N181" s="136">
        <v>20.623999999999999</v>
      </c>
    </row>
    <row r="182" spans="2:14" x14ac:dyDescent="0.3">
      <c r="B182" s="35">
        <f t="shared" si="36"/>
        <v>900</v>
      </c>
      <c r="C182" s="55">
        <f t="shared" si="33"/>
        <v>11224.537199999999</v>
      </c>
      <c r="D182" s="55">
        <f t="shared" si="32"/>
        <v>11224.537199999999</v>
      </c>
      <c r="E182" s="55" cm="1">
        <f t="array" ref="E182">$D$2*SUM( ($B$12:$B$17)/(EXP($B$12:$B$17/B182)-1) + 0.5*$B$12:$B$17)</f>
        <v>54775.866285290882</v>
      </c>
      <c r="H182" s="35">
        <f t="shared" si="37"/>
        <v>900</v>
      </c>
      <c r="I182" s="55">
        <f t="shared" si="34"/>
        <v>2.6827287762906309</v>
      </c>
      <c r="J182" s="55">
        <f t="shared" si="35"/>
        <v>2.6827287762906309</v>
      </c>
      <c r="K182" s="55" cm="1">
        <f t="array" ref="K182">$D$2*SUM( ($B$12:$B$17)/(EXP($B$12:$B$17/B182)-1) + 0.5*$B$12:$B$17) / 4184</f>
        <v>13.091746244094379</v>
      </c>
      <c r="M182" s="132" t="s">
        <v>34</v>
      </c>
      <c r="N182" s="136">
        <v>0</v>
      </c>
    </row>
    <row r="183" spans="2:14" x14ac:dyDescent="0.3">
      <c r="B183" s="35">
        <f t="shared" si="36"/>
        <v>1000</v>
      </c>
      <c r="C183" s="55">
        <f t="shared" si="33"/>
        <v>12471.707999999999</v>
      </c>
      <c r="D183" s="55">
        <f t="shared" si="32"/>
        <v>12471.707999999999</v>
      </c>
      <c r="E183" s="55" cm="1">
        <f t="array" ref="E183">$D$2*SUM( ($B$12:$B$17)/(EXP($B$12:$B$17/B183)-1) + 0.5*$B$12:$B$17)</f>
        <v>58870.150077168</v>
      </c>
      <c r="H183" s="35">
        <f t="shared" si="37"/>
        <v>1000</v>
      </c>
      <c r="I183" s="55">
        <f t="shared" si="34"/>
        <v>2.9808097514340339</v>
      </c>
      <c r="J183" s="55">
        <f t="shared" si="35"/>
        <v>2.9808097514340339</v>
      </c>
      <c r="K183" s="55" cm="1">
        <f t="array" ref="K183">$D$2*SUM( ($B$12:$B$17)/(EXP($B$12:$B$17/B183)-1) + 0.5*$B$12:$B$17) / 4184</f>
        <v>14.07030355572849</v>
      </c>
      <c r="M183" s="132" t="s">
        <v>36</v>
      </c>
      <c r="N183" s="136">
        <v>0.88900000000000001</v>
      </c>
    </row>
    <row r="184" spans="2:14" x14ac:dyDescent="0.3">
      <c r="B184" s="35">
        <f t="shared" si="36"/>
        <v>1100</v>
      </c>
      <c r="C184" s="55">
        <f t="shared" si="33"/>
        <v>13718.8788</v>
      </c>
      <c r="D184" s="55">
        <f t="shared" si="32"/>
        <v>13718.8788</v>
      </c>
      <c r="E184" s="55" cm="1">
        <f t="array" ref="E184">$D$2*SUM( ($B$12:$B$17)/(EXP($B$12:$B$17/B184)-1) + 0.5*$B$12:$B$17)</f>
        <v>63106.851032648832</v>
      </c>
      <c r="H184" s="35">
        <f t="shared" si="37"/>
        <v>1100</v>
      </c>
      <c r="I184" s="55">
        <f t="shared" si="34"/>
        <v>3.2788907265774379</v>
      </c>
      <c r="J184" s="55">
        <f t="shared" si="35"/>
        <v>3.2788907265774379</v>
      </c>
      <c r="K184" s="55" cm="1">
        <f t="array" ref="K184">$D$2*SUM( ($B$12:$B$17)/(EXP($B$12:$B$17/B184)-1) + 0.5*$B$12:$B$17) / 4184</f>
        <v>15.082899386388345</v>
      </c>
      <c r="M184" s="132" t="s">
        <v>37</v>
      </c>
      <c r="N184" s="136">
        <v>0.88900000000000001</v>
      </c>
    </row>
    <row r="185" spans="2:14" x14ac:dyDescent="0.3">
      <c r="B185" s="35">
        <f t="shared" si="36"/>
        <v>1200</v>
      </c>
      <c r="C185" s="55">
        <f t="shared" si="33"/>
        <v>14966.0496</v>
      </c>
      <c r="D185" s="55">
        <f t="shared" si="32"/>
        <v>14966.0496</v>
      </c>
      <c r="E185" s="55" cm="1">
        <f t="array" ref="E185">$D$2*SUM( ($B$12:$B$17)/(EXP($B$12:$B$17/B185)-1) + 0.5*$B$12:$B$17)</f>
        <v>67455.711201140453</v>
      </c>
      <c r="H185" s="35">
        <f t="shared" si="37"/>
        <v>1200</v>
      </c>
      <c r="I185" s="55">
        <f t="shared" si="34"/>
        <v>3.5769717017208413</v>
      </c>
      <c r="J185" s="55">
        <f t="shared" si="35"/>
        <v>3.5769717017208413</v>
      </c>
      <c r="K185" s="55" cm="1">
        <f t="array" ref="K185">$D$2*SUM( ($B$12:$B$17)/(EXP($B$12:$B$17/B185)-1) + 0.5*$B$12:$B$17) / 4184</f>
        <v>16.122301912318463</v>
      </c>
      <c r="M185" s="132" t="s">
        <v>38</v>
      </c>
      <c r="N185" s="136">
        <v>18.846</v>
      </c>
    </row>
    <row r="186" spans="2:14" ht="15" thickBot="1" x14ac:dyDescent="0.35">
      <c r="B186" s="35">
        <f t="shared" si="36"/>
        <v>1300</v>
      </c>
      <c r="C186" s="55">
        <f t="shared" si="33"/>
        <v>16213.2204</v>
      </c>
      <c r="D186" s="55">
        <f t="shared" si="32"/>
        <v>16213.2204</v>
      </c>
      <c r="E186" s="55" cm="1">
        <f t="array" ref="E186">$D$2*SUM( ($B$12:$B$17)/(EXP($B$12:$B$17/B186)-1) + 0.5*$B$12:$B$17)</f>
        <v>71894.149163059483</v>
      </c>
      <c r="H186" s="35">
        <f t="shared" si="37"/>
        <v>1300</v>
      </c>
      <c r="I186" s="55">
        <f t="shared" si="34"/>
        <v>3.8750526768642448</v>
      </c>
      <c r="J186" s="55">
        <f t="shared" si="35"/>
        <v>3.8750526768642448</v>
      </c>
      <c r="K186" s="55" cm="1">
        <f t="array" ref="K186">$D$2*SUM( ($B$12:$B$17)/(EXP($B$12:$B$17/B186)-1) + 0.5*$B$12:$B$17) / 4184</f>
        <v>17.18311404470829</v>
      </c>
      <c r="M186" s="137" t="s">
        <v>108</v>
      </c>
      <c r="N186" s="138">
        <v>0.88100000000000001</v>
      </c>
    </row>
    <row r="187" spans="2:14" x14ac:dyDescent="0.3">
      <c r="B187" s="35">
        <f t="shared" si="36"/>
        <v>1400</v>
      </c>
      <c r="C187" s="55">
        <f t="shared" si="33"/>
        <v>17460.391199999998</v>
      </c>
      <c r="D187" s="55">
        <f t="shared" si="32"/>
        <v>17460.391199999998</v>
      </c>
      <c r="E187" s="55" cm="1">
        <f t="array" ref="E187">$D$2*SUM( ($B$12:$B$17)/(EXP($B$12:$B$17/B187)-1) + 0.5*$B$12:$B$17)</f>
        <v>76405.074649375121</v>
      </c>
      <c r="H187" s="35">
        <f t="shared" si="37"/>
        <v>1400</v>
      </c>
      <c r="I187" s="55">
        <f t="shared" si="34"/>
        <v>4.1731336520076479</v>
      </c>
      <c r="J187" s="55">
        <f t="shared" si="35"/>
        <v>4.1731336520076479</v>
      </c>
      <c r="K187" s="55" cm="1">
        <f t="array" ref="K187">$D$2*SUM( ($B$12:$B$17)/(EXP($B$12:$B$17/B187)-1) + 0.5*$B$12:$B$17) / 4184</f>
        <v>18.261251111227324</v>
      </c>
    </row>
    <row r="188" spans="2:14" ht="15" thickBot="1" x14ac:dyDescent="0.35">
      <c r="B188" s="35">
        <f t="shared" si="36"/>
        <v>1500</v>
      </c>
      <c r="C188" s="55">
        <f t="shared" si="33"/>
        <v>18707.561999999998</v>
      </c>
      <c r="D188" s="55">
        <f t="shared" si="32"/>
        <v>18707.561999999998</v>
      </c>
      <c r="E188" s="55" cm="1">
        <f t="array" ref="E188">$D$2*SUM( ($B$12:$B$17)/(EXP($B$12:$B$17/B188)-1) + 0.5*$B$12:$B$17)</f>
        <v>80975.371218253364</v>
      </c>
      <c r="H188" s="35">
        <f t="shared" si="37"/>
        <v>1500</v>
      </c>
      <c r="I188" s="55">
        <f t="shared" si="34"/>
        <v>4.4712146271510509</v>
      </c>
      <c r="J188" s="55">
        <f t="shared" si="35"/>
        <v>4.4712146271510509</v>
      </c>
      <c r="K188" s="55" cm="1">
        <f t="array" ref="K188">$D$2*SUM( ($B$12:$B$17)/(EXP($B$12:$B$17/B188)-1) + 0.5*$B$12:$B$17) / 4184</f>
        <v>19.353578207039522</v>
      </c>
    </row>
    <row r="189" spans="2:14" ht="15" thickBot="1" x14ac:dyDescent="0.35">
      <c r="B189" s="35">
        <f t="shared" si="36"/>
        <v>1600</v>
      </c>
      <c r="C189" s="55">
        <f t="shared" si="33"/>
        <v>19954.732799999998</v>
      </c>
      <c r="D189" s="55">
        <f t="shared" si="32"/>
        <v>19954.732799999998</v>
      </c>
      <c r="E189" s="55" cm="1">
        <f t="array" ref="E189">$D$2*SUM( ($B$12:$B$17)/(EXP($B$12:$B$17/B189)-1) + 0.5*$B$12:$B$17)</f>
        <v>85594.836402011439</v>
      </c>
      <c r="H189" s="35">
        <f t="shared" si="37"/>
        <v>1600</v>
      </c>
      <c r="I189" s="55">
        <f t="shared" si="34"/>
        <v>4.7692956022944548</v>
      </c>
      <c r="J189" s="55">
        <f t="shared" si="35"/>
        <v>4.7692956022944548</v>
      </c>
      <c r="K189" s="55" cm="1">
        <f t="array" ref="K189">$D$2*SUM( ($B$12:$B$17)/(EXP($B$12:$B$17/B189)-1) + 0.5*$B$12:$B$17) / 4184</f>
        <v>20.457656883845946</v>
      </c>
      <c r="M189" s="30" t="s">
        <v>94</v>
      </c>
      <c r="N189" s="107">
        <f>SUM(I176:L176)</f>
        <v>10.574200727078441</v>
      </c>
    </row>
    <row r="190" spans="2:14" x14ac:dyDescent="0.3">
      <c r="B190" s="35">
        <f t="shared" si="36"/>
        <v>1700</v>
      </c>
      <c r="C190" s="55">
        <f t="shared" si="33"/>
        <v>21201.903599999998</v>
      </c>
      <c r="D190" s="55">
        <f t="shared" si="32"/>
        <v>21201.903599999998</v>
      </c>
      <c r="E190" s="55" cm="1">
        <f t="array" ref="E190">$D$2*SUM( ($B$12:$B$17)/(EXP($B$12:$B$17/B190)-1) + 0.5*$B$12:$B$17)</f>
        <v>90255.433645406491</v>
      </c>
      <c r="H190" s="35">
        <f t="shared" si="37"/>
        <v>1700</v>
      </c>
      <c r="I190" s="55">
        <f t="shared" si="34"/>
        <v>5.0673765774378579</v>
      </c>
      <c r="J190" s="55">
        <f t="shared" si="35"/>
        <v>5.0673765774378579</v>
      </c>
      <c r="K190" s="55" cm="1">
        <f t="array" ref="K190">$D$2*SUM( ($B$12:$B$17)/(EXP($B$12:$B$17/B190)-1) + 0.5*$B$12:$B$17) / 4184</f>
        <v>21.571566358844763</v>
      </c>
    </row>
    <row r="191" spans="2:14" x14ac:dyDescent="0.3">
      <c r="B191" s="35">
        <f t="shared" si="36"/>
        <v>1800</v>
      </c>
      <c r="C191" s="55">
        <f t="shared" si="33"/>
        <v>22449.074399999998</v>
      </c>
      <c r="D191" s="55">
        <f t="shared" si="32"/>
        <v>22449.074399999998</v>
      </c>
      <c r="E191" s="55" cm="1">
        <f t="array" ref="E191">$D$2*SUM( ($B$12:$B$17)/(EXP($B$12:$B$17/B191)-1) + 0.5*$B$12:$B$17)</f>
        <v>94950.757768759606</v>
      </c>
      <c r="H191" s="35">
        <f t="shared" si="37"/>
        <v>1800</v>
      </c>
      <c r="I191" s="55">
        <f t="shared" si="34"/>
        <v>5.3654575525812618</v>
      </c>
      <c r="J191" s="55">
        <f t="shared" si="35"/>
        <v>5.3654575525812618</v>
      </c>
      <c r="K191" s="55" cm="1">
        <f t="array" ref="K191">$D$2*SUM( ($B$12:$B$17)/(EXP($B$12:$B$17/B191)-1) + 0.5*$B$12:$B$17) / 4184</f>
        <v>22.693775757351723</v>
      </c>
    </row>
    <row r="192" spans="2:14" x14ac:dyDescent="0.3">
      <c r="B192" s="35">
        <f t="shared" si="36"/>
        <v>1900</v>
      </c>
      <c r="C192" s="55">
        <f t="shared" si="33"/>
        <v>23696.245199999998</v>
      </c>
      <c r="D192" s="55">
        <f t="shared" si="32"/>
        <v>23696.245199999998</v>
      </c>
      <c r="E192" s="55" cm="1">
        <f t="array" ref="E192">$D$2*SUM( ($B$12:$B$17)/(EXP($B$12:$B$17/B192)-1) + 0.5*$B$12:$B$17)</f>
        <v>99675.648033226957</v>
      </c>
      <c r="H192" s="35">
        <f t="shared" si="37"/>
        <v>1900</v>
      </c>
      <c r="I192" s="55">
        <f t="shared" si="34"/>
        <v>5.6635385277246648</v>
      </c>
      <c r="J192" s="55">
        <f t="shared" si="35"/>
        <v>5.6635385277246648</v>
      </c>
      <c r="K192" s="55" cm="1">
        <f t="array" ref="K192">$D$2*SUM( ($B$12:$B$17)/(EXP($B$12:$B$17/B192)-1) + 0.5*$B$12:$B$17) / 4184</f>
        <v>23.823051633180437</v>
      </c>
    </row>
    <row r="193" spans="1:15" x14ac:dyDescent="0.3">
      <c r="B193" s="35">
        <f t="shared" si="36"/>
        <v>2000</v>
      </c>
      <c r="C193" s="55">
        <f t="shared" si="33"/>
        <v>24943.415999999997</v>
      </c>
      <c r="D193" s="55">
        <f t="shared" si="32"/>
        <v>24943.415999999997</v>
      </c>
      <c r="E193" s="55" cm="1">
        <f t="array" ref="E193">$D$2*SUM( ($B$12:$B$17)/(EXP($B$12:$B$17/B193)-1) + 0.5*$B$12:$B$17)</f>
        <v>104425.90441414245</v>
      </c>
      <c r="H193" s="35">
        <f t="shared" si="37"/>
        <v>2000</v>
      </c>
      <c r="I193" s="55">
        <f t="shared" si="34"/>
        <v>5.9616195028680679</v>
      </c>
      <c r="J193" s="55">
        <f t="shared" si="35"/>
        <v>5.9616195028680679</v>
      </c>
      <c r="K193" s="55" cm="1">
        <f t="array" ref="K193">$D$2*SUM( ($B$12:$B$17)/(EXP($B$12:$B$17/B193)-1) + 0.5*$B$12:$B$17) / 4184</f>
        <v>24.9583901563438</v>
      </c>
    </row>
    <row r="194" spans="1:15" ht="15" thickBot="1" x14ac:dyDescent="0.35">
      <c r="B194" s="26">
        <f t="shared" si="36"/>
        <v>2100</v>
      </c>
      <c r="C194" s="58">
        <f t="shared" si="33"/>
        <v>26190.586799999997</v>
      </c>
      <c r="D194" s="58">
        <f t="shared" si="32"/>
        <v>26190.586799999997</v>
      </c>
      <c r="E194" s="58" cm="1">
        <f t="array" ref="E194">$D$2*SUM( ($B$12:$B$17)/(EXP($B$12:$B$17/B194)-1) + 0.5*$B$12:$B$17)</f>
        <v>109198.07693351356</v>
      </c>
      <c r="F194" s="53"/>
      <c r="H194" s="26">
        <f t="shared" si="37"/>
        <v>2100</v>
      </c>
      <c r="I194" s="58">
        <f t="shared" si="34"/>
        <v>6.2597004780114718</v>
      </c>
      <c r="J194" s="58">
        <f t="shared" si="35"/>
        <v>6.2597004780114718</v>
      </c>
      <c r="K194" s="58" cm="1">
        <f t="array" ref="K194">$D$2*SUM( ($B$12:$B$17)/(EXP($B$12:$B$17/B194)-1) + 0.5*$B$12:$B$17) / 4184</f>
        <v>26.098966762312035</v>
      </c>
      <c r="L194" s="53"/>
    </row>
    <row r="196" spans="1:15" ht="15" thickBot="1" x14ac:dyDescent="0.35"/>
    <row r="197" spans="1:15" ht="15" thickBot="1" x14ac:dyDescent="0.35">
      <c r="F197" s="17"/>
      <c r="G197" s="18"/>
      <c r="H197" s="18"/>
      <c r="I197" s="19"/>
      <c r="K197" s="52" t="s">
        <v>95</v>
      </c>
    </row>
    <row r="198" spans="1:15" ht="16.8" thickBot="1" x14ac:dyDescent="0.35">
      <c r="B198" s="108" t="s">
        <v>96</v>
      </c>
      <c r="C198" s="109">
        <f xml:space="preserve"> ($C$2*$C$2) /(8*$B$2*$B$2*$A$2*$H$198)</f>
        <v>0.53205810611531146</v>
      </c>
      <c r="F198" s="35"/>
      <c r="H198" s="5">
        <f>SQRT(E6*E6+F6*F6+G6*G6)</f>
        <v>7.5699993992797188E-46</v>
      </c>
      <c r="I198" s="36" t="s">
        <v>97</v>
      </c>
      <c r="K198" s="139">
        <v>1.18</v>
      </c>
    </row>
    <row r="199" spans="1:15" ht="15" thickBot="1" x14ac:dyDescent="0.35">
      <c r="F199" s="26"/>
      <c r="G199" s="27"/>
      <c r="H199" s="27"/>
      <c r="I199" s="28"/>
    </row>
    <row r="200" spans="1:15" ht="15" thickBot="1" x14ac:dyDescent="0.35">
      <c r="A200" s="5" t="s">
        <v>98</v>
      </c>
      <c r="B200" s="208" t="s">
        <v>99</v>
      </c>
      <c r="C200" s="208"/>
      <c r="D200" s="208"/>
      <c r="E200" s="208"/>
      <c r="F200" s="208"/>
      <c r="H200" s="208" t="s">
        <v>100</v>
      </c>
      <c r="I200" s="208"/>
      <c r="J200" s="208"/>
      <c r="K200" s="208"/>
      <c r="L200" s="208"/>
    </row>
    <row r="201" spans="1:15" ht="18" x14ac:dyDescent="0.3">
      <c r="A201" s="5" t="s">
        <v>99</v>
      </c>
      <c r="B201" s="94" t="s">
        <v>47</v>
      </c>
      <c r="C201" s="16" t="s">
        <v>101</v>
      </c>
      <c r="D201" s="16" t="s">
        <v>89</v>
      </c>
      <c r="E201" s="16" t="s">
        <v>37</v>
      </c>
      <c r="F201" s="16" t="s">
        <v>38</v>
      </c>
      <c r="G201" s="16" t="s">
        <v>90</v>
      </c>
      <c r="H201" s="94" t="s">
        <v>47</v>
      </c>
      <c r="I201" s="16" t="s">
        <v>89</v>
      </c>
      <c r="J201" s="16" t="s">
        <v>37</v>
      </c>
      <c r="K201" s="16" t="s">
        <v>38</v>
      </c>
      <c r="L201" s="16" t="s">
        <v>90</v>
      </c>
      <c r="O201" s="82"/>
    </row>
    <row r="202" spans="1:15" ht="15" thickBot="1" x14ac:dyDescent="0.35">
      <c r="B202" s="35">
        <f>298.15</f>
        <v>298.14999999999998</v>
      </c>
      <c r="C202" s="55">
        <f>($A$2*B202)/$J$2</f>
        <v>4.062431680236861E-26</v>
      </c>
      <c r="D202" s="110">
        <f xml:space="preserve"> $D$2 *( 5/2  +   LN(  ((2*$B$2*$E$2*$A$2*B202)/($C$2*$C$2) )^1.5  * ($D$2*B202 )/($F$2*$J$2)  ) )</f>
        <v>144.10520057636316</v>
      </c>
      <c r="E202" s="55">
        <f>$D$2 *LN( (EXP(1)*B202) / ($B$6 * $C$198))</f>
        <v>51.799052475892587</v>
      </c>
      <c r="F202" s="55" cm="1">
        <f t="array" ref="F202">$D$2*SUM( (($B$12:$B$17)/B202)/(EXP($B$12:$B$17/B176)-1) - LN( 1 - EXP( (-1 * $B$12:$B$17)/B202 ) ) )</f>
        <v>5.2468147589584246</v>
      </c>
      <c r="G202" s="58">
        <f>$D$2*LN(K198)</f>
        <v>1.3761651643175061</v>
      </c>
      <c r="H202" s="140">
        <f>298.15</f>
        <v>298.14999999999998</v>
      </c>
      <c r="I202" s="105">
        <f xml:space="preserve"> $D$2 *( 5/2  +   LN(  ((2*$B$2*$E$2*$A$2*B202)/($C$2*$C$2) )^1.5  * ($D$2*B202 )/($F$2*$J$2)  ) ) / 4.184</f>
        <v>34.441969545019873</v>
      </c>
      <c r="J202" s="105">
        <f>$D$2 *LN( (EXP(1)*H202) / ($B$6 * $C$198)) / 4.184</f>
        <v>12.380270668234365</v>
      </c>
      <c r="K202" s="105" cm="1">
        <f t="array" ref="K202">$D$2*SUM( (($B$12:$B$17)/B202)/(EXP($B$12:$B$17/B176)-1) - LN( 1 - EXP( (-1 * $B$12:$B$17)/B202 ) ) )/ 4.184</f>
        <v>1.2540188238428356</v>
      </c>
      <c r="L202" s="112">
        <f>$D$2*LN(K198)</f>
        <v>1.3761651643175061</v>
      </c>
      <c r="O202" s="82"/>
    </row>
    <row r="203" spans="1:15" x14ac:dyDescent="0.3">
      <c r="B203" s="35">
        <f>300+100</f>
        <v>400</v>
      </c>
      <c r="C203" s="55">
        <f t="shared" ref="C203:C220" si="38">($A$2*B203)/$J$2</f>
        <v>5.4501850481125095E-26</v>
      </c>
      <c r="D203" s="110">
        <f t="shared" ref="D203:D220" si="39" xml:space="preserve"> $D$2 *( 5/2  +   LN(  ((2*$B$2*$E$2*$A$2*B203)/($C$2*$C$2) )^1.5  * ($D$2*B203 )/($F$2*$J$2)  ) )</f>
        <v>150.21359021893971</v>
      </c>
      <c r="E203" s="55">
        <f t="shared" ref="E203:E220" si="40">$D$2 *LN( (EXP(1)*B203) / ($B$6 * $C$198))</f>
        <v>54.242408332923212</v>
      </c>
      <c r="F203" s="55" cm="1">
        <f t="array" ref="F203">$D$2*SUM( (($B$12:$B$17)/B203)/(EXP($B$12:$B$17/B177)-1) - LN( 1 - EXP( (-1 * $B$12:$B$17)/B203 ) ) )</f>
        <v>10.152205523058361</v>
      </c>
      <c r="H203" s="35">
        <f>300+100</f>
        <v>400</v>
      </c>
      <c r="I203" s="110">
        <f xml:space="preserve"> $D$2 *( 5/2  +   LN(  ((2*$B$2*$E$2*$A$2*B203)/($C$2*$C$2) )^1.5  * ($D$2*B203 )/($F$2*$J$2)  ) )/ 4.184</f>
        <v>35.901909708159586</v>
      </c>
      <c r="J203" s="55">
        <f t="shared" ref="J203:J220" si="41">$D$2 *LN( (EXP(1)*H203) / ($B$6 * $C$198)) / 4.184</f>
        <v>12.964246733490251</v>
      </c>
      <c r="K203" s="55" cm="1">
        <f t="array" ref="K203">$D$2*SUM( (($B$12:$B$17)/B203)/(EXP($B$12:$B$17/B177)-1) - LN( 1 - EXP( (-1 * $B$12:$B$17)/B203 ) ) )/ 4.184</f>
        <v>2.4264353544594552</v>
      </c>
      <c r="O203" s="47"/>
    </row>
    <row r="204" spans="1:15" ht="18" x14ac:dyDescent="0.3">
      <c r="B204" s="35">
        <f t="shared" ref="B204:B220" si="42">B203+100</f>
        <v>500</v>
      </c>
      <c r="C204" s="55">
        <f t="shared" si="38"/>
        <v>6.8127313101406362E-26</v>
      </c>
      <c r="D204" s="110">
        <f t="shared" si="39"/>
        <v>154.85189224239616</v>
      </c>
      <c r="E204" s="55">
        <f t="shared" si="40"/>
        <v>56.097729142305766</v>
      </c>
      <c r="F204" s="55" cm="1">
        <f t="array" ref="F204">$D$2*SUM( (($B$12:$B$17)/B204)/(EXP($B$12:$B$17/B178)-1) - LN( 1 - EXP( (-1 * $B$12:$B$17)/B204 ) ) )</f>
        <v>15.441562030580624</v>
      </c>
      <c r="H204" s="35">
        <f t="shared" ref="H204:H220" si="43">H203+100</f>
        <v>500</v>
      </c>
      <c r="I204" s="110">
        <f t="shared" ref="I204:I220" si="44" xml:space="preserve"> $D$2 *( 5/2  +   LN(  ((2*$B$2*$E$2*$A$2*B204)/($C$2*$C$2) )^1.5  * ($D$2*B204 )/($F$2*$J$2)  ) )/ 4.184</f>
        <v>37.010490497704623</v>
      </c>
      <c r="J204" s="55">
        <f t="shared" si="41"/>
        <v>13.40767904930826</v>
      </c>
      <c r="K204" s="55" cm="1">
        <f t="array" ref="K204">$D$2*SUM( (($B$12:$B$17)/B204)/(EXP($B$12:$B$17/B178)-1) - LN( 1 - EXP( (-1 * $B$12:$B$17)/B204 ) ) )/ 4.184</f>
        <v>3.6906219002343743</v>
      </c>
      <c r="M204" s="214"/>
      <c r="N204" s="214"/>
      <c r="O204" s="47"/>
    </row>
    <row r="205" spans="1:15" ht="18.600000000000001" thickBot="1" x14ac:dyDescent="0.35">
      <c r="B205" s="35">
        <f t="shared" si="42"/>
        <v>600</v>
      </c>
      <c r="C205" s="55">
        <f t="shared" si="38"/>
        <v>8.175277572168763E-26</v>
      </c>
      <c r="D205" s="110">
        <f t="shared" si="39"/>
        <v>158.64166093979557</v>
      </c>
      <c r="E205" s="55">
        <f t="shared" si="40"/>
        <v>57.61363662126552</v>
      </c>
      <c r="F205" s="55" cm="1">
        <f t="array" ref="F205">$D$2*SUM( (($B$12:$B$17)/B205)/(EXP($B$12:$B$17/B179)-1) - LN( 1 - EXP( (-1 * $B$12:$B$17)/B205 ) ) )</f>
        <v>20.776326869975414</v>
      </c>
      <c r="H205" s="35">
        <f t="shared" si="43"/>
        <v>600</v>
      </c>
      <c r="I205" s="110">
        <f t="shared" si="44"/>
        <v>37.91626695501806</v>
      </c>
      <c r="J205" s="55">
        <f t="shared" si="41"/>
        <v>13.769989632233633</v>
      </c>
      <c r="K205" s="55" cm="1">
        <f t="array" ref="K205">$D$2*SUM( (($B$12:$B$17)/B205)/(EXP($B$12:$B$17/B179)-1) - LN( 1 - EXP( (-1 * $B$12:$B$17)/B205 ) ) )/ 4.184</f>
        <v>4.965661297795271</v>
      </c>
      <c r="M205" s="214" t="s">
        <v>93</v>
      </c>
      <c r="N205" s="214"/>
      <c r="O205" s="47"/>
    </row>
    <row r="206" spans="1:15" x14ac:dyDescent="0.3">
      <c r="B206" s="35">
        <f t="shared" si="42"/>
        <v>700</v>
      </c>
      <c r="C206" s="55">
        <f t="shared" si="38"/>
        <v>9.5378238341968898E-26</v>
      </c>
      <c r="D206" s="110">
        <f t="shared" si="39"/>
        <v>161.84586471780719</v>
      </c>
      <c r="E206" s="55">
        <f t="shared" si="40"/>
        <v>58.895318132470216</v>
      </c>
      <c r="F206" s="55" cm="1">
        <f t="array" ref="F206">$D$2*SUM( (($B$12:$B$17)/B206)/(EXP($B$12:$B$17/B180)-1) - LN( 1 - EXP( (-1 * $B$12:$B$17)/B206 ) ) )</f>
        <v>25.939483585849477</v>
      </c>
      <c r="H206" s="35">
        <f t="shared" si="43"/>
        <v>700</v>
      </c>
      <c r="I206" s="110">
        <f t="shared" si="44"/>
        <v>38.682090037716819</v>
      </c>
      <c r="J206" s="55">
        <f t="shared" si="41"/>
        <v>14.076318865313148</v>
      </c>
      <c r="K206" s="55" cm="1">
        <f t="array" ref="K206">$D$2*SUM( (($B$12:$B$17)/B206)/(EXP($B$12:$B$17/B180)-1) - LN( 1 - EXP( (-1 * $B$12:$B$17)/B206 ) ) )/ 4.184</f>
        <v>6.1996853694668914</v>
      </c>
      <c r="M206" s="133"/>
      <c r="N206" s="134" t="s">
        <v>30</v>
      </c>
      <c r="O206" s="47"/>
    </row>
    <row r="207" spans="1:15" x14ac:dyDescent="0.3">
      <c r="B207" s="35">
        <f t="shared" si="42"/>
        <v>800</v>
      </c>
      <c r="C207" s="55">
        <f t="shared" si="38"/>
        <v>1.0900370096225019E-25</v>
      </c>
      <c r="D207" s="110">
        <f t="shared" si="39"/>
        <v>164.62147228055127</v>
      </c>
      <c r="E207" s="55">
        <f t="shared" si="40"/>
        <v>60.005561157567818</v>
      </c>
      <c r="F207" s="55" cm="1">
        <f t="array" ref="F207">$D$2*SUM( (($B$12:$B$17)/B207)/(EXP($B$12:$B$17/B181)-1) - LN( 1 - EXP( (-1 * $B$12:$B$17)/B207 ) ) )</f>
        <v>30.837389313057574</v>
      </c>
      <c r="H207" s="35">
        <f t="shared" si="43"/>
        <v>800</v>
      </c>
      <c r="I207" s="110">
        <f t="shared" si="44"/>
        <v>39.345476166479749</v>
      </c>
      <c r="J207" s="55">
        <f t="shared" si="41"/>
        <v>14.341673316818312</v>
      </c>
      <c r="K207" s="55" cm="1">
        <f t="array" ref="K207">$D$2*SUM( (($B$12:$B$17)/B207)/(EXP($B$12:$B$17/B181)-1) - LN( 1 - EXP( (-1 * $B$12:$B$17)/B207 ) ) )/ 4.184</f>
        <v>7.3703129333311601</v>
      </c>
      <c r="M207" s="132"/>
      <c r="N207" s="135" t="s">
        <v>32</v>
      </c>
      <c r="O207" s="47"/>
    </row>
    <row r="208" spans="1:15" x14ac:dyDescent="0.3">
      <c r="B208" s="35">
        <f t="shared" si="42"/>
        <v>900</v>
      </c>
      <c r="C208" s="55">
        <f t="shared" si="38"/>
        <v>1.2262916358253145E-25</v>
      </c>
      <c r="D208" s="110">
        <f t="shared" si="39"/>
        <v>167.06973166065126</v>
      </c>
      <c r="E208" s="55">
        <f t="shared" si="40"/>
        <v>60.984864909607815</v>
      </c>
      <c r="F208" s="55" cm="1">
        <f t="array" ref="F208">$D$2*SUM( (($B$12:$B$17)/B208)/(EXP($B$12:$B$17/B182)-1) - LN( 1 - EXP( (-1 * $B$12:$B$17)/B208 ) ) )</f>
        <v>35.441232374215282</v>
      </c>
      <c r="H208" s="35">
        <f t="shared" si="43"/>
        <v>900</v>
      </c>
      <c r="I208" s="110">
        <f t="shared" si="44"/>
        <v>39.930624201876491</v>
      </c>
      <c r="J208" s="55">
        <f t="shared" si="41"/>
        <v>14.57573253097701</v>
      </c>
      <c r="K208" s="55" cm="1">
        <f t="array" ref="K208">$D$2*SUM( (($B$12:$B$17)/B208)/(EXP($B$12:$B$17/B182)-1) - LN( 1 - EXP( (-1 * $B$12:$B$17)/B208 ) ) )/ 4.184</f>
        <v>8.4706578332254487</v>
      </c>
      <c r="M208" s="132" t="s">
        <v>33</v>
      </c>
      <c r="N208" s="136">
        <v>50.066000000000003</v>
      </c>
      <c r="O208" s="47"/>
    </row>
    <row r="209" spans="1:14" x14ac:dyDescent="0.3">
      <c r="B209" s="35">
        <f t="shared" si="42"/>
        <v>1000</v>
      </c>
      <c r="C209" s="55">
        <f t="shared" si="38"/>
        <v>1.3625462620281272E-25</v>
      </c>
      <c r="D209" s="110">
        <f t="shared" si="39"/>
        <v>169.25977430400772</v>
      </c>
      <c r="E209" s="55">
        <f t="shared" si="40"/>
        <v>61.86088196695038</v>
      </c>
      <c r="F209" s="55" cm="1">
        <f t="array" ref="F209">$D$2*SUM( (($B$12:$B$17)/B209)/(EXP($B$12:$B$17/B183)-1) - LN( 1 - EXP( (-1 * $B$12:$B$17)/B209 ) ) )</f>
        <v>39.753503994665458</v>
      </c>
      <c r="H209" s="35">
        <f t="shared" si="43"/>
        <v>1000</v>
      </c>
      <c r="I209" s="110">
        <f t="shared" si="44"/>
        <v>40.454056956024786</v>
      </c>
      <c r="J209" s="55">
        <f t="shared" si="41"/>
        <v>14.785105632636323</v>
      </c>
      <c r="K209" s="55" cm="1">
        <f t="array" ref="K209">$D$2*SUM( (($B$12:$B$17)/B209)/(EXP($B$12:$B$17/B183)-1) - LN( 1 - EXP( (-1 * $B$12:$B$17)/B209 ) ) )/ 4.184</f>
        <v>9.5013154862967149</v>
      </c>
      <c r="M209" s="132" t="s">
        <v>34</v>
      </c>
      <c r="N209" s="136">
        <v>1.377</v>
      </c>
    </row>
    <row r="210" spans="1:14" x14ac:dyDescent="0.3">
      <c r="B210" s="35">
        <f t="shared" si="42"/>
        <v>1100</v>
      </c>
      <c r="C210" s="55">
        <f t="shared" si="38"/>
        <v>1.4988008882309398E-25</v>
      </c>
      <c r="D210" s="110">
        <f t="shared" si="39"/>
        <v>171.24090885725272</v>
      </c>
      <c r="E210" s="55">
        <f t="shared" si="40"/>
        <v>62.653335788248405</v>
      </c>
      <c r="F210" s="55" cm="1">
        <f t="array" ref="F210">$D$2*SUM( (($B$12:$B$17)/B210)/(EXP($B$12:$B$17/B184)-1) - LN( 1 - EXP( (-1 * $B$12:$B$17)/B210 ) ) )</f>
        <v>43.790559653828879</v>
      </c>
      <c r="H210" s="35">
        <f t="shared" si="43"/>
        <v>1100</v>
      </c>
      <c r="I210" s="110">
        <f t="shared" si="44"/>
        <v>40.927559478310876</v>
      </c>
      <c r="J210" s="55">
        <f t="shared" si="41"/>
        <v>14.974506641550766</v>
      </c>
      <c r="K210" s="55" cm="1">
        <f t="array" ref="K210">$D$2*SUM( (($B$12:$B$17)/B210)/(EXP($B$12:$B$17/B184)-1) - LN( 1 - EXP( (-1 * $B$12:$B$17)/B210 ) ) )/ 4.184</f>
        <v>10.466194945943805</v>
      </c>
      <c r="M210" s="132" t="s">
        <v>36</v>
      </c>
      <c r="N210" s="136">
        <v>34.067999999999998</v>
      </c>
    </row>
    <row r="211" spans="1:14" x14ac:dyDescent="0.3">
      <c r="A211" s="53"/>
      <c r="B211" s="35">
        <f t="shared" si="42"/>
        <v>1200</v>
      </c>
      <c r="C211" s="55">
        <f t="shared" si="38"/>
        <v>1.6350555144337526E-25</v>
      </c>
      <c r="D211" s="110">
        <f t="shared" si="39"/>
        <v>173.0495430014071</v>
      </c>
      <c r="E211" s="55">
        <f t="shared" si="40"/>
        <v>63.376789445910127</v>
      </c>
      <c r="F211" s="55" cm="1">
        <f t="array" ref="F211">$D$2*SUM( (($B$12:$B$17)/B211)/(EXP($B$12:$B$17/B185)-1) - LN( 1 - EXP( (-1 * $B$12:$B$17)/B211 ) ) )</f>
        <v>47.573933470947559</v>
      </c>
      <c r="H211" s="35">
        <f t="shared" si="43"/>
        <v>1200</v>
      </c>
      <c r="I211" s="110">
        <f t="shared" si="44"/>
        <v>41.359833413338215</v>
      </c>
      <c r="J211" s="55">
        <f t="shared" si="41"/>
        <v>15.147416215561693</v>
      </c>
      <c r="K211" s="55" cm="1">
        <f t="array" ref="K211">$D$2*SUM( (($B$12:$B$17)/B211)/(EXP($B$12:$B$17/B185)-1) - LN( 1 - EXP( (-1 * $B$12:$B$17)/B211 ) ) )/ 4.184</f>
        <v>11.370442990188231</v>
      </c>
      <c r="M211" s="132" t="s">
        <v>37</v>
      </c>
      <c r="N211" s="136">
        <v>13.992000000000001</v>
      </c>
    </row>
    <row r="212" spans="1:14" x14ac:dyDescent="0.3">
      <c r="B212" s="35">
        <f t="shared" si="42"/>
        <v>1300</v>
      </c>
      <c r="C212" s="55">
        <f t="shared" si="38"/>
        <v>1.7713101406365654E-25</v>
      </c>
      <c r="D212" s="110">
        <f t="shared" si="39"/>
        <v>174.71332513079651</v>
      </c>
      <c r="E212" s="55">
        <f t="shared" si="40"/>
        <v>64.042302297665927</v>
      </c>
      <c r="F212" s="55" cm="1">
        <f t="array" ref="F212">$D$2*SUM( (($B$12:$B$17)/B212)/(EXP($B$12:$B$17/B186)-1) - LN( 1 - EXP( (-1 * $B$12:$B$17)/B212 ) ) )</f>
        <v>51.12615108445096</v>
      </c>
      <c r="H212" s="35">
        <f t="shared" si="43"/>
        <v>1300</v>
      </c>
      <c r="I212" s="110">
        <f t="shared" si="44"/>
        <v>41.757486885945625</v>
      </c>
      <c r="J212" s="55">
        <f t="shared" si="41"/>
        <v>15.306477604604666</v>
      </c>
      <c r="K212" s="55" cm="1">
        <f t="array" ref="K212">$D$2*SUM( (($B$12:$B$17)/B212)/(EXP($B$12:$B$17/B186)-1) - LN( 1 - EXP( (-1 * $B$12:$B$17)/B212 ) ) )/ 4.184</f>
        <v>12.219443375824799</v>
      </c>
      <c r="M212" s="132" t="s">
        <v>38</v>
      </c>
      <c r="N212" s="136">
        <v>0.629</v>
      </c>
    </row>
    <row r="213" spans="1:14" ht="15" thickBot="1" x14ac:dyDescent="0.35">
      <c r="B213" s="35">
        <f t="shared" si="42"/>
        <v>1400</v>
      </c>
      <c r="C213" s="55">
        <f t="shared" si="38"/>
        <v>1.907564766839378E-25</v>
      </c>
      <c r="D213" s="110">
        <f t="shared" si="39"/>
        <v>176.25374677941872</v>
      </c>
      <c r="E213" s="55">
        <f t="shared" si="40"/>
        <v>64.65847095711483</v>
      </c>
      <c r="F213" s="55" cm="1">
        <f t="array" ref="F213">$D$2*SUM( (($B$12:$B$17)/B213)/(EXP($B$12:$B$17/B187)-1) - LN( 1 - EXP( (-1 * $B$12:$B$17)/B213 ) ) )</f>
        <v>54.468807457069339</v>
      </c>
      <c r="H213" s="35">
        <f t="shared" si="43"/>
        <v>1400</v>
      </c>
      <c r="I213" s="110">
        <f t="shared" si="44"/>
        <v>42.125656496036974</v>
      </c>
      <c r="J213" s="55">
        <f t="shared" si="41"/>
        <v>15.453745448641211</v>
      </c>
      <c r="K213" s="55" cm="1">
        <f t="array" ref="K213">$D$2*SUM( (($B$12:$B$17)/B213)/(EXP($B$12:$B$17/B187)-1) - LN( 1 - EXP( (-1 * $B$12:$B$17)/B213 ) ) )/ 4.184</f>
        <v>13.018357422817719</v>
      </c>
      <c r="M213" s="137" t="s">
        <v>108</v>
      </c>
      <c r="N213" s="138">
        <v>0.59499999999999997</v>
      </c>
    </row>
    <row r="214" spans="1:14" ht="15" thickBot="1" x14ac:dyDescent="0.35">
      <c r="B214" s="35">
        <f t="shared" si="42"/>
        <v>1500</v>
      </c>
      <c r="C214" s="55">
        <f t="shared" si="38"/>
        <v>2.0438193930421908E-25</v>
      </c>
      <c r="D214" s="110">
        <f t="shared" si="39"/>
        <v>177.68784502486341</v>
      </c>
      <c r="E214" s="55">
        <f t="shared" si="40"/>
        <v>65.232110255292682</v>
      </c>
      <c r="F214" s="55" cm="1">
        <f t="array" ref="F214">$D$2*SUM( (($B$12:$B$17)/B214)/(EXP($B$12:$B$17/B188)-1) - LN( 1 - EXP( (-1 * $B$12:$B$17)/B214 ) ) )</f>
        <v>57.621772757731392</v>
      </c>
      <c r="H214" s="35">
        <f t="shared" si="43"/>
        <v>1500</v>
      </c>
      <c r="I214" s="110">
        <f t="shared" si="44"/>
        <v>42.468414202883224</v>
      </c>
      <c r="J214" s="55">
        <f t="shared" si="41"/>
        <v>15.590848531379704</v>
      </c>
      <c r="K214" s="55" cm="1">
        <f t="array" ref="K214">$D$2*SUM( (($B$12:$B$17)/B214)/(EXP($B$12:$B$17/B188)-1) - LN( 1 - EXP( (-1 * $B$12:$B$17)/B214 ) ) )/ 4.184</f>
        <v>13.771934215518975</v>
      </c>
    </row>
    <row r="215" spans="1:14" ht="15" thickBot="1" x14ac:dyDescent="0.35">
      <c r="B215" s="35">
        <f t="shared" si="42"/>
        <v>1600</v>
      </c>
      <c r="C215" s="55">
        <f t="shared" si="38"/>
        <v>2.1800740192450038E-25</v>
      </c>
      <c r="D215" s="110">
        <f t="shared" si="39"/>
        <v>179.0293543421628</v>
      </c>
      <c r="E215" s="55">
        <f t="shared" si="40"/>
        <v>65.768713982212432</v>
      </c>
      <c r="F215" s="55" cm="1">
        <f t="array" ref="F215">$D$2*SUM( (($B$12:$B$17)/B215)/(EXP($B$12:$B$17/B189)-1) - LN( 1 - EXP( (-1 * $B$12:$B$17)/B215 ) ) )</f>
        <v>60.602951690592292</v>
      </c>
      <c r="H215" s="35">
        <f t="shared" si="43"/>
        <v>1600</v>
      </c>
      <c r="I215" s="110">
        <f t="shared" si="44"/>
        <v>42.789042624799905</v>
      </c>
      <c r="J215" s="55">
        <f t="shared" si="41"/>
        <v>15.719099900146373</v>
      </c>
      <c r="K215" s="55" cm="1">
        <f t="array" ref="K215">$D$2*SUM( (($B$12:$B$17)/B215)/(EXP($B$12:$B$17/B189)-1) - LN( 1 - EXP( (-1 * $B$12:$B$17)/B215 ) ) )/ 4.184</f>
        <v>14.484453080925499</v>
      </c>
      <c r="M215" s="30" t="s">
        <v>94</v>
      </c>
      <c r="N215" s="141">
        <f>SUM(I202:L202)</f>
        <v>49.45242420141458</v>
      </c>
    </row>
    <row r="216" spans="1:14" x14ac:dyDescent="0.3">
      <c r="B216" s="35">
        <f t="shared" si="42"/>
        <v>1700</v>
      </c>
      <c r="C216" s="55">
        <f t="shared" si="38"/>
        <v>2.3163286454478159E-25</v>
      </c>
      <c r="D216" s="110">
        <f t="shared" si="39"/>
        <v>180.2895086436711</v>
      </c>
      <c r="E216" s="55">
        <f t="shared" si="40"/>
        <v>66.272775702815764</v>
      </c>
      <c r="F216" s="55" cm="1">
        <f t="array" ref="F216">$D$2*SUM( (($B$12:$B$17)/B216)/(EXP($B$12:$B$17/B190)-1) - LN( 1 - EXP( (-1 * $B$12:$B$17)/B216 ) ) )</f>
        <v>63.428305734839242</v>
      </c>
      <c r="H216" s="35">
        <f t="shared" si="43"/>
        <v>1700</v>
      </c>
      <c r="I216" s="110">
        <f t="shared" si="44"/>
        <v>43.090226731278939</v>
      </c>
      <c r="J216" s="55">
        <f t="shared" si="41"/>
        <v>15.839573542737993</v>
      </c>
      <c r="K216" s="55" cm="1">
        <f t="array" ref="K216">$D$2*SUM( (($B$12:$B$17)/B216)/(EXP($B$12:$B$17/B190)-1) - LN( 1 - EXP( (-1 * $B$12:$B$17)/B216 ) ) )/ 4.184</f>
        <v>15.159728904120277</v>
      </c>
    </row>
    <row r="217" spans="1:14" x14ac:dyDescent="0.3">
      <c r="B217" s="35">
        <f t="shared" si="42"/>
        <v>1800</v>
      </c>
      <c r="C217" s="55">
        <f t="shared" si="38"/>
        <v>2.4525832716506289E-25</v>
      </c>
      <c r="D217" s="110">
        <f t="shared" si="39"/>
        <v>181.47761372226279</v>
      </c>
      <c r="E217" s="55">
        <f t="shared" si="40"/>
        <v>66.748017734252429</v>
      </c>
      <c r="F217" s="55" cm="1">
        <f t="array" ref="F217">$D$2*SUM( (($B$12:$B$17)/B217)/(EXP($B$12:$B$17/B191)-1) - LN( 1 - EXP( (-1 * $B$12:$B$17)/B217 ) ) )</f>
        <v>66.111991526878214</v>
      </c>
      <c r="H217" s="35">
        <f t="shared" si="43"/>
        <v>1800</v>
      </c>
      <c r="I217" s="110">
        <f t="shared" si="44"/>
        <v>43.374190660196646</v>
      </c>
      <c r="J217" s="55">
        <f t="shared" si="41"/>
        <v>15.953159114305073</v>
      </c>
      <c r="K217" s="55" cm="1">
        <f t="array" ref="K217">$D$2*SUM( (($B$12:$B$17)/B217)/(EXP($B$12:$B$17/B191)-1) - LN( 1 - EXP( (-1 * $B$12:$B$17)/B217 ) ) )/ 4.184</f>
        <v>15.801145202408751</v>
      </c>
    </row>
    <row r="218" spans="1:14" x14ac:dyDescent="0.3">
      <c r="B218" s="35">
        <f t="shared" si="42"/>
        <v>1900</v>
      </c>
      <c r="C218" s="55">
        <f t="shared" si="38"/>
        <v>2.5888378978534419E-25</v>
      </c>
      <c r="D218" s="110">
        <f t="shared" si="39"/>
        <v>182.6014647156866</v>
      </c>
      <c r="E218" s="55">
        <f t="shared" si="40"/>
        <v>67.197558131621946</v>
      </c>
      <c r="F218" s="55" cm="1">
        <f t="array" ref="F218">$D$2*SUM( (($B$12:$B$17)/B218)/(EXP($B$12:$B$17/B192)-1) - LN( 1 - EXP( (-1 * $B$12:$B$17)/B218 ) ) )</f>
        <v>68.666541853263027</v>
      </c>
      <c r="H218" s="35">
        <f t="shared" si="43"/>
        <v>1900</v>
      </c>
      <c r="I218" s="110">
        <f t="shared" si="44"/>
        <v>43.642797494188954</v>
      </c>
      <c r="J218" s="55">
        <f t="shared" si="41"/>
        <v>16.060601847901996</v>
      </c>
      <c r="K218" s="55" cm="1">
        <f t="array" ref="K218">$D$2*SUM( (($B$12:$B$17)/B218)/(EXP($B$12:$B$17/B192)-1) - LN( 1 - EXP( (-1 * $B$12:$B$17)/B218 ) ) )/ 4.184</f>
        <v>16.411697383667072</v>
      </c>
    </row>
    <row r="219" spans="1:14" x14ac:dyDescent="0.3">
      <c r="B219" s="35">
        <f t="shared" si="42"/>
        <v>2000</v>
      </c>
      <c r="C219" s="55">
        <f t="shared" si="38"/>
        <v>2.7250925240562545E-25</v>
      </c>
      <c r="D219" s="110">
        <f t="shared" si="39"/>
        <v>183.66765636561928</v>
      </c>
      <c r="E219" s="55">
        <f t="shared" si="40"/>
        <v>67.624034791594994</v>
      </c>
      <c r="F219" s="55" cm="1">
        <f t="array" ref="F219">$D$2*SUM( (($B$12:$B$17)/B219)/(EXP($B$12:$B$17/B193)-1) - LN( 1 - EXP( (-1 * $B$12:$B$17)/B219 ) ) )</f>
        <v>71.103053265077321</v>
      </c>
      <c r="H219" s="35">
        <f t="shared" si="43"/>
        <v>2000</v>
      </c>
      <c r="I219" s="110">
        <f t="shared" si="44"/>
        <v>43.897623414344949</v>
      </c>
      <c r="J219" s="55">
        <f t="shared" si="41"/>
        <v>16.162532215964386</v>
      </c>
      <c r="K219" s="55" cm="1">
        <f t="array" ref="K219">$D$2*SUM( (($B$12:$B$17)/B219)/(EXP($B$12:$B$17/B193)-1) - LN( 1 - EXP( (-1 * $B$12:$B$17)/B219 ) ) )/ 4.184</f>
        <v>16.994037587255573</v>
      </c>
    </row>
    <row r="220" spans="1:14" ht="15" thickBot="1" x14ac:dyDescent="0.35">
      <c r="B220" s="26">
        <f t="shared" si="42"/>
        <v>2100</v>
      </c>
      <c r="C220" s="58">
        <f t="shared" si="38"/>
        <v>2.8613471502590675E-25</v>
      </c>
      <c r="D220" s="114">
        <f t="shared" si="39"/>
        <v>184.68181750027458</v>
      </c>
      <c r="E220" s="58">
        <f t="shared" si="40"/>
        <v>68.029699245457138</v>
      </c>
      <c r="F220" s="58" cm="1">
        <f t="array" ref="F220">$D$2*SUM( (($B$12:$B$17)/B220)/(EXP($B$12:$B$17/B194)-1) - LN( 1 - EXP( (-1 * $B$12:$B$17)/B220 ) ) )</f>
        <v>73.431363614272172</v>
      </c>
      <c r="G220" s="53"/>
      <c r="H220" s="26">
        <f t="shared" si="43"/>
        <v>2100</v>
      </c>
      <c r="I220" s="110">
        <f t="shared" si="44"/>
        <v>44.140013742895448</v>
      </c>
      <c r="J220" s="58">
        <f t="shared" si="41"/>
        <v>16.259488347384593</v>
      </c>
      <c r="K220" s="55" cm="1">
        <f t="array" ref="K220">$D$2*SUM( (($B$12:$B$17)/B220)/(EXP($B$12:$B$17/B194)-1) - LN( 1 - EXP( (-1 * $B$12:$B$17)/B220 ) ) )/ 4.184</f>
        <v>17.550517116221837</v>
      </c>
      <c r="L220" s="53"/>
    </row>
    <row r="224" spans="1:14" ht="15" thickBot="1" x14ac:dyDescent="0.35">
      <c r="A224" s="5" t="s">
        <v>102</v>
      </c>
      <c r="B224" s="208" t="s">
        <v>103</v>
      </c>
      <c r="C224" s="208"/>
      <c r="D224" s="208"/>
      <c r="E224" s="208"/>
      <c r="F224" s="208"/>
      <c r="H224" s="208" t="s">
        <v>104</v>
      </c>
      <c r="I224" s="208"/>
      <c r="J224" s="208"/>
      <c r="K224" s="208"/>
      <c r="L224" s="208"/>
    </row>
    <row r="225" spans="1:15" ht="18" x14ac:dyDescent="0.3">
      <c r="A225" s="5" t="s">
        <v>99</v>
      </c>
      <c r="B225" s="94" t="s">
        <v>47</v>
      </c>
      <c r="C225" s="16" t="s">
        <v>89</v>
      </c>
      <c r="D225" s="16" t="s">
        <v>37</v>
      </c>
      <c r="E225" s="16" t="s">
        <v>38</v>
      </c>
      <c r="F225" s="16" t="s">
        <v>90</v>
      </c>
      <c r="H225" s="94" t="s">
        <v>47</v>
      </c>
      <c r="I225" s="16" t="s">
        <v>89</v>
      </c>
      <c r="J225" s="16" t="s">
        <v>37</v>
      </c>
      <c r="K225" s="16" t="s">
        <v>38</v>
      </c>
      <c r="L225" s="16" t="s">
        <v>90</v>
      </c>
    </row>
    <row r="226" spans="1:15" ht="15" thickBot="1" x14ac:dyDescent="0.35">
      <c r="B226" s="35">
        <f>298.15</f>
        <v>298.14999999999998</v>
      </c>
      <c r="C226" s="55">
        <f>3/2*$D$2</f>
        <v>12.471708</v>
      </c>
      <c r="D226" s="55">
        <f>3/2*$D$2</f>
        <v>12.471708</v>
      </c>
      <c r="E226" s="55" cm="1">
        <f t="array" ref="E226">$D$2*SUM( ( ($B$12:$B$17) * ($B$12:$B$17)* EXP($B$12:$B$17/B226) ) / ( B226*B226* ( EXP(( $B$12:$B$17)/B226 )  -1)^2 ) )</f>
        <v>13.022524379864318</v>
      </c>
      <c r="F226" s="58">
        <v>0</v>
      </c>
      <c r="H226" s="35">
        <f>298.15</f>
        <v>298.14999999999998</v>
      </c>
      <c r="I226" s="105">
        <f>3/2*$D$2 / 4.184</f>
        <v>2.9808097514340344</v>
      </c>
      <c r="J226" s="105">
        <f>3/2*$D$2 / 4.184</f>
        <v>2.9808097514340344</v>
      </c>
      <c r="K226" s="142" cm="1">
        <f t="array" ref="K226">$D$2*SUM( ( ($B$12:$B$17) * ($B$12:$B$17)* EXP($B$12:$B$17/B226) ) / ( B226*B226* ( EXP(( $B$12:$B$17)/B226 )  -1)^2 ) )/ 4.184</f>
        <v>3.1124580257801906</v>
      </c>
      <c r="L226" s="112">
        <v>0</v>
      </c>
    </row>
    <row r="227" spans="1:15" x14ac:dyDescent="0.3">
      <c r="B227" s="35">
        <f>300+100</f>
        <v>400</v>
      </c>
      <c r="C227" s="55">
        <f t="shared" ref="C227:D244" si="45">3/2*$D$2</f>
        <v>12.471708</v>
      </c>
      <c r="D227" s="55">
        <f t="shared" si="45"/>
        <v>12.471708</v>
      </c>
      <c r="E227" s="55" cm="1">
        <f t="array" ref="E227">$D$2*SUM( ( ($B$12:$B$17) * ($B$12:$B$17)* EXP($B$12:$B$17/B227) ) / ( B227*B227* ( EXP(( $B$12:$B$17)/B227 )  -1)^2 ) )</f>
        <v>20.589818730331412</v>
      </c>
      <c r="H227" s="35">
        <f>300+100</f>
        <v>400</v>
      </c>
      <c r="I227" s="55">
        <f t="shared" ref="I227:J244" si="46">3/2*$D$2 / 4.184</f>
        <v>2.9808097514340344</v>
      </c>
      <c r="J227" s="55">
        <f t="shared" si="46"/>
        <v>2.9808097514340344</v>
      </c>
      <c r="K227" s="55" cm="1">
        <f t="array" ref="K227">$D$2*SUM( ( ($B$12:$B$17) * ($B$12:$B$17)* EXP($B$12:$B$17/B227) ) / ( B227*B227* ( EXP(( $B$12:$B$17)/B227 )  -1)^2 ) )/ 4.184</f>
        <v>4.9210847825839892</v>
      </c>
    </row>
    <row r="228" spans="1:15" ht="18.600000000000001" thickBot="1" x14ac:dyDescent="0.35">
      <c r="B228" s="35">
        <f t="shared" ref="B228:B244" si="47">B227+100</f>
        <v>500</v>
      </c>
      <c r="C228" s="55">
        <f t="shared" si="45"/>
        <v>12.471708</v>
      </c>
      <c r="D228" s="55">
        <f t="shared" si="45"/>
        <v>12.471708</v>
      </c>
      <c r="E228" s="55" cm="1">
        <f t="array" ref="E228">$D$2*SUM( ( ($B$12:$B$17) * ($B$12:$B$17)* EXP($B$12:$B$17/B228) ) / ( B228*B228* ( EXP(( $B$12:$B$17)/B228 )  -1)^2 ) )</f>
        <v>26.811920820200136</v>
      </c>
      <c r="H228" s="35">
        <f t="shared" ref="H228:H244" si="48">H227+100</f>
        <v>500</v>
      </c>
      <c r="I228" s="55">
        <f t="shared" si="46"/>
        <v>2.9808097514340344</v>
      </c>
      <c r="J228" s="55">
        <f t="shared" si="46"/>
        <v>2.9808097514340344</v>
      </c>
      <c r="K228" s="55" cm="1">
        <f t="array" ref="K228">$D$2*SUM( ( ($B$12:$B$17) * ($B$12:$B$17)* EXP($B$12:$B$17/B228) ) / ( B228*B228* ( EXP(( $B$12:$B$17)/B228 )  -1)^2 ) )/ 4.184</f>
        <v>6.4082028728967817</v>
      </c>
      <c r="M228" s="214" t="s">
        <v>93</v>
      </c>
      <c r="N228" s="214"/>
    </row>
    <row r="229" spans="1:15" x14ac:dyDescent="0.3">
      <c r="B229" s="35">
        <f t="shared" si="47"/>
        <v>600</v>
      </c>
      <c r="C229" s="55">
        <f t="shared" si="45"/>
        <v>12.471708</v>
      </c>
      <c r="D229" s="55">
        <f t="shared" si="45"/>
        <v>12.471708</v>
      </c>
      <c r="E229" s="55" cm="1">
        <f t="array" ref="E229">$D$2*SUM( ( ($B$12:$B$17) * ($B$12:$B$17)* EXP($B$12:$B$17/B229) ) / ( B229*B229* ( EXP(( $B$12:$B$17)/B229 )  -1)^2 ) )</f>
        <v>31.634487203565808</v>
      </c>
      <c r="H229" s="35">
        <f t="shared" si="48"/>
        <v>600</v>
      </c>
      <c r="I229" s="55">
        <f t="shared" si="46"/>
        <v>2.9808097514340344</v>
      </c>
      <c r="J229" s="55">
        <f t="shared" si="46"/>
        <v>2.9808097514340344</v>
      </c>
      <c r="K229" s="55" cm="1">
        <f t="array" ref="K229">$D$2*SUM( ( ($B$12:$B$17) * ($B$12:$B$17)* EXP($B$12:$B$17/B229) ) / ( B229*B229* ( EXP(( $B$12:$B$17)/B229 )  -1)^2 ) )/ 4.184</f>
        <v>7.560823901425862</v>
      </c>
      <c r="M229" s="133"/>
      <c r="N229" s="134" t="s">
        <v>29</v>
      </c>
      <c r="O229" s="82"/>
    </row>
    <row r="230" spans="1:15" x14ac:dyDescent="0.3">
      <c r="B230" s="35">
        <f t="shared" si="47"/>
        <v>700</v>
      </c>
      <c r="C230" s="55">
        <f t="shared" si="45"/>
        <v>12.471708</v>
      </c>
      <c r="D230" s="55">
        <f t="shared" si="45"/>
        <v>12.471708</v>
      </c>
      <c r="E230" s="55" cm="1">
        <f t="array" ref="E230">$D$2*SUM( ( ($B$12:$B$17) * ($B$12:$B$17)* EXP($B$12:$B$17/B230) ) / ( B230*B230* ( EXP(( $B$12:$B$17)/B230 )  -1)^2 ) )</f>
        <v>35.274818260008885</v>
      </c>
      <c r="H230" s="35">
        <f t="shared" si="48"/>
        <v>700</v>
      </c>
      <c r="I230" s="55">
        <f t="shared" si="46"/>
        <v>2.9808097514340344</v>
      </c>
      <c r="J230" s="55">
        <f t="shared" si="46"/>
        <v>2.9808097514340344</v>
      </c>
      <c r="K230" s="55" cm="1">
        <f t="array" ref="K230">$D$2*SUM( ( ($B$12:$B$17) * ($B$12:$B$17)* EXP($B$12:$B$17/B230) ) / ( B230*B230* ( EXP(( $B$12:$B$17)/B230 )  -1)^2 ) )/ 4.184</f>
        <v>8.4308839053558522</v>
      </c>
      <c r="M230" s="132"/>
      <c r="N230" s="135" t="s">
        <v>32</v>
      </c>
      <c r="O230" s="82"/>
    </row>
    <row r="231" spans="1:15" x14ac:dyDescent="0.3">
      <c r="B231" s="35">
        <f t="shared" si="47"/>
        <v>800</v>
      </c>
      <c r="C231" s="55">
        <f t="shared" si="45"/>
        <v>12.471708</v>
      </c>
      <c r="D231" s="55">
        <f t="shared" si="45"/>
        <v>12.471708</v>
      </c>
      <c r="E231" s="55" cm="1">
        <f t="array" ref="E231">$D$2*SUM( ( ($B$12:$B$17) * ($B$12:$B$17)* EXP($B$12:$B$17/B231) ) / ( B231*B231* ( EXP(( $B$12:$B$17)/B231 )  -1)^2 ) )</f>
        <v>38.018265842407004</v>
      </c>
      <c r="H231" s="35">
        <f t="shared" si="48"/>
        <v>800</v>
      </c>
      <c r="I231" s="55">
        <f t="shared" si="46"/>
        <v>2.9808097514340344</v>
      </c>
      <c r="J231" s="55">
        <f t="shared" si="46"/>
        <v>2.9808097514340344</v>
      </c>
      <c r="K231" s="55" cm="1">
        <f t="array" ref="K231">$D$2*SUM( ( ($B$12:$B$17) * ($B$12:$B$17)* EXP($B$12:$B$17/B231) ) / ( B231*B231* ( EXP(( $B$12:$B$17)/B231 )  -1)^2 ) )/ 4.184</f>
        <v>9.0865836143420182</v>
      </c>
      <c r="M231" s="132" t="s">
        <v>33</v>
      </c>
      <c r="N231" s="136">
        <v>6.4619999999999997</v>
      </c>
      <c r="O231" s="47"/>
    </row>
    <row r="232" spans="1:15" x14ac:dyDescent="0.3">
      <c r="B232" s="35">
        <f t="shared" si="47"/>
        <v>900</v>
      </c>
      <c r="C232" s="55">
        <f t="shared" si="45"/>
        <v>12.471708</v>
      </c>
      <c r="D232" s="55">
        <f t="shared" si="45"/>
        <v>12.471708</v>
      </c>
      <c r="E232" s="55" cm="1">
        <f t="array" ref="E232">$D$2*SUM( ( ($B$12:$B$17) * ($B$12:$B$17)* EXP($B$12:$B$17/B232) ) / ( B232*B232* ( EXP(( $B$12:$B$17)/B232 )  -1)^2 ) )</f>
        <v>40.104822020978617</v>
      </c>
      <c r="H232" s="35">
        <f t="shared" si="48"/>
        <v>900</v>
      </c>
      <c r="I232" s="55">
        <f t="shared" si="46"/>
        <v>2.9808097514340344</v>
      </c>
      <c r="J232" s="55">
        <f t="shared" si="46"/>
        <v>2.9808097514340344</v>
      </c>
      <c r="K232" s="55" cm="1">
        <f t="array" ref="K232">$D$2*SUM( ( ($B$12:$B$17) * ($B$12:$B$17)* EXP($B$12:$B$17/B232) ) / ( B232*B232* ( EXP(( $B$12:$B$17)/B232 )  -1)^2 ) )/ 4.184</f>
        <v>9.5852825097941246</v>
      </c>
      <c r="M232" s="132" t="s">
        <v>34</v>
      </c>
      <c r="N232" s="136" t="s">
        <v>35</v>
      </c>
      <c r="O232" s="47"/>
    </row>
    <row r="233" spans="1:15" x14ac:dyDescent="0.3">
      <c r="B233" s="35">
        <f t="shared" si="47"/>
        <v>1000</v>
      </c>
      <c r="C233" s="55">
        <f t="shared" si="45"/>
        <v>12.471708</v>
      </c>
      <c r="D233" s="55">
        <f t="shared" si="45"/>
        <v>12.471708</v>
      </c>
      <c r="E233" s="55" cm="1">
        <f t="array" ref="E233">$D$2*SUM( ( ($B$12:$B$17) * ($B$12:$B$17)* EXP($B$12:$B$17/B233) ) / ( B233*B233* ( EXP(( $B$12:$B$17)/B233 )  -1)^2 ) )</f>
        <v>41.713129820233704</v>
      </c>
      <c r="H233" s="35">
        <f t="shared" si="48"/>
        <v>1000</v>
      </c>
      <c r="I233" s="55">
        <f t="shared" si="46"/>
        <v>2.9808097514340344</v>
      </c>
      <c r="J233" s="55">
        <f t="shared" si="46"/>
        <v>2.9808097514340344</v>
      </c>
      <c r="K233" s="55" cm="1">
        <f t="array" ref="K233">$D$2*SUM( ( ($B$12:$B$17) * ($B$12:$B$17)* EXP($B$12:$B$17/B233) ) / ( B233*B233* ( EXP(( $B$12:$B$17)/B233 )  -1)^2 ) )/ 4.184</f>
        <v>9.9696772992910372</v>
      </c>
      <c r="M233" s="132" t="s">
        <v>36</v>
      </c>
      <c r="N233" s="136">
        <v>2.9809999999999999</v>
      </c>
      <c r="O233" s="47"/>
    </row>
    <row r="234" spans="1:15" x14ac:dyDescent="0.3">
      <c r="B234" s="35">
        <f t="shared" si="47"/>
        <v>1100</v>
      </c>
      <c r="C234" s="55">
        <f t="shared" si="45"/>
        <v>12.471708</v>
      </c>
      <c r="D234" s="55">
        <f t="shared" si="45"/>
        <v>12.471708</v>
      </c>
      <c r="E234" s="55" cm="1">
        <f t="array" ref="E234">$D$2*SUM( ( ($B$12:$B$17) * ($B$12:$B$17)* EXP($B$12:$B$17/B234) ) / ( B234*B234* ( EXP(( $B$12:$B$17)/B234 )  -1)^2 ) )</f>
        <v>42.970974082719302</v>
      </c>
      <c r="H234" s="35">
        <f t="shared" si="48"/>
        <v>1100</v>
      </c>
      <c r="I234" s="55">
        <f t="shared" si="46"/>
        <v>2.9808097514340344</v>
      </c>
      <c r="J234" s="55">
        <f t="shared" si="46"/>
        <v>2.9808097514340344</v>
      </c>
      <c r="K234" s="55" cm="1">
        <f t="array" ref="K234">$D$2*SUM( ( ($B$12:$B$17) * ($B$12:$B$17)* EXP($B$12:$B$17/B234) ) / ( B234*B234* ( EXP(( $B$12:$B$17)/B234 )  -1)^2 ) )/ 4.184</f>
        <v>10.27030929319295</v>
      </c>
      <c r="M234" s="132" t="s">
        <v>37</v>
      </c>
      <c r="N234" s="136">
        <v>2.9809999999999999</v>
      </c>
      <c r="O234" s="47"/>
    </row>
    <row r="235" spans="1:15" ht="15" thickBot="1" x14ac:dyDescent="0.35">
      <c r="B235" s="35">
        <f t="shared" si="47"/>
        <v>1200</v>
      </c>
      <c r="C235" s="55">
        <f t="shared" si="45"/>
        <v>12.471708</v>
      </c>
      <c r="D235" s="55">
        <f t="shared" si="45"/>
        <v>12.471708</v>
      </c>
      <c r="E235" s="55" cm="1">
        <f t="array" ref="E235">$D$2*SUM( ( ($B$12:$B$17) * ($B$12:$B$17)* EXP($B$12:$B$17/B235) ) / ( B235*B235* ( EXP(( $B$12:$B$17)/B235 )  -1)^2 ) )</f>
        <v>43.968950967694973</v>
      </c>
      <c r="H235" s="35">
        <f t="shared" si="48"/>
        <v>1200</v>
      </c>
      <c r="I235" s="55">
        <f t="shared" si="46"/>
        <v>2.9808097514340344</v>
      </c>
      <c r="J235" s="55">
        <f t="shared" si="46"/>
        <v>2.9808097514340344</v>
      </c>
      <c r="K235" s="55" cm="1">
        <f t="array" ref="K235">$D$2*SUM( ( ($B$12:$B$17) * ($B$12:$B$17)* EXP($B$12:$B$17/B235) ) / ( B235*B235* ( EXP(( $B$12:$B$17)/B235 )  -1)^2 ) )/ 4.184</f>
        <v>10.508831493234936</v>
      </c>
      <c r="M235" s="137" t="s">
        <v>38</v>
      </c>
      <c r="N235" s="138">
        <v>0.5</v>
      </c>
      <c r="O235" s="47"/>
    </row>
    <row r="236" spans="1:15" x14ac:dyDescent="0.3">
      <c r="B236" s="35">
        <f t="shared" si="47"/>
        <v>1300</v>
      </c>
      <c r="C236" s="55">
        <f t="shared" si="45"/>
        <v>12.471708</v>
      </c>
      <c r="D236" s="55">
        <f t="shared" si="45"/>
        <v>12.471708</v>
      </c>
      <c r="E236" s="55" cm="1">
        <f t="array" ref="E236">$D$2*SUM( ( ($B$12:$B$17) * ($B$12:$B$17)* EXP($B$12:$B$17/B236) ) / ( B236*B236* ( EXP(( $B$12:$B$17)/B236 )  -1)^2 ) )</f>
        <v>44.771572418779499</v>
      </c>
      <c r="H236" s="35">
        <f t="shared" si="48"/>
        <v>1300</v>
      </c>
      <c r="I236" s="55">
        <f t="shared" si="46"/>
        <v>2.9808097514340344</v>
      </c>
      <c r="J236" s="55">
        <f t="shared" si="46"/>
        <v>2.9808097514340344</v>
      </c>
      <c r="K236" s="55" cm="1">
        <f t="array" ref="K236">$D$2*SUM( ( ($B$12:$B$17) * ($B$12:$B$17)* EXP($B$12:$B$17/B236) ) / ( B236*B236* ( EXP(( $B$12:$B$17)/B236 )  -1)^2 ) )/ 4.184</f>
        <v>10.700662623991276</v>
      </c>
      <c r="N236" s="47"/>
      <c r="O236" s="47"/>
    </row>
    <row r="237" spans="1:15" x14ac:dyDescent="0.3">
      <c r="B237" s="35">
        <f t="shared" si="47"/>
        <v>1400</v>
      </c>
      <c r="C237" s="55">
        <f t="shared" si="45"/>
        <v>12.471708</v>
      </c>
      <c r="D237" s="55">
        <f t="shared" si="45"/>
        <v>12.471708</v>
      </c>
      <c r="E237" s="55" cm="1">
        <f t="array" ref="E237">$D$2*SUM( ( ($B$12:$B$17) * ($B$12:$B$17)* EXP($B$12:$B$17/B237) ) / ( B237*B237* ( EXP(( $B$12:$B$17)/B237 )  -1)^2 ) )</f>
        <v>45.42524982028452</v>
      </c>
      <c r="H237" s="35">
        <f t="shared" si="48"/>
        <v>1400</v>
      </c>
      <c r="I237" s="55">
        <f t="shared" si="46"/>
        <v>2.9808097514340344</v>
      </c>
      <c r="J237" s="55">
        <f t="shared" si="46"/>
        <v>2.9808097514340344</v>
      </c>
      <c r="K237" s="55" cm="1">
        <f t="array" ref="K237">$D$2*SUM( ( ($B$12:$B$17) * ($B$12:$B$17)* EXP($B$12:$B$17/B237) ) / ( B237*B237* ( EXP(( $B$12:$B$17)/B237 )  -1)^2 ) )/ 4.184</f>
        <v>10.85689527253454</v>
      </c>
    </row>
    <row r="238" spans="1:15" ht="15" thickBot="1" x14ac:dyDescent="0.35">
      <c r="B238" s="35">
        <f t="shared" si="47"/>
        <v>1500</v>
      </c>
      <c r="C238" s="55">
        <f t="shared" si="45"/>
        <v>12.471708</v>
      </c>
      <c r="D238" s="55">
        <f t="shared" si="45"/>
        <v>12.471708</v>
      </c>
      <c r="E238" s="55" cm="1">
        <f t="array" ref="E238">$D$2*SUM( ( ($B$12:$B$17) * ($B$12:$B$17)* EXP($B$12:$B$17/B238) ) / ( B238*B238* ( EXP(( $B$12:$B$17)/B238 )  -1)^2 ) )</f>
        <v>45.963799842031385</v>
      </c>
      <c r="H238" s="35">
        <f t="shared" si="48"/>
        <v>1500</v>
      </c>
      <c r="I238" s="55">
        <f t="shared" si="46"/>
        <v>2.9808097514340344</v>
      </c>
      <c r="J238" s="55">
        <f t="shared" si="46"/>
        <v>2.9808097514340344</v>
      </c>
      <c r="K238" s="55" cm="1">
        <f t="array" ref="K238">$D$2*SUM( ( ($B$12:$B$17) * ($B$12:$B$17)* EXP($B$12:$B$17/B238) ) / ( B238*B238* ( EXP(( $B$12:$B$17)/B238 )  -1)^2 ) )/ 4.184</f>
        <v>10.985611816929106</v>
      </c>
    </row>
    <row r="239" spans="1:15" ht="15" thickBot="1" x14ac:dyDescent="0.35">
      <c r="B239" s="35">
        <f t="shared" si="47"/>
        <v>1600</v>
      </c>
      <c r="C239" s="55">
        <f t="shared" si="45"/>
        <v>12.471708</v>
      </c>
      <c r="D239" s="55">
        <f t="shared" si="45"/>
        <v>12.471708</v>
      </c>
      <c r="E239" s="55" cm="1">
        <f t="array" ref="E239">$D$2*SUM( ( ($B$12:$B$17) * ($B$12:$B$17)* EXP($B$12:$B$17/B239) ) / ( B239*B239* ( EXP(( $B$12:$B$17)/B239 )  -1)^2 ) )</f>
        <v>46.412197136455987</v>
      </c>
      <c r="H239" s="35">
        <f t="shared" si="48"/>
        <v>1600</v>
      </c>
      <c r="I239" s="55">
        <f t="shared" si="46"/>
        <v>2.9808097514340344</v>
      </c>
      <c r="J239" s="55">
        <f t="shared" si="46"/>
        <v>2.9808097514340344</v>
      </c>
      <c r="K239" s="55" cm="1">
        <f t="array" ref="K239">$D$2*SUM( ( ($B$12:$B$17) * ($B$12:$B$17)* EXP($B$12:$B$17/B239) ) / ( B239*B239* ( EXP(( $B$12:$B$17)/B239 )  -1)^2 ) )/ 4.184</f>
        <v>11.092781342365198</v>
      </c>
      <c r="M239" s="30" t="s">
        <v>94</v>
      </c>
      <c r="N239" s="143">
        <f>SUM(I226:L226)</f>
        <v>9.0740775286482602</v>
      </c>
    </row>
    <row r="240" spans="1:15" x14ac:dyDescent="0.3">
      <c r="B240" s="35">
        <f t="shared" si="47"/>
        <v>1700</v>
      </c>
      <c r="C240" s="55">
        <f t="shared" si="45"/>
        <v>12.471708</v>
      </c>
      <c r="D240" s="55">
        <f t="shared" si="45"/>
        <v>12.471708</v>
      </c>
      <c r="E240" s="55" cm="1">
        <f t="array" ref="E240">$D$2*SUM( ( ($B$12:$B$17) * ($B$12:$B$17)* EXP($B$12:$B$17/B240) ) / ( B240*B240* ( EXP(( $B$12:$B$17)/B240 )  -1)^2 ) )</f>
        <v>46.78913589220663</v>
      </c>
      <c r="H240" s="35">
        <f t="shared" si="48"/>
        <v>1700</v>
      </c>
      <c r="I240" s="55">
        <f t="shared" si="46"/>
        <v>2.9808097514340344</v>
      </c>
      <c r="J240" s="55">
        <f t="shared" si="46"/>
        <v>2.9808097514340344</v>
      </c>
      <c r="K240" s="55" cm="1">
        <f t="array" ref="K240">$D$2*SUM( ( ($B$12:$B$17) * ($B$12:$B$17)* EXP($B$12:$B$17/B240) ) / ( B240*B240* ( EXP(( $B$12:$B$17)/B240 )  -1)^2 ) )/ 4.184</f>
        <v>11.182871867162197</v>
      </c>
    </row>
    <row r="241" spans="1:12" x14ac:dyDescent="0.3">
      <c r="B241" s="35">
        <f t="shared" si="47"/>
        <v>1800</v>
      </c>
      <c r="C241" s="55">
        <f t="shared" si="45"/>
        <v>12.471708</v>
      </c>
      <c r="D241" s="55">
        <f t="shared" si="45"/>
        <v>12.471708</v>
      </c>
      <c r="E241" s="55" cm="1">
        <f t="array" ref="E241">$D$2*SUM( ( ($B$12:$B$17) * ($B$12:$B$17)* EXP($B$12:$B$17/B241) ) / ( B241*B241* ( EXP(( $B$12:$B$17)/B241 )  -1)^2 ) )</f>
        <v>47.108791931802969</v>
      </c>
      <c r="H241" s="35">
        <f t="shared" si="48"/>
        <v>1800</v>
      </c>
      <c r="I241" s="55">
        <f t="shared" si="46"/>
        <v>2.9808097514340344</v>
      </c>
      <c r="J241" s="55">
        <f t="shared" si="46"/>
        <v>2.9808097514340344</v>
      </c>
      <c r="K241" s="55" cm="1">
        <f t="array" ref="K241">$D$2*SUM( ( ($B$12:$B$17) * ($B$12:$B$17)* EXP($B$12:$B$17/B241) ) / ( B241*B241* ( EXP(( $B$12:$B$17)/B241 )  -1)^2 ) )/ 4.184</f>
        <v>11.259271494216771</v>
      </c>
    </row>
    <row r="242" spans="1:12" x14ac:dyDescent="0.3">
      <c r="B242" s="35">
        <f t="shared" si="47"/>
        <v>1900</v>
      </c>
      <c r="C242" s="55">
        <f t="shared" si="45"/>
        <v>12.471708</v>
      </c>
      <c r="D242" s="55">
        <f t="shared" si="45"/>
        <v>12.471708</v>
      </c>
      <c r="E242" s="55" cm="1">
        <f t="array" ref="E242">$D$2*SUM( ( ($B$12:$B$17) * ($B$12:$B$17)* EXP($B$12:$B$17/B242) ) / ( B242*B242* ( EXP(( $B$12:$B$17)/B242 )  -1)^2 ) )</f>
        <v>47.382047946982567</v>
      </c>
      <c r="H242" s="35">
        <f t="shared" si="48"/>
        <v>1900</v>
      </c>
      <c r="I242" s="55">
        <f t="shared" si="46"/>
        <v>2.9808097514340344</v>
      </c>
      <c r="J242" s="55">
        <f t="shared" si="46"/>
        <v>2.9808097514340344</v>
      </c>
      <c r="K242" s="55" cm="1">
        <f t="array" ref="K242">$D$2*SUM( ( ($B$12:$B$17) * ($B$12:$B$17)* EXP($B$12:$B$17/B242) ) / ( B242*B242* ( EXP(( $B$12:$B$17)/B242 )  -1)^2 ) )/ 4.184</f>
        <v>11.324581249278816</v>
      </c>
    </row>
    <row r="243" spans="1:12" x14ac:dyDescent="0.3">
      <c r="B243" s="35">
        <f t="shared" si="47"/>
        <v>2000</v>
      </c>
      <c r="C243" s="55">
        <f t="shared" si="45"/>
        <v>12.471708</v>
      </c>
      <c r="D243" s="55">
        <f t="shared" si="45"/>
        <v>12.471708</v>
      </c>
      <c r="E243" s="55" cm="1">
        <f t="array" ref="E243">$D$2*SUM( ( ($B$12:$B$17) * ($B$12:$B$17)* EXP($B$12:$B$17/B243) ) / ( B243*B243* ( EXP(( $B$12:$B$17)/B243 )  -1)^2 ) )</f>
        <v>47.617355757480937</v>
      </c>
      <c r="H243" s="35">
        <f t="shared" si="48"/>
        <v>2000</v>
      </c>
      <c r="I243" s="55">
        <f t="shared" si="46"/>
        <v>2.9808097514340344</v>
      </c>
      <c r="J243" s="55">
        <f t="shared" si="46"/>
        <v>2.9808097514340344</v>
      </c>
      <c r="K243" s="55" cm="1">
        <f t="array" ref="K243">$D$2*SUM( ( ($B$12:$B$17) * ($B$12:$B$17)* EXP($B$12:$B$17/B243) ) / ( B243*B243* ( EXP(( $B$12:$B$17)/B243 )  -1)^2 ) )/ 4.184</f>
        <v>11.380821165745921</v>
      </c>
    </row>
    <row r="244" spans="1:12" ht="15" thickBot="1" x14ac:dyDescent="0.35">
      <c r="B244" s="26">
        <f t="shared" si="47"/>
        <v>2100</v>
      </c>
      <c r="C244" s="58">
        <f t="shared" si="45"/>
        <v>12.471708</v>
      </c>
      <c r="D244" s="58">
        <f t="shared" si="45"/>
        <v>12.471708</v>
      </c>
      <c r="E244" s="58" cm="1">
        <f t="array" ref="E244">$D$2*SUM( ( ($B$12:$B$17) * ($B$12:$B$17)* EXP($B$12:$B$17/B244) ) / ( B244*B244* ( EXP(( $B$12:$B$17)/B244 )  -1)^2 ) )</f>
        <v>47.821350722939087</v>
      </c>
      <c r="F244" s="53"/>
      <c r="H244" s="26">
        <f t="shared" si="48"/>
        <v>2100</v>
      </c>
      <c r="I244" s="58">
        <f t="shared" si="46"/>
        <v>2.9808097514340344</v>
      </c>
      <c r="J244" s="58">
        <f t="shared" si="46"/>
        <v>2.9808097514340344</v>
      </c>
      <c r="K244" s="58" cm="1">
        <f t="array" ref="K244">$D$2*SUM( ( ($B$12:$B$17) * ($B$12:$B$17)* EXP($B$12:$B$17/B244) ) / ( B244*B244* ( EXP(( $B$12:$B$17)/B244 )  -1)^2 ) )/ 4.184</f>
        <v>11.429577132633625</v>
      </c>
      <c r="L244" s="53"/>
    </row>
    <row r="247" spans="1:12" ht="15" thickBot="1" x14ac:dyDescent="0.35">
      <c r="A247" s="5" t="s">
        <v>105</v>
      </c>
    </row>
    <row r="248" spans="1:12" ht="18" x14ac:dyDescent="0.3">
      <c r="A248" s="5" t="s">
        <v>88</v>
      </c>
      <c r="B248" s="94" t="s">
        <v>47</v>
      </c>
      <c r="C248" s="16" t="s">
        <v>89</v>
      </c>
      <c r="D248" s="16" t="s">
        <v>37</v>
      </c>
      <c r="E248" s="16" t="s">
        <v>38</v>
      </c>
      <c r="F248" s="19" t="s">
        <v>90</v>
      </c>
    </row>
    <row r="249" spans="1:12" ht="15" thickBot="1" x14ac:dyDescent="0.35">
      <c r="B249" s="35">
        <f>298.15</f>
        <v>298.14999999999998</v>
      </c>
      <c r="C249" s="55">
        <f xml:space="preserve"> -1 * $D$2 * LN( (($A$2 *B249) / $F$83 ) /$F$2 * EXP(1) * $G$2 )</f>
        <v>323.62489433436241</v>
      </c>
      <c r="D249" s="55">
        <f>$D$2 * B249*LN( (B249) / ($B$6 * $C$198))</f>
        <v>12964.927668887374</v>
      </c>
      <c r="E249" s="55" cm="1">
        <f t="array" ref="E249">$D$2*SUM( ( 0.5 * ($B$12:$B$17)  - B249 * LN( 1 - EXP( - ($B$12:$B$17) / B249 ) ) ) )</f>
        <v>36021.602102367258</v>
      </c>
      <c r="F249" s="67">
        <f>$F$2*$B$134 + 0.5*$D$2*SUM(B12:B29)</f>
        <v>-107354629.85130078</v>
      </c>
    </row>
    <row r="250" spans="1:12" x14ac:dyDescent="0.3">
      <c r="B250" s="35">
        <f>300+100</f>
        <v>400</v>
      </c>
      <c r="C250" s="55">
        <f t="shared" ref="C250:C267" si="49" xml:space="preserve"> -1 * $D$2 * LN( (($A$2 *B250) / $F$83 ) /$F$2 * EXP(1) * $G$2 )</f>
        <v>321.18153847733174</v>
      </c>
      <c r="D250" s="55">
        <f t="shared" ref="D250:D267" si="50">$D$2 * B250*LN( (B250) / ($B$6 * $C$198))</f>
        <v>18371.174533169284</v>
      </c>
      <c r="E250" s="55" cm="1">
        <f t="array" ref="E250">$D$2*SUM( ( 0.5 * ($B$12:$B$17)  - B250 * LN( 1 - EXP( - ($B$12:$B$17) / B250 ) ) ) )</f>
        <v>36799.096963291384</v>
      </c>
    </row>
    <row r="251" spans="1:12" x14ac:dyDescent="0.3">
      <c r="B251" s="35">
        <f t="shared" ref="B251:B267" si="51">B250+100</f>
        <v>500</v>
      </c>
      <c r="C251" s="55">
        <f t="shared" si="49"/>
        <v>319.32621766794921</v>
      </c>
      <c r="D251" s="55">
        <f t="shared" si="50"/>
        <v>23891.628571152884</v>
      </c>
      <c r="E251" s="55" cm="1">
        <f t="array" ref="E251">$D$2*SUM( ( 0.5 * ($B$12:$B$17)  - B251 * LN( 1 - EXP( - ($B$12:$B$17) / B251 ) ) ) )</f>
        <v>38077.028618754717</v>
      </c>
    </row>
    <row r="252" spans="1:12" x14ac:dyDescent="0.3">
      <c r="B252" s="35">
        <f t="shared" si="51"/>
        <v>600</v>
      </c>
      <c r="C252" s="55">
        <f t="shared" si="49"/>
        <v>317.81031018898943</v>
      </c>
      <c r="D252" s="55">
        <f t="shared" si="50"/>
        <v>29579.498772759311</v>
      </c>
      <c r="E252" s="55" cm="1">
        <f t="array" ref="E252">$D$2*SUM( ( 0.5 * ($B$12:$B$17)  - B252 * LN( 1 - EXP( - ($B$12:$B$17) / B252 ) ) ) )</f>
        <v>39888.695011060423</v>
      </c>
    </row>
    <row r="253" spans="1:12" x14ac:dyDescent="0.3">
      <c r="B253" s="35">
        <f t="shared" si="51"/>
        <v>700</v>
      </c>
      <c r="C253" s="55">
        <f t="shared" si="49"/>
        <v>316.52862867778475</v>
      </c>
      <c r="D253" s="55">
        <f t="shared" si="50"/>
        <v>35406.592292729154</v>
      </c>
      <c r="E253" s="55" cm="1">
        <f t="array" ref="E253">$D$2*SUM( ( 0.5 * ($B$12:$B$17)  - B253 * LN( 1 - EXP( - ($B$12:$B$17) / B253 ) ) ) )</f>
        <v>42226.440442753585</v>
      </c>
    </row>
    <row r="254" spans="1:12" x14ac:dyDescent="0.3">
      <c r="B254" s="35">
        <f t="shared" si="51"/>
        <v>800</v>
      </c>
      <c r="C254" s="55">
        <f t="shared" si="49"/>
        <v>315.41838565268711</v>
      </c>
      <c r="D254" s="55">
        <f t="shared" si="50"/>
        <v>41352.871326054257</v>
      </c>
      <c r="E254" s="55" cm="1">
        <f t="array" ref="E254">$D$2*SUM( ( 0.5 * ($B$12:$B$17)  - B254 * LN( 1 - EXP( - ($B$12:$B$17) / B254 ) ) ) )</f>
        <v>45067.681447851319</v>
      </c>
    </row>
    <row r="255" spans="1:12" x14ac:dyDescent="0.3">
      <c r="B255" s="35">
        <f t="shared" si="51"/>
        <v>900</v>
      </c>
      <c r="C255" s="55">
        <f t="shared" si="49"/>
        <v>314.43908190064712</v>
      </c>
      <c r="D255" s="55">
        <f t="shared" si="50"/>
        <v>47403.353618647045</v>
      </c>
      <c r="E255" s="55" cm="1">
        <f t="array" ref="E255">$D$2*SUM( ( 0.5 * ($B$12:$B$17)  - B255 * LN( 1 - EXP( - ($B$12:$B$17) / B255 ) ) ) )</f>
        <v>48384.083495182873</v>
      </c>
    </row>
    <row r="256" spans="1:12" x14ac:dyDescent="0.3">
      <c r="B256" s="35">
        <f t="shared" si="51"/>
        <v>1000</v>
      </c>
      <c r="C256" s="55">
        <f t="shared" si="49"/>
        <v>313.56306484330457</v>
      </c>
      <c r="D256" s="55">
        <f t="shared" si="50"/>
        <v>53546.409966950378</v>
      </c>
      <c r="E256" s="55" cm="1">
        <f t="array" ref="E256">$D$2*SUM( ( 0.5 * ($B$12:$B$17)  - B256 * LN( 1 - EXP( - ($B$12:$B$17) / B256 ) ) ) )</f>
        <v>52146.19456117745</v>
      </c>
    </row>
    <row r="257" spans="1:12" x14ac:dyDescent="0.3">
      <c r="B257" s="35">
        <f t="shared" si="51"/>
        <v>1100</v>
      </c>
      <c r="C257" s="55">
        <f t="shared" si="49"/>
        <v>312.77061102200656</v>
      </c>
      <c r="D257" s="55">
        <f t="shared" si="50"/>
        <v>59772.750167073245</v>
      </c>
      <c r="E257" s="55" cm="1">
        <f t="array" ref="E257">$D$2*SUM( ( 0.5 * ($B$12:$B$17)  - B257 * LN( 1 - EXP( - ($B$12:$B$17) / B257 ) ) ) )</f>
        <v>56325.605230242938</v>
      </c>
    </row>
    <row r="258" spans="1:12" x14ac:dyDescent="0.3">
      <c r="B258" s="35">
        <f t="shared" si="51"/>
        <v>1200</v>
      </c>
      <c r="C258" s="55">
        <f t="shared" si="49"/>
        <v>312.04715736434486</v>
      </c>
      <c r="D258" s="55">
        <f t="shared" si="50"/>
        <v>66074.78093509216</v>
      </c>
      <c r="E258" s="55" cm="1">
        <f t="array" ref="E258">$D$2*SUM( ( 0.5 * ($B$12:$B$17)  - B258 * LN( 1 - EXP( - ($B$12:$B$17) / B258 ) ) ) )</f>
        <v>60895.849607676617</v>
      </c>
    </row>
    <row r="259" spans="1:12" x14ac:dyDescent="0.3">
      <c r="B259" s="35">
        <f t="shared" si="51"/>
        <v>1300</v>
      </c>
      <c r="C259" s="55">
        <f t="shared" si="49"/>
        <v>311.38164451258899</v>
      </c>
      <c r="D259" s="55">
        <f t="shared" si="50"/>
        <v>72446.179386965698</v>
      </c>
      <c r="E259" s="55" cm="1">
        <f t="array" ref="E259">$D$2*SUM( ( 0.5 * ($B$12:$B$17)  - B259 * LN( 1 - EXP( - ($B$12:$B$17) / B259 ) ) ) )</f>
        <v>65832.687890406771</v>
      </c>
    </row>
    <row r="260" spans="1:12" x14ac:dyDescent="0.3">
      <c r="B260" s="35">
        <f t="shared" si="51"/>
        <v>1400</v>
      </c>
      <c r="C260" s="55">
        <f t="shared" si="49"/>
        <v>310.76547585314012</v>
      </c>
      <c r="D260" s="55">
        <f t="shared" si="50"/>
        <v>78881.59853996076</v>
      </c>
      <c r="E260" s="55" cm="1">
        <f t="array" ref="E260">$D$2*SUM( ( 0.5 * ($B$12:$B$17)  - B260 * LN( 1 - EXP( - ($B$12:$B$17) / B260 ) ) ) )</f>
        <v>71114.096434201972</v>
      </c>
    </row>
    <row r="261" spans="1:12" x14ac:dyDescent="0.3">
      <c r="B261" s="35">
        <f t="shared" si="51"/>
        <v>1500</v>
      </c>
      <c r="C261" s="55">
        <f t="shared" si="49"/>
        <v>310.19183655496232</v>
      </c>
      <c r="D261" s="55">
        <f t="shared" si="50"/>
        <v>85376.457382939028</v>
      </c>
      <c r="E261" s="55" cm="1">
        <f t="array" ref="E261">$D$2*SUM( ( 0.5 * ($B$12:$B$17)  - B261 * LN( 1 - EXP( - ($B$12:$B$17) / B261 ) ) ) )</f>
        <v>76720.128562023732</v>
      </c>
    </row>
    <row r="262" spans="1:12" x14ac:dyDescent="0.3">
      <c r="B262" s="35">
        <f t="shared" si="51"/>
        <v>1600</v>
      </c>
      <c r="C262" s="55">
        <f t="shared" si="49"/>
        <v>309.65523282804253</v>
      </c>
      <c r="D262" s="55">
        <f t="shared" si="50"/>
        <v>91926.787171539894</v>
      </c>
      <c r="E262" s="55" cm="1">
        <f t="array" ref="E262">$D$2*SUM( ( 0.5 * ($B$12:$B$17)  - B262 * LN( 1 - EXP( - ($B$12:$B$17) / B262 ) ) ) )</f>
        <v>82632.726946616254</v>
      </c>
    </row>
    <row r="263" spans="1:12" x14ac:dyDescent="0.3">
      <c r="B263" s="35">
        <f t="shared" si="51"/>
        <v>1700</v>
      </c>
      <c r="C263" s="55">
        <f t="shared" si="49"/>
        <v>309.15117110743921</v>
      </c>
      <c r="D263" s="55">
        <f t="shared" si="50"/>
        <v>98529.1162947868</v>
      </c>
      <c r="E263" s="55" cm="1">
        <f t="array" ref="E263">$D$2*SUM( ( 0.5 * ($B$12:$B$17)  - B263 * LN( 1 - EXP( - ($B$12:$B$17) / B263 ) ) ) )</f>
        <v>88835.526747500233</v>
      </c>
    </row>
    <row r="264" spans="1:12" x14ac:dyDescent="0.3">
      <c r="B264" s="35">
        <f t="shared" si="51"/>
        <v>1800</v>
      </c>
      <c r="C264" s="55">
        <f t="shared" si="49"/>
        <v>308.67592907600255</v>
      </c>
      <c r="D264" s="55">
        <f t="shared" si="50"/>
        <v>105180.38232165437</v>
      </c>
      <c r="E264" s="55" cm="1">
        <f t="array" ref="E264">$D$2*SUM( ( 0.5 * ($B$12:$B$17)  - B264 * LN( 1 - EXP( - ($B$12:$B$17) / B264 ) ) ) )</f>
        <v>95313.667623301168</v>
      </c>
    </row>
    <row r="265" spans="1:12" x14ac:dyDescent="0.3">
      <c r="B265" s="35">
        <f t="shared" si="51"/>
        <v>1900</v>
      </c>
      <c r="C265" s="55">
        <f t="shared" si="49"/>
        <v>308.22638867863304</v>
      </c>
      <c r="D265" s="55">
        <f t="shared" si="50"/>
        <v>111877.86365008169</v>
      </c>
      <c r="E265" s="55" cm="1">
        <f t="array" ref="E265">$D$2*SUM( ( 0.5 * ($B$12:$B$17)  - B265 * LN( 1 - EXP( - ($B$12:$B$17) / B265 ) ) ) )</f>
        <v>102053.62213165282</v>
      </c>
    </row>
    <row r="266" spans="1:12" x14ac:dyDescent="0.3">
      <c r="B266" s="35">
        <f t="shared" si="51"/>
        <v>2000</v>
      </c>
      <c r="C266" s="55">
        <f t="shared" si="49"/>
        <v>307.79991201865994</v>
      </c>
      <c r="D266" s="55">
        <f t="shared" si="50"/>
        <v>118619.12558318998</v>
      </c>
      <c r="E266" s="55" cm="1">
        <f t="array" ref="E266">$D$2*SUM( ( 0.5 * ($B$12:$B$17)  - B266 * LN( 1 - EXP( - ($B$12:$B$17) / B266 ) ) ) )</f>
        <v>109043.04275969215</v>
      </c>
    </row>
    <row r="267" spans="1:12" ht="15" thickBot="1" x14ac:dyDescent="0.35">
      <c r="B267" s="26">
        <f t="shared" si="51"/>
        <v>2100</v>
      </c>
      <c r="C267" s="58">
        <f t="shared" si="49"/>
        <v>307.39424756479781</v>
      </c>
      <c r="D267" s="58">
        <f t="shared" si="50"/>
        <v>125401.97721545999</v>
      </c>
      <c r="E267" s="55" cm="1">
        <f t="array" ref="E267">$D$2*SUM( ( 0.5 * ($B$12:$B$17)  - B267 * LN( 1 - EXP( - ($B$12:$B$17) / B267 ) ) ) )</f>
        <v>116270.627300138</v>
      </c>
      <c r="F267" s="53"/>
    </row>
    <row r="268" spans="1:12" ht="15" thickBot="1" x14ac:dyDescent="0.35">
      <c r="E268" s="25"/>
    </row>
    <row r="272" spans="1:12" ht="15" thickBot="1" x14ac:dyDescent="0.35">
      <c r="A272" s="5" t="s">
        <v>106</v>
      </c>
      <c r="B272" s="208" t="s">
        <v>103</v>
      </c>
      <c r="C272" s="208"/>
      <c r="D272" s="208"/>
      <c r="E272" s="208"/>
      <c r="F272" s="208"/>
      <c r="H272" s="208" t="s">
        <v>104</v>
      </c>
      <c r="I272" s="208"/>
      <c r="J272" s="208"/>
      <c r="K272" s="208"/>
      <c r="L272" s="208"/>
    </row>
    <row r="273" spans="1:12" ht="18" x14ac:dyDescent="0.3">
      <c r="A273" s="5" t="s">
        <v>99</v>
      </c>
      <c r="B273" s="94" t="s">
        <v>47</v>
      </c>
      <c r="C273" s="16" t="s">
        <v>89</v>
      </c>
      <c r="D273" s="16" t="s">
        <v>37</v>
      </c>
      <c r="E273" s="16" t="s">
        <v>38</v>
      </c>
      <c r="F273" s="16" t="s">
        <v>90</v>
      </c>
      <c r="H273" s="94" t="s">
        <v>47</v>
      </c>
      <c r="I273" s="116" t="s">
        <v>89</v>
      </c>
      <c r="J273" s="116" t="s">
        <v>37</v>
      </c>
      <c r="K273" s="116" t="s">
        <v>38</v>
      </c>
      <c r="L273" s="16" t="s">
        <v>90</v>
      </c>
    </row>
    <row r="274" spans="1:12" ht="15" thickBot="1" x14ac:dyDescent="0.35">
      <c r="B274" s="54">
        <f>300</f>
        <v>300</v>
      </c>
      <c r="C274" s="55">
        <f>3/2*$D$2 + $D$2</f>
        <v>20.786180000000002</v>
      </c>
      <c r="D274" s="55">
        <f>3/2*$D$2  + $D$2</f>
        <v>20.786180000000002</v>
      </c>
      <c r="E274" s="55" cm="1">
        <f t="array" ref="E274">$D$2*SUM( ( ($B$12:$B$20) * ($B$12:$B$20)* EXP($B$12:$B$20/B274) ) / ( B274*B274* ( EXP(( $B$12:$B$20)/B274 )  -1)^2 ) ) +   $D$2</f>
        <v>21.968483801751955</v>
      </c>
      <c r="F274" s="58" t="s">
        <v>107</v>
      </c>
      <c r="H274" s="54">
        <f>300</f>
        <v>300</v>
      </c>
      <c r="I274" s="105">
        <f>(3/2*$D$2  + $D$2)/ 4.184</f>
        <v>4.9680162523900577</v>
      </c>
      <c r="J274" s="105">
        <f>(3/2*$D$2 + $D$2) / 4.184</f>
        <v>4.9680162523900577</v>
      </c>
      <c r="K274" s="105" cm="1">
        <f t="array" ref="K274" xml:space="preserve"> ($D$2*SUM( ( ($B$12:$B$20) * ($B$12:$B$20)* EXP($B$12:$B$20/B274) ) / ( B274*B274* ( EXP(( $B$12:$B$20)/B274 )  -1)^2 ) ) +   $D$2 ) / 4.184</f>
        <v>5.2505936428661455</v>
      </c>
      <c r="L274" s="117" t="s">
        <v>107</v>
      </c>
    </row>
    <row r="275" spans="1:12" x14ac:dyDescent="0.3">
      <c r="B275" s="54">
        <f>B274+100</f>
        <v>400</v>
      </c>
      <c r="C275" s="55">
        <f t="shared" ref="C275:C292" si="52">3/2*$D$2 + $D$2</f>
        <v>20.786180000000002</v>
      </c>
      <c r="D275" s="55">
        <f t="shared" ref="D275:D292" si="53">3/2*$D$2  + $D$2</f>
        <v>20.786180000000002</v>
      </c>
      <c r="E275" s="55" cm="1">
        <f t="array" ref="E275">$D$2*SUM( ( ($B$12:$B$20) * ($B$12:$B$20)* EXP($B$12:$B$20/B275) ) / ( B275*B275* ( EXP(( $B$12:$B$20)/B275 )  -1)^2 ) ) +   $D$2</f>
        <v>30.65236604583918</v>
      </c>
      <c r="H275" s="54">
        <f>H274+100</f>
        <v>400</v>
      </c>
      <c r="I275" s="55">
        <f t="shared" ref="I275:I292" si="54">(3/2*$D$2  + $D$2)/ 4.184</f>
        <v>4.9680162523900577</v>
      </c>
      <c r="J275" s="55">
        <f t="shared" ref="J275:J292" si="55">(3/2*$D$2 + $D$2) / 4.184</f>
        <v>4.9680162523900577</v>
      </c>
      <c r="K275" s="55" cm="1">
        <f t="array" ref="K275" xml:space="preserve"> ($D$2*SUM( ( ($B$12:$B$20) * ($B$12:$B$20)* EXP($B$12:$B$20/B275) ) / ( B275*B275* ( EXP(( $B$12:$B$20)/B275)  -1)^2 ) ) +   $D$2 ) / 4.184</f>
        <v>7.3260913111470316</v>
      </c>
    </row>
    <row r="276" spans="1:12" x14ac:dyDescent="0.3">
      <c r="B276" s="54">
        <f t="shared" ref="B276:B292" si="56">B275+100</f>
        <v>500</v>
      </c>
      <c r="C276" s="55">
        <f t="shared" si="52"/>
        <v>20.786180000000002</v>
      </c>
      <c r="D276" s="55">
        <f t="shared" si="53"/>
        <v>20.786180000000002</v>
      </c>
      <c r="E276" s="55" cm="1">
        <f t="array" ref="E276">$D$2*SUM( ( ($B$12:$B$20) * ($B$12:$B$20)* EXP($B$12:$B$20/B276) ) / ( B276*B276* ( EXP(( $B$12:$B$20)/B276 )  -1)^2 ) ) +   $D$2</f>
        <v>38.689923571917639</v>
      </c>
      <c r="H276" s="54">
        <f t="shared" ref="H276:H292" si="57">H275+100</f>
        <v>500</v>
      </c>
      <c r="I276" s="55">
        <f t="shared" si="54"/>
        <v>4.9680162523900577</v>
      </c>
      <c r="J276" s="55">
        <f t="shared" si="55"/>
        <v>4.9680162523900577</v>
      </c>
      <c r="K276" s="55" cm="1">
        <f t="array" ref="K276" xml:space="preserve"> ($D$2*SUM( ( ($B$12:$B$20) * ($B$12:$B$20)* EXP($B$12:$B$20/B276) ) / ( B276*B276* ( EXP(( $B$12:$B$20)/B276)  -1)^2 ) ) +   $D$2 ) / 4.184</f>
        <v>9.2471136644162613</v>
      </c>
    </row>
    <row r="277" spans="1:12" x14ac:dyDescent="0.3">
      <c r="B277" s="54">
        <f t="shared" si="56"/>
        <v>600</v>
      </c>
      <c r="C277" s="55">
        <f t="shared" si="52"/>
        <v>20.786180000000002</v>
      </c>
      <c r="D277" s="55">
        <f t="shared" si="53"/>
        <v>20.786180000000002</v>
      </c>
      <c r="E277" s="55" cm="1">
        <f t="array" ref="E277">$D$2*SUM( ( ($B$12:$B$20) * ($B$12:$B$20)* EXP($B$12:$B$20/B277) ) / ( B277*B277* ( EXP(( $B$12:$B$20)/B277 )  -1)^2 ) ) +   $D$2</f>
        <v>45.522704901886804</v>
      </c>
      <c r="H277" s="54">
        <f t="shared" si="57"/>
        <v>600</v>
      </c>
      <c r="I277" s="55">
        <f t="shared" si="54"/>
        <v>4.9680162523900577</v>
      </c>
      <c r="J277" s="55">
        <f t="shared" si="55"/>
        <v>4.9680162523900577</v>
      </c>
      <c r="K277" s="55" cm="1">
        <f t="array" ref="K277" xml:space="preserve"> ($D$2*SUM( ( ($B$12:$B$20) * ($B$12:$B$20)* EXP($B$12:$B$20/B277) ) / ( B277*B277* ( EXP(( $B$12:$B$20)/B277)  -1)^2 ) ) +   $D$2 ) / 4.184</f>
        <v>10.880187596053251</v>
      </c>
    </row>
    <row r="278" spans="1:12" x14ac:dyDescent="0.3">
      <c r="B278" s="54">
        <f t="shared" si="56"/>
        <v>700</v>
      </c>
      <c r="C278" s="55">
        <f t="shared" si="52"/>
        <v>20.786180000000002</v>
      </c>
      <c r="D278" s="55">
        <f t="shared" si="53"/>
        <v>20.786180000000002</v>
      </c>
      <c r="E278" s="55" cm="1">
        <f t="array" ref="E278">$D$2*SUM( ( ($B$12:$B$20) * ($B$12:$B$20)* EXP($B$12:$B$20/B278) ) / ( B278*B278* ( EXP(( $B$12:$B$20)/B278 )  -1)^2 ) ) +   $D$2</f>
        <v>51.14705337498679</v>
      </c>
      <c r="H278" s="54">
        <f t="shared" si="57"/>
        <v>700</v>
      </c>
      <c r="I278" s="55">
        <f t="shared" si="54"/>
        <v>4.9680162523900577</v>
      </c>
      <c r="J278" s="55">
        <f t="shared" si="55"/>
        <v>4.9680162523900577</v>
      </c>
      <c r="K278" s="55" cm="1">
        <f t="array" ref="K278" xml:space="preserve"> ($D$2*SUM( ( ($B$12:$B$20) * ($B$12:$B$20)* EXP($B$12:$B$20/B278) ) / ( B278*B278* ( EXP(( $B$12:$B$20)/B278)  -1)^2 ) ) +   $D$2 ) / 4.184</f>
        <v>12.224439143161279</v>
      </c>
    </row>
    <row r="279" spans="1:12" x14ac:dyDescent="0.3">
      <c r="B279" s="54">
        <f t="shared" si="56"/>
        <v>800</v>
      </c>
      <c r="C279" s="55">
        <f t="shared" si="52"/>
        <v>20.786180000000002</v>
      </c>
      <c r="D279" s="55">
        <f t="shared" si="53"/>
        <v>20.786180000000002</v>
      </c>
      <c r="E279" s="55" cm="1">
        <f t="array" ref="E279">$D$2*SUM( ( ($B$12:$B$20) * ($B$12:$B$20)* EXP($B$12:$B$20/B279) ) / ( B279*B279* ( EXP(( $B$12:$B$20)/B279 )  -1)^2 ) ) +   $D$2</f>
        <v>55.743130424565699</v>
      </c>
      <c r="H279" s="54">
        <f t="shared" si="57"/>
        <v>800</v>
      </c>
      <c r="I279" s="55">
        <f t="shared" si="54"/>
        <v>4.9680162523900577</v>
      </c>
      <c r="J279" s="55">
        <f t="shared" si="55"/>
        <v>4.9680162523900577</v>
      </c>
      <c r="K279" s="55" cm="1">
        <f t="array" ref="K279" xml:space="preserve"> ($D$2*SUM( ( ($B$12:$B$20) * ($B$12:$B$20)* EXP($B$12:$B$20/B279) ) / ( B279*B279* ( EXP(( $B$12:$B$20)/B279)  -1)^2 ) ) +   $D$2 ) / 4.184</f>
        <v>13.322927921741323</v>
      </c>
    </row>
    <row r="280" spans="1:12" x14ac:dyDescent="0.3">
      <c r="B280" s="54">
        <f t="shared" si="56"/>
        <v>900</v>
      </c>
      <c r="C280" s="55">
        <f t="shared" si="52"/>
        <v>20.786180000000002</v>
      </c>
      <c r="D280" s="55">
        <f t="shared" si="53"/>
        <v>20.786180000000002</v>
      </c>
      <c r="E280" s="55" cm="1">
        <f t="array" ref="E280">$D$2*SUM( ( ($B$12:$B$20) * ($B$12:$B$20)* EXP($B$12:$B$20/B280) ) / ( B280*B280* ( EXP(( $B$12:$B$20)/B280 )  -1)^2 ) ) +   $D$2</f>
        <v>59.508961672883927</v>
      </c>
      <c r="H280" s="54">
        <f t="shared" si="57"/>
        <v>900</v>
      </c>
      <c r="I280" s="55">
        <f t="shared" si="54"/>
        <v>4.9680162523900577</v>
      </c>
      <c r="J280" s="55">
        <f t="shared" si="55"/>
        <v>4.9680162523900577</v>
      </c>
      <c r="K280" s="55" cm="1">
        <f t="array" ref="K280" xml:space="preserve"> ($D$2*SUM( ( ($B$12:$B$20) * ($B$12:$B$20)* EXP($B$12:$B$20/B280) ) / ( B280*B280* ( EXP(( $B$12:$B$20)/B280)  -1)^2 ) ) +   $D$2 ) / 4.184</f>
        <v>14.222983191415851</v>
      </c>
    </row>
    <row r="281" spans="1:12" x14ac:dyDescent="0.3">
      <c r="B281" s="54">
        <f t="shared" si="56"/>
        <v>1000</v>
      </c>
      <c r="C281" s="55">
        <f t="shared" si="52"/>
        <v>20.786180000000002</v>
      </c>
      <c r="D281" s="55">
        <f t="shared" si="53"/>
        <v>20.786180000000002</v>
      </c>
      <c r="E281" s="55" cm="1">
        <f t="array" ref="E281">$D$2*SUM( ( ($B$12:$B$20) * ($B$12:$B$20)* EXP($B$12:$B$20/B281) ) / ( B281*B281* ( EXP(( $B$12:$B$20)/B281 )  -1)^2 ) ) +   $D$2</f>
        <v>62.61338243761702</v>
      </c>
      <c r="H281" s="54">
        <f t="shared" si="57"/>
        <v>1000</v>
      </c>
      <c r="I281" s="55">
        <f t="shared" si="54"/>
        <v>4.9680162523900577</v>
      </c>
      <c r="J281" s="55">
        <f t="shared" si="55"/>
        <v>4.9680162523900577</v>
      </c>
      <c r="K281" s="55" cm="1">
        <f t="array" ref="K281" xml:space="preserve"> ($D$2*SUM( ( ($B$12:$B$20) * ($B$12:$B$20)* EXP($B$12:$B$20/B281) ) / ( B281*B281* ( EXP(( $B$12:$B$20)/B281)  -1)^2 ) ) +   $D$2 ) / 4.184</f>
        <v>14.964957561571945</v>
      </c>
    </row>
    <row r="282" spans="1:12" x14ac:dyDescent="0.3">
      <c r="B282" s="54">
        <f t="shared" si="56"/>
        <v>1100</v>
      </c>
      <c r="C282" s="55">
        <f t="shared" si="52"/>
        <v>20.786180000000002</v>
      </c>
      <c r="D282" s="55">
        <f t="shared" si="53"/>
        <v>20.786180000000002</v>
      </c>
      <c r="E282" s="55" cm="1">
        <f t="array" ref="E282">$D$2*SUM( ( ($B$12:$B$20) * ($B$12:$B$20)* EXP($B$12:$B$20/B282) ) / ( B282*B282* ( EXP(( $B$12:$B$20)/B282 )  -1)^2 ) ) +   $D$2</f>
        <v>65.190577874938342</v>
      </c>
      <c r="H282" s="54">
        <f t="shared" si="57"/>
        <v>1100</v>
      </c>
      <c r="I282" s="55">
        <f t="shared" si="54"/>
        <v>4.9680162523900577</v>
      </c>
      <c r="J282" s="55">
        <f t="shared" si="55"/>
        <v>4.9680162523900577</v>
      </c>
      <c r="K282" s="55" cm="1">
        <f t="array" ref="K282" xml:space="preserve"> ($D$2*SUM( ( ($B$12:$B$20) * ($B$12:$B$20)* EXP($B$12:$B$20/B282) ) / ( B282*B282* ( EXP(( $B$12:$B$20)/B282)  -1)^2 ) ) +   $D$2 ) / 4.184</f>
        <v>15.580922054239565</v>
      </c>
    </row>
    <row r="283" spans="1:12" x14ac:dyDescent="0.3">
      <c r="B283" s="54">
        <f t="shared" si="56"/>
        <v>1200</v>
      </c>
      <c r="C283" s="55">
        <f t="shared" si="52"/>
        <v>20.786180000000002</v>
      </c>
      <c r="D283" s="55">
        <f t="shared" si="53"/>
        <v>20.786180000000002</v>
      </c>
      <c r="E283" s="55" cm="1">
        <f t="array" ref="E283">$D$2*SUM( ( ($B$12:$B$20) * ($B$12:$B$20)* EXP($B$12:$B$20/B283) ) / ( B283*B283* ( EXP(( $B$12:$B$20)/B283 )  -1)^2 ) ) +   $D$2</f>
        <v>67.345278139058124</v>
      </c>
      <c r="H283" s="54">
        <f t="shared" si="57"/>
        <v>1200</v>
      </c>
      <c r="I283" s="55">
        <f t="shared" si="54"/>
        <v>4.9680162523900577</v>
      </c>
      <c r="J283" s="55">
        <f t="shared" si="55"/>
        <v>4.9680162523900577</v>
      </c>
      <c r="K283" s="55" cm="1">
        <f t="array" ref="K283" xml:space="preserve"> ($D$2*SUM( ( ($B$12:$B$20) * ($B$12:$B$20)* EXP($B$12:$B$20/B283) ) / ( B283*B283* ( EXP(( $B$12:$B$20)/B283)  -1)^2 ) ) +   $D$2 ) / 4.184</f>
        <v>16.095907777021541</v>
      </c>
    </row>
    <row r="284" spans="1:12" x14ac:dyDescent="0.3">
      <c r="B284" s="54">
        <f t="shared" si="56"/>
        <v>1300</v>
      </c>
      <c r="C284" s="55">
        <f t="shared" si="52"/>
        <v>20.786180000000002</v>
      </c>
      <c r="D284" s="55">
        <f t="shared" si="53"/>
        <v>20.786180000000002</v>
      </c>
      <c r="E284" s="55" cm="1">
        <f t="array" ref="E284">$D$2*SUM( ( ($B$12:$B$20) * ($B$12:$B$20)* EXP($B$12:$B$20/B284) ) / ( B284*B284* ( EXP(( $B$12:$B$20)/B284 )  -1)^2 ) ) +   $D$2</f>
        <v>69.159162750040522</v>
      </c>
      <c r="H284" s="54">
        <f t="shared" si="57"/>
        <v>1300</v>
      </c>
      <c r="I284" s="55">
        <f t="shared" si="54"/>
        <v>4.9680162523900577</v>
      </c>
      <c r="J284" s="55">
        <f t="shared" si="55"/>
        <v>4.9680162523900577</v>
      </c>
      <c r="K284" s="55" cm="1">
        <f t="array" ref="K284" xml:space="preserve"> ($D$2*SUM( ( ($B$12:$B$20) * ($B$12:$B$20)* EXP($B$12:$B$20/B284) ) / ( B284*B284* ( EXP(( $B$12:$B$20)/B284)  -1)^2 ) ) +   $D$2 ) / 4.184</f>
        <v>16.529436603738173</v>
      </c>
    </row>
    <row r="285" spans="1:12" x14ac:dyDescent="0.3">
      <c r="B285" s="54">
        <f t="shared" si="56"/>
        <v>1400</v>
      </c>
      <c r="C285" s="55">
        <f t="shared" si="52"/>
        <v>20.786180000000002</v>
      </c>
      <c r="D285" s="55">
        <f t="shared" si="53"/>
        <v>20.786180000000002</v>
      </c>
      <c r="E285" s="55" cm="1">
        <f t="array" ref="E285">$D$2*SUM( ( ($B$12:$B$20) * ($B$12:$B$20)* EXP($B$12:$B$20/B285) ) / ( B285*B285* ( EXP(( $B$12:$B$20)/B285 )  -1)^2 ) ) +   $D$2</f>
        <v>70.696242164931348</v>
      </c>
      <c r="H285" s="54">
        <f t="shared" si="57"/>
        <v>1400</v>
      </c>
      <c r="I285" s="55">
        <f t="shared" si="54"/>
        <v>4.9680162523900577</v>
      </c>
      <c r="J285" s="55">
        <f t="shared" si="55"/>
        <v>4.9680162523900577</v>
      </c>
      <c r="K285" s="55" cm="1">
        <f t="array" ref="K285" xml:space="preserve"> ($D$2*SUM( ( ($B$12:$B$20) * ($B$12:$B$20)* EXP($B$12:$B$20/B285) ) / ( B285*B285* ( EXP(( $B$12:$B$20)/B285)  -1)^2 ) ) +   $D$2 ) / 4.184</f>
        <v>16.896807400796209</v>
      </c>
    </row>
    <row r="286" spans="1:12" x14ac:dyDescent="0.3">
      <c r="B286" s="54">
        <f t="shared" si="56"/>
        <v>1500</v>
      </c>
      <c r="C286" s="55">
        <f t="shared" si="52"/>
        <v>20.786180000000002</v>
      </c>
      <c r="D286" s="55">
        <f t="shared" si="53"/>
        <v>20.786180000000002</v>
      </c>
      <c r="E286" s="55" cm="1">
        <f t="array" ref="E286">$D$2*SUM( ( ($B$12:$B$20) * ($B$12:$B$20)* EXP($B$12:$B$20/B286) ) / ( B286*B286* ( EXP(( $B$12:$B$20)/B286 )  -1)^2 ) ) +   $D$2</f>
        <v>72.006997990437029</v>
      </c>
      <c r="H286" s="54">
        <f t="shared" si="57"/>
        <v>1500</v>
      </c>
      <c r="I286" s="55">
        <f t="shared" si="54"/>
        <v>4.9680162523900577</v>
      </c>
      <c r="J286" s="55">
        <f t="shared" si="55"/>
        <v>4.9680162523900577</v>
      </c>
      <c r="K286" s="55" cm="1">
        <f t="array" ref="K286" xml:space="preserve"> ($D$2*SUM( ( ($B$12:$B$20) * ($B$12:$B$20)* EXP($B$12:$B$20/B286) ) / ( B286*B286* ( EXP(( $B$12:$B$20)/B286)  -1)^2 ) ) +   $D$2 ) / 4.184</f>
        <v>17.210085561767933</v>
      </c>
    </row>
    <row r="287" spans="1:12" x14ac:dyDescent="0.3">
      <c r="B287" s="54">
        <f t="shared" si="56"/>
        <v>1600</v>
      </c>
      <c r="C287" s="55">
        <f t="shared" si="52"/>
        <v>20.786180000000002</v>
      </c>
      <c r="D287" s="55">
        <f t="shared" si="53"/>
        <v>20.786180000000002</v>
      </c>
      <c r="E287" s="55" cm="1">
        <f t="array" ref="E287">$D$2*SUM( ( ($B$12:$B$20) * ($B$12:$B$20)* EXP($B$12:$B$20/B287) ) / ( B287*B287* ( EXP(( $B$12:$B$20)/B287 )  -1)^2 ) ) +   $D$2</f>
        <v>73.13150261396305</v>
      </c>
      <c r="H287" s="54">
        <f t="shared" si="57"/>
        <v>1600</v>
      </c>
      <c r="I287" s="55">
        <f t="shared" si="54"/>
        <v>4.9680162523900577</v>
      </c>
      <c r="J287" s="55">
        <f t="shared" si="55"/>
        <v>4.9680162523900577</v>
      </c>
      <c r="K287" s="55" cm="1">
        <f t="array" ref="K287" xml:space="preserve"> ($D$2*SUM( ( ($B$12:$B$20) * ($B$12:$B$20)* EXP($B$12:$B$20/B287) ) / ( B287*B287* ( EXP(( $B$12:$B$20)/B287)  -1)^2 ) ) +   $D$2 ) / 4.184</f>
        <v>17.478848617103978</v>
      </c>
    </row>
    <row r="288" spans="1:12" x14ac:dyDescent="0.3">
      <c r="B288" s="54">
        <f t="shared" si="56"/>
        <v>1700</v>
      </c>
      <c r="C288" s="55">
        <f t="shared" si="52"/>
        <v>20.786180000000002</v>
      </c>
      <c r="D288" s="55">
        <f t="shared" si="53"/>
        <v>20.786180000000002</v>
      </c>
      <c r="E288" s="55" cm="1">
        <f t="array" ref="E288">$D$2*SUM( ( ($B$12:$B$20) * ($B$12:$B$20)* EXP($B$12:$B$20/B288) ) / ( B288*B288* ( EXP(( $B$12:$B$20)/B288 )  -1)^2 ) ) +   $D$2</f>
        <v>74.101769073073385</v>
      </c>
      <c r="H288" s="54">
        <f t="shared" si="57"/>
        <v>1700</v>
      </c>
      <c r="I288" s="55">
        <f t="shared" si="54"/>
        <v>4.9680162523900577</v>
      </c>
      <c r="J288" s="55">
        <f t="shared" si="55"/>
        <v>4.9680162523900577</v>
      </c>
      <c r="K288" s="55" cm="1">
        <f t="array" ref="K288" xml:space="preserve"> ($D$2*SUM( ( ($B$12:$B$20) * ($B$12:$B$20)* EXP($B$12:$B$20/B288) ) / ( B288*B288* ( EXP(( $B$12:$B$20)/B288)  -1)^2 ) ) +   $D$2 ) / 4.184</f>
        <v>17.710747866413332</v>
      </c>
    </row>
    <row r="289" spans="2:12" x14ac:dyDescent="0.3">
      <c r="B289" s="54">
        <f t="shared" si="56"/>
        <v>1800</v>
      </c>
      <c r="C289" s="55">
        <f t="shared" si="52"/>
        <v>20.786180000000002</v>
      </c>
      <c r="D289" s="55">
        <f t="shared" si="53"/>
        <v>20.786180000000002</v>
      </c>
      <c r="E289" s="55" cm="1">
        <f t="array" ref="E289">$D$2*SUM( ( ($B$12:$B$20) * ($B$12:$B$20)* EXP($B$12:$B$20/B289) ) / ( B289*B289* ( EXP(( $B$12:$B$20)/B289 )  -1)^2 ) ) +   $D$2</f>
        <v>74.943530861426055</v>
      </c>
      <c r="H289" s="54">
        <f t="shared" si="57"/>
        <v>1800</v>
      </c>
      <c r="I289" s="55">
        <f t="shared" si="54"/>
        <v>4.9680162523900577</v>
      </c>
      <c r="J289" s="55">
        <f t="shared" si="55"/>
        <v>4.9680162523900577</v>
      </c>
      <c r="K289" s="55" cm="1">
        <f t="array" ref="K289" xml:space="preserve"> ($D$2*SUM( ( ($B$12:$B$20) * ($B$12:$B$20)* EXP($B$12:$B$20/B289) ) / ( B289*B289* ( EXP(( $B$12:$B$20)/B289)  -1)^2 ) ) +   $D$2 ) / 4.184</f>
        <v>17.91193376229112</v>
      </c>
    </row>
    <row r="290" spans="2:12" x14ac:dyDescent="0.3">
      <c r="B290" s="54">
        <f t="shared" si="56"/>
        <v>1900</v>
      </c>
      <c r="C290" s="55">
        <f t="shared" si="52"/>
        <v>20.786180000000002</v>
      </c>
      <c r="D290" s="55">
        <f t="shared" si="53"/>
        <v>20.786180000000002</v>
      </c>
      <c r="E290" s="55" cm="1">
        <f t="array" ref="E290">$D$2*SUM( ( ($B$12:$B$20) * ($B$12:$B$20)* EXP($B$12:$B$20/B290) ) / ( B290*B290* ( EXP(( $B$12:$B$20)/B290 )  -1)^2 ) ) +   $D$2</f>
        <v>75.677598836929093</v>
      </c>
      <c r="H290" s="54">
        <f t="shared" si="57"/>
        <v>1900</v>
      </c>
      <c r="I290" s="55">
        <f t="shared" si="54"/>
        <v>4.9680162523900577</v>
      </c>
      <c r="J290" s="55">
        <f t="shared" si="55"/>
        <v>4.9680162523900577</v>
      </c>
      <c r="K290" s="55" cm="1">
        <f t="array" ref="K290" xml:space="preserve"> ($D$2*SUM( ( ($B$12:$B$20) * ($B$12:$B$20)* EXP($B$12:$B$20/B290) ) / ( B290*B290* ( EXP(( $B$12:$B$20)/B290)  -1)^2 ) ) +   $D$2 ) / 4.184</f>
        <v>18.087380219151314</v>
      </c>
    </row>
    <row r="291" spans="2:12" x14ac:dyDescent="0.3">
      <c r="B291" s="54">
        <f t="shared" si="56"/>
        <v>2000</v>
      </c>
      <c r="C291" s="55">
        <f t="shared" si="52"/>
        <v>20.786180000000002</v>
      </c>
      <c r="D291" s="55">
        <f t="shared" si="53"/>
        <v>20.786180000000002</v>
      </c>
      <c r="E291" s="55" cm="1">
        <f t="array" ref="E291">$D$2*SUM( ( ($B$12:$B$20) * ($B$12:$B$20)* EXP($B$12:$B$20/B291) ) / ( B291*B291* ( EXP(( $B$12:$B$20)/B291 )  -1)^2 ) ) +   $D$2</f>
        <v>76.320902255550934</v>
      </c>
      <c r="H291" s="54">
        <f t="shared" si="57"/>
        <v>2000</v>
      </c>
      <c r="I291" s="55">
        <f t="shared" si="54"/>
        <v>4.9680162523900577</v>
      </c>
      <c r="J291" s="55">
        <f t="shared" si="55"/>
        <v>4.9680162523900577</v>
      </c>
      <c r="K291" s="55" cm="1">
        <f t="array" ref="K291" xml:space="preserve"> ($D$2*SUM( ( ($B$12:$B$20) * ($B$12:$B$20)* EXP($B$12:$B$20/B291) ) / ( B291*B291* ( EXP(( $B$12:$B$20)/B291)  -1)^2 ) ) +   $D$2 ) / 4.184</f>
        <v>18.241133426278903</v>
      </c>
    </row>
    <row r="292" spans="2:12" ht="15" thickBot="1" x14ac:dyDescent="0.35">
      <c r="B292" s="25">
        <f t="shared" si="56"/>
        <v>2100</v>
      </c>
      <c r="C292" s="58">
        <f t="shared" si="52"/>
        <v>20.786180000000002</v>
      </c>
      <c r="D292" s="58">
        <f t="shared" si="53"/>
        <v>20.786180000000002</v>
      </c>
      <c r="E292" s="58" cm="1">
        <f t="array" ref="E292">$D$2*SUM( ( ($B$12:$B$20) * ($B$12:$B$20)* EXP($B$12:$B$20/B292) ) / ( B292*B292* ( EXP(( $B$12:$B$20)/B292 )  -1)^2 ) ) +   $D$2</f>
        <v>76.887292155097299</v>
      </c>
      <c r="F292" s="53"/>
      <c r="H292" s="25">
        <f t="shared" si="57"/>
        <v>2100</v>
      </c>
      <c r="I292" s="58">
        <f t="shared" si="54"/>
        <v>4.9680162523900577</v>
      </c>
      <c r="J292" s="58">
        <f t="shared" si="55"/>
        <v>4.9680162523900577</v>
      </c>
      <c r="K292" s="58" cm="1">
        <f t="array" ref="K292" xml:space="preserve"> ($D$2*SUM( ( ($B$12:$B$20) * ($B$12:$B$20)* EXP($B$12:$B$20/B292) ) / ( B292*B292* ( EXP(( $B$12:$B$20)/B292)  -1)^2 ) ) +   $D$2 ) / 4.184</f>
        <v>18.37650386116092</v>
      </c>
      <c r="L292" s="53"/>
    </row>
  </sheetData>
  <mergeCells count="14">
    <mergeCell ref="B272:F272"/>
    <mergeCell ref="H272:L272"/>
    <mergeCell ref="D52:W52"/>
    <mergeCell ref="B174:F174"/>
    <mergeCell ref="H174:K174"/>
    <mergeCell ref="M177:N177"/>
    <mergeCell ref="M178:N178"/>
    <mergeCell ref="B200:F200"/>
    <mergeCell ref="H200:L200"/>
    <mergeCell ref="M204:N204"/>
    <mergeCell ref="M205:N205"/>
    <mergeCell ref="B224:F224"/>
    <mergeCell ref="H224:L224"/>
    <mergeCell ref="M228:N22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8A0B-83C6-4D6A-B3CE-B83A314C7D6D}">
  <dimension ref="A1:S146"/>
  <sheetViews>
    <sheetView tabSelected="1" topLeftCell="D56" workbookViewId="0">
      <selection activeCell="G56" sqref="G56"/>
    </sheetView>
  </sheetViews>
  <sheetFormatPr defaultRowHeight="14.4" x14ac:dyDescent="0.3"/>
  <cols>
    <col min="1" max="1" width="26.6640625" style="5" bestFit="1" customWidth="1"/>
    <col min="2" max="5" width="14.88671875" style="5" bestFit="1" customWidth="1"/>
    <col min="6" max="6" width="18.33203125" style="5" bestFit="1" customWidth="1"/>
    <col min="7" max="7" width="18.109375" style="5" bestFit="1" customWidth="1"/>
    <col min="8" max="8" width="16.88671875" style="5" bestFit="1" customWidth="1"/>
    <col min="9" max="9" width="15.88671875" style="5" bestFit="1" customWidth="1"/>
    <col min="10" max="11" width="15.6640625" style="5" bestFit="1" customWidth="1"/>
    <col min="12" max="12" width="10.6640625" style="5" bestFit="1" customWidth="1"/>
    <col min="13" max="13" width="11.77734375" style="5" bestFit="1" customWidth="1"/>
    <col min="14" max="16384" width="8.88671875" style="5"/>
  </cols>
  <sheetData>
    <row r="1" spans="1:19" ht="24" thickBot="1" x14ac:dyDescent="0.35">
      <c r="A1" s="202"/>
      <c r="B1" s="202"/>
      <c r="C1" s="202"/>
      <c r="D1" s="202"/>
      <c r="E1" s="195"/>
      <c r="F1" s="195" t="s">
        <v>149</v>
      </c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</row>
    <row r="2" spans="1:19" x14ac:dyDescent="0.3">
      <c r="A2" s="153"/>
      <c r="B2" s="203"/>
      <c r="C2" s="203"/>
      <c r="D2" s="203"/>
      <c r="I2" s="1" t="s">
        <v>0</v>
      </c>
      <c r="J2" s="2" t="s">
        <v>1</v>
      </c>
      <c r="K2" s="3" t="s">
        <v>2</v>
      </c>
      <c r="L2" s="3" t="s">
        <v>3</v>
      </c>
      <c r="M2" s="3" t="s">
        <v>5</v>
      </c>
      <c r="N2" s="4" t="s">
        <v>9</v>
      </c>
    </row>
    <row r="3" spans="1:19" ht="18.600000000000001" thickBot="1" x14ac:dyDescent="0.35">
      <c r="A3" s="188" t="s">
        <v>148</v>
      </c>
      <c r="I3" s="6">
        <v>1.3805999999999999E-23</v>
      </c>
      <c r="J3" s="7">
        <v>3.1415899999999999</v>
      </c>
      <c r="K3" s="7">
        <v>6.626068E-34</v>
      </c>
      <c r="L3" s="7">
        <v>8.3144720000000003</v>
      </c>
      <c r="M3" s="7">
        <v>6.0221407599999999E+23</v>
      </c>
      <c r="N3" s="10">
        <v>101325</v>
      </c>
    </row>
    <row r="6" spans="1:19" ht="18" x14ac:dyDescent="0.3">
      <c r="A6" s="84" t="s">
        <v>150</v>
      </c>
      <c r="I6" s="5" t="s">
        <v>151</v>
      </c>
    </row>
    <row r="8" spans="1:19" ht="15" thickBot="1" x14ac:dyDescent="0.35"/>
    <row r="9" spans="1:19" ht="18" x14ac:dyDescent="0.3">
      <c r="B9" s="200" t="s">
        <v>175</v>
      </c>
      <c r="C9" s="201" t="s">
        <v>176</v>
      </c>
      <c r="D9" s="201" t="s">
        <v>177</v>
      </c>
      <c r="E9" s="201" t="s">
        <v>178</v>
      </c>
      <c r="F9" s="201" t="s">
        <v>179</v>
      </c>
      <c r="G9" s="60" t="s">
        <v>180</v>
      </c>
    </row>
    <row r="10" spans="1:19" ht="15" thickBot="1" x14ac:dyDescent="0.35">
      <c r="B10" s="204">
        <f>TS!B134</f>
        <v>-1.7845327705797734E-16</v>
      </c>
      <c r="C10" s="205">
        <f>'CH4'!B134</f>
        <v>-1.7633619405013078E-16</v>
      </c>
      <c r="D10" s="205">
        <f>H!B134</f>
        <v>-2.1807880740671315E-18</v>
      </c>
      <c r="E10" s="205">
        <f>B10-(C10+D10)</f>
        <v>6.3705066220552517E-20</v>
      </c>
      <c r="F10" s="206">
        <f>E10*229400000000000000</f>
        <v>1.4613942190994747E-2</v>
      </c>
      <c r="G10" s="207">
        <f>TS!J132 - ('CH4'!J132 + H!J132 )</f>
        <v>7.9372491716749209</v>
      </c>
    </row>
    <row r="13" spans="1:19" ht="18" x14ac:dyDescent="0.3">
      <c r="A13" s="84" t="s">
        <v>152</v>
      </c>
    </row>
    <row r="14" spans="1:19" x14ac:dyDescent="0.3">
      <c r="A14" s="5" t="s">
        <v>153</v>
      </c>
    </row>
    <row r="17" spans="1:13" ht="15" thickBot="1" x14ac:dyDescent="0.35">
      <c r="K17" s="5" t="s">
        <v>62</v>
      </c>
    </row>
    <row r="18" spans="1:13" ht="16.2" x14ac:dyDescent="0.3">
      <c r="B18" s="17" t="s">
        <v>53</v>
      </c>
      <c r="C18" s="18" t="s">
        <v>154</v>
      </c>
      <c r="D18" s="18" t="s">
        <v>155</v>
      </c>
      <c r="E18" s="18" t="s">
        <v>156</v>
      </c>
      <c r="F18" s="18" t="s">
        <v>173</v>
      </c>
      <c r="G18" s="18" t="s">
        <v>174</v>
      </c>
      <c r="H18" s="18" t="s">
        <v>181</v>
      </c>
      <c r="I18" s="18" t="s">
        <v>182</v>
      </c>
      <c r="J18" s="18" t="s">
        <v>183</v>
      </c>
      <c r="K18" s="19" t="s">
        <v>184</v>
      </c>
      <c r="L18"/>
    </row>
    <row r="19" spans="1:13" x14ac:dyDescent="0.3">
      <c r="A19" s="53"/>
      <c r="B19" s="35">
        <v>298.14999999999998</v>
      </c>
      <c r="C19" s="53">
        <f>'CH4'!I153</f>
        <v>371117537.36839032</v>
      </c>
      <c r="D19" s="53">
        <f>H!I153</f>
        <v>79490.409012995253</v>
      </c>
      <c r="E19" s="53">
        <f>TS!I153</f>
        <v>2654119643.7960896</v>
      </c>
      <c r="F19" s="53">
        <f>E19/(C19*D19)</f>
        <v>8.9969288718169752E-5</v>
      </c>
      <c r="G19" s="189">
        <f>$M$3*($I$3*B19)^2 /($N$3*$K$3)</f>
        <v>151979064507.67291</v>
      </c>
      <c r="H19" s="53">
        <f>EXP(-$E$10/($I$3*B19))</f>
        <v>1.8996084703139204E-7</v>
      </c>
      <c r="I19" s="53">
        <f>H19*F19*G19</f>
        <v>2.5974198273301763</v>
      </c>
      <c r="J19" s="53">
        <f>I19*(100^3)/$M$3</f>
        <v>4.3131170971337051E-18</v>
      </c>
      <c r="K19" s="65">
        <v>4.2100000000000001E-19</v>
      </c>
    </row>
    <row r="20" spans="1:13" x14ac:dyDescent="0.3">
      <c r="A20" s="53"/>
      <c r="B20" s="35">
        <v>400</v>
      </c>
      <c r="C20" s="53">
        <f>'CH4'!I154</f>
        <v>1233240345.3392696</v>
      </c>
      <c r="D20" s="53">
        <f>H!I154</f>
        <v>165721.04978558532</v>
      </c>
      <c r="E20" s="53">
        <f>TS!I154</f>
        <v>10621181618.653322</v>
      </c>
      <c r="F20" s="53">
        <f t="shared" ref="F20:F37" si="0">E20/(C20*D20)</f>
        <v>5.1969367984221365E-5</v>
      </c>
      <c r="G20" s="189">
        <f t="shared" ref="G20:G37" si="1">$M$3*($I$3*B20)^2 /($N$3*$K$3)</f>
        <v>273548364292.39368</v>
      </c>
      <c r="H20" s="53">
        <f t="shared" ref="H20:H37" si="2">EXP(-$E$10/($I$3*B20))</f>
        <v>9.7742681996474712E-6</v>
      </c>
      <c r="I20" s="53">
        <f t="shared" ref="I20:I37" si="3">H20*F20*G20</f>
        <v>138.95232216967136</v>
      </c>
      <c r="J20" s="53">
        <f t="shared" ref="J20:J37" si="4">I20*(100^3)/$M$3</f>
        <v>2.3073575943726588E-16</v>
      </c>
      <c r="K20" s="65">
        <v>3.8999999999999999E-17</v>
      </c>
    </row>
    <row r="21" spans="1:13" x14ac:dyDescent="0.3">
      <c r="A21" s="53"/>
      <c r="B21" s="35">
        <f>B20+100</f>
        <v>500</v>
      </c>
      <c r="C21" s="53">
        <f>'CH4'!I155</f>
        <v>3180228357.8250594</v>
      </c>
      <c r="D21" s="53">
        <f>H!I155</f>
        <v>289502.75986187335</v>
      </c>
      <c r="E21" s="53">
        <f>TS!I155</f>
        <v>34029736082.218159</v>
      </c>
      <c r="F21" s="53">
        <f t="shared" si="0"/>
        <v>3.6961328005042067E-5</v>
      </c>
      <c r="G21" s="189">
        <f t="shared" si="1"/>
        <v>427419319206.86517</v>
      </c>
      <c r="H21" s="53">
        <f t="shared" si="2"/>
        <v>9.8190031939037942E-5</v>
      </c>
      <c r="I21" s="53">
        <f t="shared" si="3"/>
        <v>1551.2047158303922</v>
      </c>
      <c r="J21" s="53">
        <f t="shared" si="4"/>
        <v>2.5758360318206712E-15</v>
      </c>
      <c r="K21" s="65">
        <v>6.8800000000000004E-16</v>
      </c>
    </row>
    <row r="22" spans="1:13" x14ac:dyDescent="0.3">
      <c r="A22" s="53"/>
      <c r="B22" s="35">
        <f t="shared" ref="B22:B37" si="5">B21+100</f>
        <v>600</v>
      </c>
      <c r="C22" s="53">
        <f>'CH4'!I156</f>
        <v>7181280621.1282463</v>
      </c>
      <c r="D22" s="53">
        <f>H!I156</f>
        <v>456673.51306468679</v>
      </c>
      <c r="E22" s="53">
        <f>TS!I156</f>
        <v>96878648579.423233</v>
      </c>
      <c r="F22" s="53">
        <f t="shared" si="0"/>
        <v>2.9540670648319155E-5</v>
      </c>
      <c r="G22" s="189">
        <f t="shared" si="1"/>
        <v>615483819657.88574</v>
      </c>
      <c r="H22" s="53">
        <f t="shared" si="2"/>
        <v>4.5714730911611783E-4</v>
      </c>
      <c r="I22" s="53">
        <f t="shared" si="3"/>
        <v>8311.763141883941</v>
      </c>
      <c r="J22" s="53">
        <f t="shared" si="4"/>
        <v>1.3802007414193921E-14</v>
      </c>
      <c r="K22" s="65">
        <v>5.1499999999999997E-15</v>
      </c>
      <c r="M22"/>
    </row>
    <row r="23" spans="1:13" x14ac:dyDescent="0.3">
      <c r="A23" s="53"/>
      <c r="B23" s="35">
        <f t="shared" si="5"/>
        <v>700</v>
      </c>
      <c r="C23" s="53">
        <f>'CH4'!I157</f>
        <v>14882058587.13446</v>
      </c>
      <c r="D23" s="53">
        <f>H!I157</f>
        <v>671386.79850998719</v>
      </c>
      <c r="E23" s="53">
        <f>TS!I157</f>
        <v>253874115834.9888</v>
      </c>
      <c r="F23" s="53">
        <f t="shared" si="0"/>
        <v>2.5408710002572578E-5</v>
      </c>
      <c r="G23" s="189">
        <f t="shared" si="1"/>
        <v>837741865645.45544</v>
      </c>
      <c r="H23" s="53">
        <f t="shared" si="2"/>
        <v>1.3714848069167633E-3</v>
      </c>
      <c r="I23" s="53">
        <f t="shared" si="3"/>
        <v>29193.343477165075</v>
      </c>
      <c r="J23" s="53">
        <f t="shared" si="4"/>
        <v>4.8476687345257397E-14</v>
      </c>
      <c r="K23" s="65">
        <v>2.3299999999999999E-14</v>
      </c>
    </row>
    <row r="24" spans="1:13" x14ac:dyDescent="0.3">
      <c r="A24" s="53"/>
      <c r="B24" s="35">
        <f t="shared" si="5"/>
        <v>800</v>
      </c>
      <c r="C24" s="53">
        <f>'CH4'!I158</f>
        <v>29032509292.551785</v>
      </c>
      <c r="D24" s="53">
        <f>H!I158</f>
        <v>937459.82470992941</v>
      </c>
      <c r="E24" s="53">
        <f>TS!I158</f>
        <v>624085359794.104</v>
      </c>
      <c r="F24" s="53">
        <f t="shared" si="0"/>
        <v>2.2930142629002304E-5</v>
      </c>
      <c r="G24" s="189">
        <f t="shared" si="1"/>
        <v>1094193457169.5747</v>
      </c>
      <c r="H24" s="53">
        <f t="shared" si="2"/>
        <v>3.1263826060876606E-3</v>
      </c>
      <c r="I24" s="53">
        <f t="shared" si="3"/>
        <v>78440.977217817155</v>
      </c>
      <c r="J24" s="53">
        <f t="shared" si="4"/>
        <v>1.3025430713747906E-13</v>
      </c>
      <c r="K24" s="65">
        <v>7.6399999999999995E-14</v>
      </c>
    </row>
    <row r="25" spans="1:13" x14ac:dyDescent="0.3">
      <c r="A25" s="53"/>
      <c r="B25" s="35">
        <f t="shared" si="5"/>
        <v>900</v>
      </c>
      <c r="C25" s="53">
        <f>'CH4'!I159</f>
        <v>54122215795.5159</v>
      </c>
      <c r="D25" s="53">
        <f>H!I159</f>
        <v>1258444.2218093083</v>
      </c>
      <c r="E25" s="53">
        <f>TS!I159</f>
        <v>1455817453620.46</v>
      </c>
      <c r="F25" s="53">
        <f t="shared" si="0"/>
        <v>2.1374569781980335E-5</v>
      </c>
      <c r="G25" s="189">
        <f t="shared" si="1"/>
        <v>1384838594230.2429</v>
      </c>
      <c r="H25" s="53">
        <f t="shared" si="2"/>
        <v>5.9343175015564168E-3</v>
      </c>
      <c r="I25" s="53">
        <f t="shared" si="3"/>
        <v>175657.75144034077</v>
      </c>
      <c r="J25" s="53">
        <f t="shared" si="4"/>
        <v>2.9168655871859889E-13</v>
      </c>
      <c r="K25" s="65">
        <v>2.0000000000000001E-13</v>
      </c>
    </row>
    <row r="26" spans="1:13" x14ac:dyDescent="0.3">
      <c r="A26" s="53"/>
      <c r="B26" s="35">
        <f t="shared" si="5"/>
        <v>1000</v>
      </c>
      <c r="C26" s="53">
        <f>'CH4'!I160</f>
        <v>97329064201.014221</v>
      </c>
      <c r="D26" s="53">
        <f>H!I160</f>
        <v>1637674.917364415</v>
      </c>
      <c r="E26" s="53">
        <f>TS!I160</f>
        <v>3247708606819.998</v>
      </c>
      <c r="F26" s="53">
        <f t="shared" si="0"/>
        <v>2.0375431327102718E-5</v>
      </c>
      <c r="G26" s="189">
        <f t="shared" si="1"/>
        <v>1709677276827.4607</v>
      </c>
      <c r="H26" s="53">
        <f t="shared" si="2"/>
        <v>9.9090883505516258E-3</v>
      </c>
      <c r="I26" s="53">
        <f t="shared" si="3"/>
        <v>345187.17469587957</v>
      </c>
      <c r="J26" s="53">
        <f t="shared" si="4"/>
        <v>5.7319678906987156E-13</v>
      </c>
      <c r="K26" s="65">
        <v>4.4800000000000001E-13</v>
      </c>
    </row>
    <row r="27" spans="1:13" x14ac:dyDescent="0.3">
      <c r="A27" s="53"/>
      <c r="B27" s="35">
        <f t="shared" si="5"/>
        <v>1100</v>
      </c>
      <c r="C27" s="53">
        <f>'CH4'!I161</f>
        <v>169911352377.4108</v>
      </c>
      <c r="D27" s="53">
        <f>H!I161</f>
        <v>2078305.6119473386</v>
      </c>
      <c r="E27" s="53">
        <f>TS!I161</f>
        <v>6967864169373.5713</v>
      </c>
      <c r="F27" s="53">
        <f t="shared" si="0"/>
        <v>1.973185289737826E-5</v>
      </c>
      <c r="G27" s="189">
        <f t="shared" si="1"/>
        <v>2068709504961.2268</v>
      </c>
      <c r="H27" s="53">
        <f t="shared" si="2"/>
        <v>1.5073442726773207E-2</v>
      </c>
      <c r="I27" s="53">
        <f t="shared" si="3"/>
        <v>615289.96789217892</v>
      </c>
      <c r="J27" s="53">
        <f t="shared" si="4"/>
        <v>1.0217130293251049E-12</v>
      </c>
      <c r="K27" s="65">
        <v>8.9000000000000004E-13</v>
      </c>
    </row>
    <row r="28" spans="1:13" x14ac:dyDescent="0.3">
      <c r="A28" s="53"/>
      <c r="B28" s="35">
        <f t="shared" si="5"/>
        <v>1200</v>
      </c>
      <c r="C28" s="53">
        <f>'CH4'!I162</f>
        <v>289218042171.84979</v>
      </c>
      <c r="D28" s="53">
        <f>H!I162</f>
        <v>2583335.5030105943</v>
      </c>
      <c r="E28" s="53">
        <f>TS!I162</f>
        <v>14439348633460.129</v>
      </c>
      <c r="F28" s="53">
        <f t="shared" si="0"/>
        <v>1.9325974759666879E-5</v>
      </c>
      <c r="G28" s="189">
        <f t="shared" si="1"/>
        <v>2461935278631.543</v>
      </c>
      <c r="H28" s="53">
        <f t="shared" si="2"/>
        <v>2.1381003463731955E-2</v>
      </c>
      <c r="I28" s="53">
        <f t="shared" si="3"/>
        <v>1017293.1578919041</v>
      </c>
      <c r="J28" s="53">
        <f t="shared" si="4"/>
        <v>1.6892550314481592E-12</v>
      </c>
      <c r="K28" s="65">
        <v>1.61E-12</v>
      </c>
    </row>
    <row r="29" spans="1:13" x14ac:dyDescent="0.3">
      <c r="A29" s="53"/>
      <c r="B29" s="35">
        <f t="shared" si="5"/>
        <v>1300</v>
      </c>
      <c r="C29" s="53">
        <f>'CH4'!I163</f>
        <v>481548985235.66473</v>
      </c>
      <c r="D29" s="53">
        <f>H!I163</f>
        <v>3155630.0146854925</v>
      </c>
      <c r="E29" s="53">
        <f>TS!I163</f>
        <v>29001057452459.832</v>
      </c>
      <c r="F29" s="53">
        <f t="shared" si="0"/>
        <v>1.9084785514657523E-5</v>
      </c>
      <c r="G29" s="189">
        <f t="shared" si="1"/>
        <v>2889354597838.4082</v>
      </c>
      <c r="H29" s="53">
        <f t="shared" si="2"/>
        <v>2.8740046206839051E-2</v>
      </c>
      <c r="I29" s="53">
        <f t="shared" si="3"/>
        <v>1584804.1131393462</v>
      </c>
      <c r="J29" s="53">
        <f t="shared" si="4"/>
        <v>2.6316291436856854E-12</v>
      </c>
      <c r="K29" s="65">
        <v>2.7200000000000001E-12</v>
      </c>
    </row>
    <row r="30" spans="1:13" x14ac:dyDescent="0.3">
      <c r="A30" s="53"/>
      <c r="B30" s="35">
        <f t="shared" si="5"/>
        <v>1400</v>
      </c>
      <c r="C30" s="53">
        <f>'CH4'!I164</f>
        <v>786169082658.58875</v>
      </c>
      <c r="D30" s="53">
        <f>H!I164</f>
        <v>3797937.2642043158</v>
      </c>
      <c r="E30" s="53">
        <f>TS!I164</f>
        <v>56614208915430.961</v>
      </c>
      <c r="F30" s="53">
        <f t="shared" si="0"/>
        <v>1.8961019989103658E-5</v>
      </c>
      <c r="G30" s="189">
        <f t="shared" si="1"/>
        <v>3350967462581.8218</v>
      </c>
      <c r="H30" s="53">
        <f t="shared" si="2"/>
        <v>3.7033563248987579E-2</v>
      </c>
      <c r="I30" s="53">
        <f t="shared" si="3"/>
        <v>2353029.6922053732</v>
      </c>
      <c r="J30" s="53">
        <f t="shared" si="4"/>
        <v>3.9072977301270739E-12</v>
      </c>
      <c r="K30" s="65">
        <v>4.3200000000000002E-12</v>
      </c>
    </row>
    <row r="31" spans="1:13" x14ac:dyDescent="0.3">
      <c r="A31" s="53"/>
      <c r="B31" s="35">
        <f t="shared" si="5"/>
        <v>1500</v>
      </c>
      <c r="C31" s="53">
        <f>'CH4'!I165</f>
        <v>1260870486393.978</v>
      </c>
      <c r="D31" s="53">
        <f>H!I165</f>
        <v>4512901.4011096358</v>
      </c>
      <c r="E31" s="53">
        <f>TS!I165</f>
        <v>107675063957605.81</v>
      </c>
      <c r="F31" s="53">
        <f t="shared" si="0"/>
        <v>1.8922948794484717E-5</v>
      </c>
      <c r="G31" s="189">
        <f t="shared" si="1"/>
        <v>3846773872861.7852</v>
      </c>
      <c r="H31" s="53">
        <f t="shared" si="2"/>
        <v>4.6134144024527673E-2</v>
      </c>
      <c r="I31" s="53">
        <f t="shared" si="3"/>
        <v>3358210.683675806</v>
      </c>
      <c r="J31" s="53">
        <f t="shared" si="4"/>
        <v>5.5764400360442692E-12</v>
      </c>
      <c r="K31" s="65">
        <v>6.5600000000000003E-12</v>
      </c>
    </row>
    <row r="32" spans="1:13" x14ac:dyDescent="0.3">
      <c r="A32" s="53"/>
      <c r="B32" s="35">
        <f t="shared" si="5"/>
        <v>1600</v>
      </c>
      <c r="C32" s="53">
        <f>'CH4'!I166</f>
        <v>1989588614237.4878</v>
      </c>
      <c r="D32" s="53">
        <f>H!I166</f>
        <v>5303073.5931387609</v>
      </c>
      <c r="E32" s="53">
        <f>TS!I166</f>
        <v>199925603039568.41</v>
      </c>
      <c r="F32" s="53">
        <f t="shared" si="0"/>
        <v>1.8948615079643883E-5</v>
      </c>
      <c r="G32" s="189">
        <f t="shared" si="1"/>
        <v>4376773828678.2988</v>
      </c>
      <c r="H32" s="53">
        <f t="shared" si="2"/>
        <v>5.5914064474760376E-2</v>
      </c>
      <c r="I32" s="53">
        <f t="shared" si="3"/>
        <v>4637165.9840519251</v>
      </c>
      <c r="J32" s="53">
        <f t="shared" si="4"/>
        <v>7.7001952774878769E-12</v>
      </c>
      <c r="K32" s="65">
        <v>9.5600000000000005E-12</v>
      </c>
    </row>
    <row r="33" spans="1:11" x14ac:dyDescent="0.3">
      <c r="A33" s="53"/>
      <c r="B33" s="35">
        <f t="shared" si="5"/>
        <v>1700</v>
      </c>
      <c r="C33" s="53">
        <f>'CH4'!I167</f>
        <v>3092714919130.1543</v>
      </c>
      <c r="D33" s="53">
        <f>H!I167</f>
        <v>6170921.2024084236</v>
      </c>
      <c r="E33" s="53">
        <f>TS!I167</f>
        <v>363041157773590.75</v>
      </c>
      <c r="F33" s="53">
        <f t="shared" si="0"/>
        <v>1.9022429066447311E-5</v>
      </c>
      <c r="G33" s="189">
        <f t="shared" si="1"/>
        <v>4940967330031.3604</v>
      </c>
      <c r="H33" s="53">
        <f t="shared" si="2"/>
        <v>6.6251588313852319E-2</v>
      </c>
      <c r="I33" s="53">
        <f t="shared" si="3"/>
        <v>6226933.8211282361</v>
      </c>
      <c r="J33" s="53">
        <f t="shared" si="4"/>
        <v>1.0340066878689559E-11</v>
      </c>
      <c r="K33" s="65">
        <v>1.35E-11</v>
      </c>
    </row>
    <row r="34" spans="1:11" x14ac:dyDescent="0.3">
      <c r="A34" s="53"/>
      <c r="B34" s="35">
        <f t="shared" si="5"/>
        <v>1800</v>
      </c>
      <c r="C34" s="53">
        <f>'CH4'!I168</f>
        <v>4740916547237.5684</v>
      </c>
      <c r="D34" s="53">
        <f>H!I168</f>
        <v>7118835.5438910369</v>
      </c>
      <c r="E34" s="53">
        <f>TS!I168</f>
        <v>645737581815161.75</v>
      </c>
      <c r="F34" s="53">
        <f t="shared" si="0"/>
        <v>1.9133075805034055E-5</v>
      </c>
      <c r="G34" s="189">
        <f t="shared" si="1"/>
        <v>5539354376920.9717</v>
      </c>
      <c r="H34" s="53">
        <f t="shared" si="2"/>
        <v>7.7034521492357025E-2</v>
      </c>
      <c r="I34" s="53">
        <f t="shared" si="3"/>
        <v>8164495.0712259561</v>
      </c>
      <c r="J34" s="53">
        <f t="shared" si="4"/>
        <v>1.3557463029519018E-11</v>
      </c>
      <c r="K34" s="65">
        <v>1.8500000000000001E-11</v>
      </c>
    </row>
    <row r="35" spans="1:11" x14ac:dyDescent="0.3">
      <c r="A35" s="53"/>
      <c r="B35" s="35">
        <f t="shared" si="5"/>
        <v>1900</v>
      </c>
      <c r="C35" s="53">
        <f>'CH4'!I169</f>
        <v>7173475334493.4248</v>
      </c>
      <c r="D35" s="53">
        <f>H!I169</f>
        <v>8149138.5152705293</v>
      </c>
      <c r="E35" s="53">
        <f>TS!I169</f>
        <v>1126606584744934</v>
      </c>
      <c r="F35" s="53">
        <f t="shared" si="0"/>
        <v>1.9272185894305447E-5</v>
      </c>
      <c r="G35" s="189">
        <f t="shared" si="1"/>
        <v>6171934969347.1318</v>
      </c>
      <c r="H35" s="53">
        <f t="shared" si="2"/>
        <v>8.8161890636746759E-2</v>
      </c>
      <c r="I35" s="53">
        <f t="shared" si="3"/>
        <v>10486564.022449894</v>
      </c>
      <c r="J35" s="53">
        <f t="shared" si="4"/>
        <v>1.741334923969777E-11</v>
      </c>
      <c r="K35" s="65">
        <v>2.4699999999999999E-11</v>
      </c>
    </row>
    <row r="36" spans="1:11" x14ac:dyDescent="0.3">
      <c r="A36" s="53"/>
      <c r="B36" s="35">
        <f t="shared" si="5"/>
        <v>2000</v>
      </c>
      <c r="C36" s="53">
        <f>'CH4'!I170</f>
        <v>10722401751870.15</v>
      </c>
      <c r="D36" s="53">
        <f>H!I170</f>
        <v>9264088.3155799992</v>
      </c>
      <c r="E36" s="53">
        <f>TS!I170</f>
        <v>1930389853393255.5</v>
      </c>
      <c r="F36" s="53">
        <f t="shared" si="0"/>
        <v>1.9433465963093578E-5</v>
      </c>
      <c r="G36" s="189">
        <f t="shared" si="1"/>
        <v>6838709107309.8428</v>
      </c>
      <c r="H36" s="53">
        <f t="shared" si="2"/>
        <v>9.954440391378927E-2</v>
      </c>
      <c r="I36" s="53">
        <f t="shared" si="3"/>
        <v>13229433.428685756</v>
      </c>
      <c r="J36" s="53">
        <f t="shared" si="4"/>
        <v>2.1967991044908349E-11</v>
      </c>
      <c r="K36" s="65">
        <v>3.2399999999999999E-11</v>
      </c>
    </row>
    <row r="37" spans="1:11" ht="15" thickBot="1" x14ac:dyDescent="0.35">
      <c r="A37" s="53"/>
      <c r="B37" s="26">
        <f t="shared" si="5"/>
        <v>2100</v>
      </c>
      <c r="C37" s="57">
        <f>'CH4'!I171</f>
        <v>15843869817082.416</v>
      </c>
      <c r="D37" s="57">
        <f>H!I171</f>
        <v>10465884.418952722</v>
      </c>
      <c r="E37" s="57">
        <f>TS!I171</f>
        <v>3252083100927444</v>
      </c>
      <c r="F37" s="57">
        <f t="shared" si="0"/>
        <v>1.961211517671653E-5</v>
      </c>
      <c r="G37" s="205">
        <f t="shared" si="1"/>
        <v>7539676790809.1025</v>
      </c>
      <c r="H37" s="57">
        <f t="shared" si="2"/>
        <v>0.11110416342640286</v>
      </c>
      <c r="I37" s="57">
        <f t="shared" si="3"/>
        <v>16428862.610139128</v>
      </c>
      <c r="J37" s="57">
        <f t="shared" si="4"/>
        <v>2.7280768193367714E-11</v>
      </c>
      <c r="K37" s="67">
        <v>4.1599999999999997E-11</v>
      </c>
    </row>
    <row r="42" spans="1:11" ht="18" x14ac:dyDescent="0.3">
      <c r="A42" s="188" t="s">
        <v>157</v>
      </c>
    </row>
    <row r="45" spans="1:11" ht="18" x14ac:dyDescent="0.3">
      <c r="A45" s="84" t="s">
        <v>150</v>
      </c>
      <c r="I45" s="5" t="s">
        <v>151</v>
      </c>
    </row>
    <row r="49" spans="1:12" ht="18" x14ac:dyDescent="0.3">
      <c r="B49" s="183" t="s">
        <v>175</v>
      </c>
      <c r="C49" s="183" t="s">
        <v>186</v>
      </c>
      <c r="D49" s="183" t="s">
        <v>187</v>
      </c>
      <c r="E49" s="183" t="s">
        <v>188</v>
      </c>
      <c r="F49" s="183" t="s">
        <v>179</v>
      </c>
      <c r="G49" s="183" t="s">
        <v>170</v>
      </c>
    </row>
    <row r="50" spans="1:12" x14ac:dyDescent="0.3">
      <c r="B50" s="189">
        <f>TS!B134</f>
        <v>-1.7845327705797734E-16</v>
      </c>
      <c r="C50" s="189">
        <f>'CH3'!B134</f>
        <v>-1.7337715589973845E-16</v>
      </c>
      <c r="D50" s="184">
        <f>'H2'!B134</f>
        <v>-5.0931432675027207E-18</v>
      </c>
      <c r="E50" s="184">
        <f>B50-(C50+D50)</f>
        <v>1.7022109263824396E-20</v>
      </c>
      <c r="F50" s="185">
        <f>E50*229400000000000000</f>
        <v>3.9048718651213165E-3</v>
      </c>
      <c r="G50" s="198">
        <f>TS!J132 - ('CH3'!J132 + 'H2'!J132 )</f>
        <v>10.621829054383852</v>
      </c>
    </row>
    <row r="54" spans="1:12" ht="18" x14ac:dyDescent="0.3">
      <c r="A54" s="84" t="s">
        <v>152</v>
      </c>
    </row>
    <row r="55" spans="1:12" x14ac:dyDescent="0.3">
      <c r="A55" s="5" t="s">
        <v>153</v>
      </c>
    </row>
    <row r="58" spans="1:12" ht="15" thickBot="1" x14ac:dyDescent="0.35">
      <c r="K58" s="5" t="s">
        <v>62</v>
      </c>
    </row>
    <row r="59" spans="1:12" ht="16.2" x14ac:dyDescent="0.3">
      <c r="B59" s="17" t="s">
        <v>53</v>
      </c>
      <c r="C59" s="18" t="s">
        <v>158</v>
      </c>
      <c r="D59" s="18" t="s">
        <v>159</v>
      </c>
      <c r="E59" s="18" t="s">
        <v>156</v>
      </c>
      <c r="F59" s="18" t="s">
        <v>173</v>
      </c>
      <c r="G59" s="18" t="s">
        <v>174</v>
      </c>
      <c r="H59" s="18" t="s">
        <v>181</v>
      </c>
      <c r="I59" s="18" t="s">
        <v>182</v>
      </c>
      <c r="J59" s="18" t="s">
        <v>183</v>
      </c>
      <c r="K59" s="19" t="s">
        <v>184</v>
      </c>
      <c r="L59"/>
    </row>
    <row r="60" spans="1:12" x14ac:dyDescent="0.3">
      <c r="B60" s="35">
        <v>298.14999999999998</v>
      </c>
      <c r="C60" s="53">
        <f>'CH3'!I153</f>
        <v>211447341.38479584</v>
      </c>
      <c r="D60" s="53">
        <f>'H2'!I153</f>
        <v>192090.43025413383</v>
      </c>
      <c r="E60" s="53">
        <f>TS!I153</f>
        <v>2654119643.7960896</v>
      </c>
      <c r="F60" s="53">
        <f>E60/(C60*D60)</f>
        <v>6.5345026447063891E-5</v>
      </c>
      <c r="G60" s="189">
        <f>$M$3*($I$3*B60)^2 /($N$3*$K$3)</f>
        <v>151979064507.67291</v>
      </c>
      <c r="H60" s="53">
        <f>EXP(-$E$50/($I$3*B60))</f>
        <v>1.5997306045842756E-2</v>
      </c>
      <c r="I60" s="53">
        <f>H60*F60*G60</f>
        <v>158870.46197101442</v>
      </c>
      <c r="J60" s="53">
        <f>I60*(100^3)/$M$3</f>
        <v>2.6381060872282636E-13</v>
      </c>
      <c r="K60" s="65">
        <v>9.5999999999999997E-21</v>
      </c>
    </row>
    <row r="61" spans="1:12" x14ac:dyDescent="0.3">
      <c r="B61" s="35">
        <v>400</v>
      </c>
      <c r="C61" s="53">
        <f>'CH3'!I154</f>
        <v>750510294.94855487</v>
      </c>
      <c r="D61" s="53">
        <f>'H2'!I154</f>
        <v>537271.61540511006</v>
      </c>
      <c r="E61" s="53">
        <f>TS!I154</f>
        <v>10621181618.653322</v>
      </c>
      <c r="F61" s="53">
        <f t="shared" ref="F61:F78" si="6">E61/(C61*D61)</f>
        <v>2.6340395056447904E-5</v>
      </c>
      <c r="G61" s="189">
        <f t="shared" ref="G61:G78" si="7">$M$3*($I$3*B61)^2 /($N$3*$K$3)</f>
        <v>273548364292.39368</v>
      </c>
      <c r="H61" s="53">
        <f t="shared" ref="H61:H78" si="8">EXP(-$E$50/($I$3*B61))</f>
        <v>4.5850219947620466E-2</v>
      </c>
      <c r="I61" s="53">
        <f t="shared" ref="I61:I78" si="9">H61*F61*G61</f>
        <v>330367.89020235784</v>
      </c>
      <c r="J61" s="53">
        <f t="shared" ref="J61:J78" si="10">I61*(100^3)/$M$3</f>
        <v>5.485887882208151E-13</v>
      </c>
      <c r="K61" s="65">
        <v>1.0999999999999999E-18</v>
      </c>
    </row>
    <row r="62" spans="1:12" x14ac:dyDescent="0.3">
      <c r="B62" s="35">
        <f>B61+100</f>
        <v>500</v>
      </c>
      <c r="C62" s="53">
        <f>'CH3'!I155</f>
        <v>2040237097.7356682</v>
      </c>
      <c r="D62" s="53">
        <f>'H2'!I155</f>
        <v>1173221.5740756115</v>
      </c>
      <c r="E62" s="53">
        <f>TS!I155</f>
        <v>34029736082.218159</v>
      </c>
      <c r="F62" s="53">
        <f t="shared" si="6"/>
        <v>1.4216670579771516E-5</v>
      </c>
      <c r="G62" s="189">
        <f t="shared" si="7"/>
        <v>427419319206.86517</v>
      </c>
      <c r="H62" s="53">
        <f t="shared" si="8"/>
        <v>8.4932349591012243E-2</v>
      </c>
      <c r="I62" s="53">
        <f t="shared" si="9"/>
        <v>516089.69481626293</v>
      </c>
      <c r="J62" s="53">
        <f t="shared" si="10"/>
        <v>8.5698710040823252E-13</v>
      </c>
      <c r="K62" s="65">
        <v>2.1599999999999999E-17</v>
      </c>
    </row>
    <row r="63" spans="1:12" x14ac:dyDescent="0.3">
      <c r="B63" s="35">
        <f t="shared" ref="B63:B78" si="11">B62+100</f>
        <v>600</v>
      </c>
      <c r="C63" s="53">
        <f>'CH3'!I156</f>
        <v>4767707646.4013948</v>
      </c>
      <c r="D63" s="53">
        <f>'H2'!I156</f>
        <v>2220869.2610728405</v>
      </c>
      <c r="E63" s="53">
        <f>TS!I156</f>
        <v>96878648579.423233</v>
      </c>
      <c r="F63" s="53">
        <f t="shared" si="6"/>
        <v>9.1494599832451462E-6</v>
      </c>
      <c r="G63" s="189">
        <f t="shared" si="7"/>
        <v>615483819657.88574</v>
      </c>
      <c r="H63" s="53">
        <f t="shared" si="8"/>
        <v>0.12810348624118015</v>
      </c>
      <c r="I63" s="53">
        <f t="shared" si="9"/>
        <v>721394.87270491931</v>
      </c>
      <c r="J63" s="53">
        <f t="shared" si="10"/>
        <v>1.1979043689854226E-12</v>
      </c>
      <c r="K63" s="65">
        <v>1.73E-16</v>
      </c>
    </row>
    <row r="64" spans="1:12" x14ac:dyDescent="0.3">
      <c r="B64" s="35">
        <f t="shared" si="11"/>
        <v>700</v>
      </c>
      <c r="C64" s="53">
        <f>'CH3'!I157</f>
        <v>10036864377.53347</v>
      </c>
      <c r="D64" s="53">
        <f>'H2'!I157</f>
        <v>3809534.8942225822</v>
      </c>
      <c r="E64" s="53">
        <f>TS!I157</f>
        <v>253874115834.9888</v>
      </c>
      <c r="F64" s="53">
        <f t="shared" si="6"/>
        <v>6.639699311479634E-6</v>
      </c>
      <c r="G64" s="189">
        <f t="shared" si="7"/>
        <v>837741865645.45544</v>
      </c>
      <c r="H64" s="53">
        <f t="shared" si="8"/>
        <v>0.17181150493073741</v>
      </c>
      <c r="I64" s="53">
        <f t="shared" si="9"/>
        <v>955676.42690691329</v>
      </c>
      <c r="J64" s="53">
        <f t="shared" si="10"/>
        <v>1.5869380424560407E-12</v>
      </c>
      <c r="K64" s="65">
        <v>8.1600000000000005E-16</v>
      </c>
    </row>
    <row r="65" spans="1:11" ht="18" x14ac:dyDescent="0.3">
      <c r="A65" s="186"/>
      <c r="B65" s="35">
        <f t="shared" si="11"/>
        <v>800</v>
      </c>
      <c r="C65" s="53">
        <f>'CH3'!I158</f>
        <v>19569072966.640293</v>
      </c>
      <c r="D65" s="53">
        <f>'H2'!I158</f>
        <v>6080514.7222203501</v>
      </c>
      <c r="E65" s="53">
        <f>TS!I158</f>
        <v>624085359794.104</v>
      </c>
      <c r="F65" s="53">
        <f t="shared" si="6"/>
        <v>5.2448539334650287E-6</v>
      </c>
      <c r="G65" s="189">
        <f t="shared" si="7"/>
        <v>1094193457169.5747</v>
      </c>
      <c r="H65" s="53">
        <f t="shared" si="8"/>
        <v>0.21412664464662137</v>
      </c>
      <c r="I65" s="53">
        <f t="shared" si="9"/>
        <v>1228848.158615632</v>
      </c>
      <c r="J65" s="53">
        <f t="shared" si="10"/>
        <v>2.040550375005901E-12</v>
      </c>
      <c r="K65" s="65">
        <v>2.74E-15</v>
      </c>
    </row>
    <row r="66" spans="1:11" ht="18" x14ac:dyDescent="0.3">
      <c r="A66" s="186"/>
      <c r="B66" s="35">
        <f t="shared" si="11"/>
        <v>900</v>
      </c>
      <c r="C66" s="53">
        <f>'CH3'!I159</f>
        <v>35969819587.58815</v>
      </c>
      <c r="D66" s="53">
        <f>'H2'!I159</f>
        <v>9187092.2275676895</v>
      </c>
      <c r="E66" s="53">
        <f>TS!I159</f>
        <v>1455817453620.46</v>
      </c>
      <c r="F66" s="53">
        <f t="shared" si="6"/>
        <v>4.4054531393502066E-6</v>
      </c>
      <c r="G66" s="189">
        <f t="shared" si="7"/>
        <v>1384838594230.2429</v>
      </c>
      <c r="H66" s="53">
        <f t="shared" si="8"/>
        <v>0.25412104501532506</v>
      </c>
      <c r="I66" s="53">
        <f t="shared" si="9"/>
        <v>1550352.225697808</v>
      </c>
      <c r="J66" s="53">
        <f t="shared" si="10"/>
        <v>2.574420438651135E-12</v>
      </c>
      <c r="K66" s="65">
        <v>7.3099999999999993E-15</v>
      </c>
    </row>
    <row r="67" spans="1:11" ht="18" x14ac:dyDescent="0.3">
      <c r="A67" s="186"/>
      <c r="B67" s="35">
        <f t="shared" si="11"/>
        <v>1000</v>
      </c>
      <c r="C67" s="53">
        <f>'CH3'!I160</f>
        <v>63087231663.523399</v>
      </c>
      <c r="D67" s="53">
        <f>'H2'!I160</f>
        <v>13295030.94301302</v>
      </c>
      <c r="E67" s="53">
        <f>TS!I160</f>
        <v>3247708606819.998</v>
      </c>
      <c r="F67" s="53">
        <f t="shared" si="6"/>
        <v>3.872097044487517E-6</v>
      </c>
      <c r="G67" s="189">
        <f t="shared" si="7"/>
        <v>1709677276827.4607</v>
      </c>
      <c r="H67" s="53">
        <f t="shared" si="8"/>
        <v>0.2914315521542104</v>
      </c>
      <c r="I67" s="53">
        <f t="shared" si="9"/>
        <v>1929287.4631530785</v>
      </c>
      <c r="J67" s="53">
        <f t="shared" si="10"/>
        <v>3.2036572043744099E-12</v>
      </c>
      <c r="K67" s="65">
        <v>1.6499999999999999E-14</v>
      </c>
    </row>
    <row r="68" spans="1:11" ht="18" x14ac:dyDescent="0.3">
      <c r="A68" s="186"/>
      <c r="B68" s="35">
        <f t="shared" si="11"/>
        <v>1100</v>
      </c>
      <c r="C68" s="53">
        <f>'CH3'!I161</f>
        <v>106485795746.1424</v>
      </c>
      <c r="D68" s="53">
        <f>'H2'!I161</f>
        <v>18583353.053805284</v>
      </c>
      <c r="E68" s="53">
        <f>TS!I161</f>
        <v>6967864169373.5713</v>
      </c>
      <c r="F68" s="53">
        <f t="shared" si="6"/>
        <v>3.5211450641018943E-6</v>
      </c>
      <c r="G68" s="189">
        <f t="shared" si="7"/>
        <v>2068709504961.2268</v>
      </c>
      <c r="H68" s="53">
        <f t="shared" si="8"/>
        <v>0.32599809560413479</v>
      </c>
      <c r="I68" s="53">
        <f t="shared" si="9"/>
        <v>2374643.889509921</v>
      </c>
      <c r="J68" s="53">
        <f t="shared" si="10"/>
        <v>3.9431889491568789E-12</v>
      </c>
      <c r="K68" s="65">
        <v>3.2999999999999998E-14</v>
      </c>
    </row>
    <row r="69" spans="1:11" ht="18" x14ac:dyDescent="0.3">
      <c r="A69" s="186"/>
      <c r="B69" s="35">
        <f t="shared" si="11"/>
        <v>1200</v>
      </c>
      <c r="C69" s="53">
        <f>'CH3'!I162</f>
        <v>174062813536.45874</v>
      </c>
      <c r="D69" s="53">
        <f>'H2'!I162</f>
        <v>25245230.797357205</v>
      </c>
      <c r="E69" s="53">
        <f>TS!I162</f>
        <v>14439348633460.129</v>
      </c>
      <c r="F69" s="53">
        <f t="shared" si="6"/>
        <v>3.285959889201798E-6</v>
      </c>
      <c r="G69" s="189">
        <f t="shared" si="7"/>
        <v>2461935278631.543</v>
      </c>
      <c r="H69" s="53">
        <f t="shared" si="8"/>
        <v>0.35791547359841841</v>
      </c>
      <c r="I69" s="53">
        <f t="shared" si="9"/>
        <v>2895471.9625684102</v>
      </c>
      <c r="J69" s="53">
        <f t="shared" si="10"/>
        <v>4.8080443117513747E-12</v>
      </c>
      <c r="K69" s="65">
        <v>5.9999999999999997E-14</v>
      </c>
    </row>
    <row r="70" spans="1:11" ht="18" x14ac:dyDescent="0.3">
      <c r="A70" s="186"/>
      <c r="B70" s="35">
        <f t="shared" si="11"/>
        <v>1300</v>
      </c>
      <c r="C70" s="53">
        <f>'CH3'!I163</f>
        <v>276839984425.95056</v>
      </c>
      <c r="D70" s="53">
        <f>'H2'!I163</f>
        <v>33488875.032326974</v>
      </c>
      <c r="E70" s="53">
        <f>TS!I163</f>
        <v>29001057452459.832</v>
      </c>
      <c r="F70" s="53">
        <f t="shared" si="6"/>
        <v>3.1281275896287231E-6</v>
      </c>
      <c r="G70" s="189">
        <f t="shared" si="7"/>
        <v>2889354597838.4082</v>
      </c>
      <c r="H70" s="53">
        <f t="shared" si="8"/>
        <v>0.38735133165322821</v>
      </c>
      <c r="I70" s="53">
        <f t="shared" si="9"/>
        <v>3500985.8559322287</v>
      </c>
      <c r="J70" s="53">
        <f t="shared" si="10"/>
        <v>5.8135237873985341E-12</v>
      </c>
      <c r="K70" s="65">
        <v>1.01E-13</v>
      </c>
    </row>
    <row r="71" spans="1:11" ht="18" x14ac:dyDescent="0.3">
      <c r="A71" s="186"/>
      <c r="B71" s="35">
        <f t="shared" si="11"/>
        <v>1400</v>
      </c>
      <c r="C71" s="53">
        <f>'CH3'!I164</f>
        <v>429967911799.43201</v>
      </c>
      <c r="D71" s="53">
        <f>'H2'!I164</f>
        <v>43538361.00832732</v>
      </c>
      <c r="E71" s="53">
        <f>TS!I164</f>
        <v>56614208915430.961</v>
      </c>
      <c r="F71" s="53">
        <f t="shared" si="6"/>
        <v>3.0242474378951912E-6</v>
      </c>
      <c r="G71" s="189">
        <f t="shared" si="7"/>
        <v>3350967462581.8218</v>
      </c>
      <c r="H71" s="53">
        <f t="shared" si="8"/>
        <v>0.41450151378582129</v>
      </c>
      <c r="I71" s="53">
        <f t="shared" si="9"/>
        <v>4200622.4902792377</v>
      </c>
      <c r="J71" s="53">
        <f t="shared" si="10"/>
        <v>6.9752977515577664E-12</v>
      </c>
      <c r="K71" s="65">
        <v>1.61E-13</v>
      </c>
    </row>
    <row r="72" spans="1:11" ht="18" x14ac:dyDescent="0.3">
      <c r="A72" s="186"/>
      <c r="B72" s="35">
        <f t="shared" si="11"/>
        <v>1500</v>
      </c>
      <c r="C72" s="53">
        <f>'CH3'!I165</f>
        <v>653987279639.66895</v>
      </c>
      <c r="D72" s="53">
        <f>'H2'!I165</f>
        <v>55634370.316710562</v>
      </c>
      <c r="E72" s="53">
        <f>TS!I165</f>
        <v>107675063957605.81</v>
      </c>
      <c r="F72" s="53">
        <f t="shared" si="6"/>
        <v>2.9593931230023706E-6</v>
      </c>
      <c r="G72" s="189">
        <f t="shared" si="7"/>
        <v>3846773872861.7852</v>
      </c>
      <c r="H72" s="53">
        <f t="shared" si="8"/>
        <v>0.43956629024641247</v>
      </c>
      <c r="I72" s="53">
        <f t="shared" si="9"/>
        <v>5004073.7016325397</v>
      </c>
      <c r="J72" s="53">
        <f t="shared" si="10"/>
        <v>8.3094598765780756E-12</v>
      </c>
      <c r="K72" s="65">
        <v>2.4400000000000002E-13</v>
      </c>
    </row>
    <row r="73" spans="1:11" ht="18" x14ac:dyDescent="0.3">
      <c r="A73" s="186"/>
      <c r="B73" s="35">
        <f t="shared" si="11"/>
        <v>1600</v>
      </c>
      <c r="C73" s="53">
        <f>'CH3'!I166</f>
        <v>976396959025.40198</v>
      </c>
      <c r="D73" s="53">
        <f>'H2'!I166</f>
        <v>70034849.904638514</v>
      </c>
      <c r="E73" s="53">
        <f>TS!I166</f>
        <v>199925603039568.41</v>
      </c>
      <c r="F73" s="53">
        <f t="shared" si="6"/>
        <v>2.9236662492981254E-6</v>
      </c>
      <c r="G73" s="189">
        <f t="shared" si="7"/>
        <v>4376773828678.2988</v>
      </c>
      <c r="H73" s="53">
        <f t="shared" si="8"/>
        <v>0.46273820314149705</v>
      </c>
      <c r="I73" s="53">
        <f t="shared" si="9"/>
        <v>5921302.5909339469</v>
      </c>
      <c r="J73" s="53">
        <f t="shared" si="10"/>
        <v>9.8325542808035381E-12</v>
      </c>
      <c r="K73" s="65">
        <v>3.5400000000000001E-13</v>
      </c>
    </row>
    <row r="74" spans="1:11" ht="18" x14ac:dyDescent="0.3">
      <c r="A74" s="186"/>
      <c r="B74" s="35">
        <f t="shared" si="11"/>
        <v>1700</v>
      </c>
      <c r="C74" s="53">
        <f>'CH3'!I167</f>
        <v>1433586415960.105</v>
      </c>
      <c r="D74" s="53">
        <f>'H2'!I167</f>
        <v>87015598.811938196</v>
      </c>
      <c r="E74" s="53">
        <f>TS!I167</f>
        <v>363041157773590.75</v>
      </c>
      <c r="F74" s="53">
        <f t="shared" si="6"/>
        <v>2.9102806596352571E-6</v>
      </c>
      <c r="G74" s="189">
        <f t="shared" si="7"/>
        <v>4940967330031.3604</v>
      </c>
      <c r="H74" s="53">
        <f t="shared" si="8"/>
        <v>0.48419635009750689</v>
      </c>
      <c r="I74" s="53">
        <f t="shared" si="9"/>
        <v>6962550.6398604279</v>
      </c>
      <c r="J74" s="53">
        <f t="shared" si="10"/>
        <v>1.1561587344664504E-11</v>
      </c>
      <c r="K74" s="65">
        <v>4.98E-13</v>
      </c>
    </row>
    <row r="75" spans="1:11" ht="18" x14ac:dyDescent="0.3">
      <c r="A75" s="186"/>
      <c r="B75" s="35">
        <f t="shared" si="11"/>
        <v>1800</v>
      </c>
      <c r="C75" s="53">
        <f>'CH3'!I168</f>
        <v>2073197537611.9309</v>
      </c>
      <c r="D75" s="53">
        <f>'H2'!I168</f>
        <v>106870796.01621579</v>
      </c>
      <c r="E75" s="53">
        <f>TS!I168</f>
        <v>645737581815161.75</v>
      </c>
      <c r="F75" s="53">
        <f t="shared" si="6"/>
        <v>2.9144481575601023E-6</v>
      </c>
      <c r="G75" s="189">
        <f t="shared" si="7"/>
        <v>5539354376920.9717</v>
      </c>
      <c r="H75" s="53">
        <f t="shared" si="8"/>
        <v>0.50410420055314464</v>
      </c>
      <c r="I75" s="53">
        <f t="shared" si="9"/>
        <v>8138339.4540991755</v>
      </c>
      <c r="J75" s="53">
        <f t="shared" si="10"/>
        <v>1.3514030605453958E-11</v>
      </c>
      <c r="K75" s="65">
        <v>6.8000000000000003E-13</v>
      </c>
    </row>
    <row r="76" spans="1:11" ht="18" x14ac:dyDescent="0.3">
      <c r="A76" s="186"/>
      <c r="B76" s="35">
        <f t="shared" si="11"/>
        <v>1900</v>
      </c>
      <c r="C76" s="53">
        <f>'CH3'!I169</f>
        <v>2956989406047.6177</v>
      </c>
      <c r="D76" s="53">
        <f>'H2'!I169</f>
        <v>129913482.0526872</v>
      </c>
      <c r="E76" s="53">
        <f>TS!I169</f>
        <v>1126606584744934</v>
      </c>
      <c r="F76" s="53">
        <f t="shared" si="6"/>
        <v>2.9327044178338367E-6</v>
      </c>
      <c r="G76" s="189">
        <f t="shared" si="7"/>
        <v>6171934969347.1318</v>
      </c>
      <c r="H76" s="53">
        <f t="shared" si="8"/>
        <v>0.52260930949512252</v>
      </c>
      <c r="I76" s="53">
        <f t="shared" si="9"/>
        <v>9459469.3992435168</v>
      </c>
      <c r="J76" s="53">
        <f t="shared" si="10"/>
        <v>1.570781849217938E-11</v>
      </c>
      <c r="K76" s="65">
        <v>9.0599999999999998E-13</v>
      </c>
    </row>
    <row r="77" spans="1:11" ht="18" x14ac:dyDescent="0.3">
      <c r="A77" s="186"/>
      <c r="B77" s="35">
        <f t="shared" si="11"/>
        <v>2000</v>
      </c>
      <c r="C77" s="53">
        <f>'CH3'!I170</f>
        <v>4164288657417.4263</v>
      </c>
      <c r="D77" s="53">
        <f>'H2'!I170</f>
        <v>156476005.03733525</v>
      </c>
      <c r="E77" s="53">
        <f>TS!I170</f>
        <v>1930389853393255.5</v>
      </c>
      <c r="F77" s="53">
        <f t="shared" si="6"/>
        <v>2.9624869808470213E-6</v>
      </c>
      <c r="G77" s="189">
        <f t="shared" si="7"/>
        <v>6838709107309.8428</v>
      </c>
      <c r="H77" s="53">
        <f t="shared" si="8"/>
        <v>0.53984400724117554</v>
      </c>
      <c r="I77" s="53">
        <f t="shared" si="9"/>
        <v>10937016.467129512</v>
      </c>
      <c r="J77" s="53">
        <f t="shared" si="10"/>
        <v>1.816134312199224E-11</v>
      </c>
      <c r="K77" s="65">
        <v>1.18E-12</v>
      </c>
    </row>
    <row r="78" spans="1:11" ht="18.600000000000001" thickBot="1" x14ac:dyDescent="0.35">
      <c r="A78" s="186"/>
      <c r="B78" s="26">
        <f t="shared" si="11"/>
        <v>2100</v>
      </c>
      <c r="C78" s="57">
        <f>'CH3'!I171</f>
        <v>5796117899547.876</v>
      </c>
      <c r="D78" s="57">
        <f>'H2'!I171</f>
        <v>186910439.45074171</v>
      </c>
      <c r="E78" s="57">
        <f>TS!I171</f>
        <v>3252083100927444</v>
      </c>
      <c r="F78" s="57">
        <f t="shared" si="6"/>
        <v>3.001862981103974E-6</v>
      </c>
      <c r="G78" s="205">
        <f t="shared" si="7"/>
        <v>7539676790809.1025</v>
      </c>
      <c r="H78" s="57">
        <f t="shared" si="8"/>
        <v>0.55592654789684914</v>
      </c>
      <c r="I78" s="57">
        <f t="shared" si="9"/>
        <v>12582328.169106616</v>
      </c>
      <c r="J78" s="57">
        <f t="shared" si="10"/>
        <v>2.0893447480803514E-11</v>
      </c>
      <c r="K78" s="67">
        <v>1.51E-12</v>
      </c>
    </row>
    <row r="79" spans="1:11" ht="18" x14ac:dyDescent="0.3">
      <c r="A79" s="186"/>
      <c r="B79" s="187"/>
    </row>
    <row r="80" spans="1:11" ht="18" x14ac:dyDescent="0.3">
      <c r="A80" s="186"/>
      <c r="B80" s="187"/>
    </row>
    <row r="81" spans="1:15" ht="18" x14ac:dyDescent="0.3">
      <c r="A81" s="186"/>
      <c r="B81" s="187"/>
    </row>
    <row r="82" spans="1:15" ht="18" x14ac:dyDescent="0.3">
      <c r="A82" s="186"/>
      <c r="B82" s="187"/>
    </row>
    <row r="83" spans="1:15" ht="25.8" x14ac:dyDescent="0.3">
      <c r="A83" s="190" t="s">
        <v>160</v>
      </c>
      <c r="B83" s="218" t="s">
        <v>161</v>
      </c>
      <c r="C83" s="218"/>
      <c r="D83" s="218"/>
      <c r="E83" s="218"/>
      <c r="F83" s="218"/>
      <c r="G83" s="218"/>
      <c r="H83" s="218"/>
      <c r="I83" s="218"/>
      <c r="J83" s="218"/>
    </row>
    <row r="84" spans="1:15" ht="18" x14ac:dyDescent="0.3">
      <c r="A84" s="186"/>
      <c r="B84" s="187"/>
    </row>
    <row r="85" spans="1:15" ht="15.6" x14ac:dyDescent="0.3">
      <c r="A85" s="219" t="s">
        <v>162</v>
      </c>
      <c r="B85" s="219"/>
      <c r="C85" s="219"/>
      <c r="D85" s="219"/>
      <c r="E85" s="219"/>
      <c r="F85" s="219"/>
    </row>
    <row r="87" spans="1:15" ht="18" x14ac:dyDescent="0.3">
      <c r="A87" s="220" t="s">
        <v>163</v>
      </c>
      <c r="B87" s="220"/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</row>
    <row r="88" spans="1:15" ht="18" x14ac:dyDescent="0.3">
      <c r="A88" s="186"/>
      <c r="B88" s="186"/>
    </row>
    <row r="89" spans="1:15" ht="18" x14ac:dyDescent="0.3">
      <c r="A89" s="191" t="s">
        <v>164</v>
      </c>
      <c r="B89" s="186"/>
    </row>
    <row r="90" spans="1:15" ht="18" x14ac:dyDescent="0.3">
      <c r="A90" s="186"/>
      <c r="B90" s="192"/>
    </row>
    <row r="91" spans="1:15" ht="18" x14ac:dyDescent="0.3">
      <c r="A91" s="186"/>
      <c r="B91" s="186"/>
    </row>
    <row r="92" spans="1:15" ht="18" x14ac:dyDescent="0.3">
      <c r="A92" s="186"/>
      <c r="B92" s="186"/>
    </row>
    <row r="93" spans="1:15" ht="36" x14ac:dyDescent="0.3">
      <c r="A93" s="191" t="s">
        <v>165</v>
      </c>
      <c r="B93" s="186"/>
    </row>
    <row r="94" spans="1:15" ht="18" x14ac:dyDescent="0.3">
      <c r="A94" s="186"/>
      <c r="B94" s="187"/>
    </row>
    <row r="96" spans="1:15" ht="16.2" x14ac:dyDescent="0.3">
      <c r="A96" s="5" t="s">
        <v>166</v>
      </c>
      <c r="B96" s="199">
        <v>1162.2420999999999</v>
      </c>
      <c r="C96" s="193" t="s">
        <v>134</v>
      </c>
      <c r="D96" s="5" t="s">
        <v>167</v>
      </c>
    </row>
    <row r="97" spans="1:9" x14ac:dyDescent="0.3">
      <c r="B97" s="194">
        <f>B96*'CH4'!I2</f>
        <v>34843204588530</v>
      </c>
      <c r="C97" s="161" t="s">
        <v>168</v>
      </c>
    </row>
    <row r="100" spans="1:9" ht="18" x14ac:dyDescent="0.3">
      <c r="A100" s="188" t="s">
        <v>148</v>
      </c>
    </row>
    <row r="102" spans="1:9" ht="15" thickBot="1" x14ac:dyDescent="0.35"/>
    <row r="103" spans="1:9" ht="16.2" x14ac:dyDescent="0.3">
      <c r="B103" s="17" t="s">
        <v>53</v>
      </c>
      <c r="C103" s="18" t="s">
        <v>154</v>
      </c>
      <c r="D103" s="18" t="s">
        <v>155</v>
      </c>
      <c r="E103" s="18" t="s">
        <v>156</v>
      </c>
      <c r="F103" s="18" t="s">
        <v>183</v>
      </c>
      <c r="G103" s="18" t="s">
        <v>169</v>
      </c>
      <c r="H103" s="19" t="s">
        <v>185</v>
      </c>
      <c r="I103"/>
    </row>
    <row r="104" spans="1:9" x14ac:dyDescent="0.3">
      <c r="B104" s="35">
        <v>298.14999999999998</v>
      </c>
      <c r="C104" s="53">
        <f>'CH4'!I153</f>
        <v>371117537.36839032</v>
      </c>
      <c r="D104" s="53">
        <f>H!I153</f>
        <v>79490.409012995253</v>
      </c>
      <c r="E104" s="53">
        <f>TS!I153</f>
        <v>2654119643.7960896</v>
      </c>
      <c r="F104" s="53">
        <v>4.3100000000000002E-18</v>
      </c>
      <c r="G104" s="53">
        <f>1+(1/24)*(('CH3'!$C$2 * $B$97) /('CH3'!$A$2 * 'Velocità di reazione'!B104) )^2</f>
        <v>2.3107846647173842</v>
      </c>
      <c r="H104" s="65">
        <f>G104*F104</f>
        <v>9.9594819049319267E-18</v>
      </c>
    </row>
    <row r="105" spans="1:9" x14ac:dyDescent="0.3">
      <c r="B105" s="35">
        <v>400</v>
      </c>
      <c r="C105" s="53">
        <f>'CH4'!I154</f>
        <v>1233240345.3392696</v>
      </c>
      <c r="D105" s="53">
        <f>H!I154</f>
        <v>165721.04978558532</v>
      </c>
      <c r="E105" s="53">
        <f>TS!I154</f>
        <v>10621181618.653322</v>
      </c>
      <c r="F105" s="53">
        <v>2.3100000000000001E-16</v>
      </c>
      <c r="G105" s="53">
        <f>1+(1/24)*(('CH3'!$C$2 * $B$97) /('CH3'!$A$2 * 'Velocità di reazione'!B105) )^2</f>
        <v>1.7282508437952702</v>
      </c>
      <c r="H105" s="65">
        <f t="shared" ref="H105:H122" si="12">G105*F105</f>
        <v>3.992259449167074E-16</v>
      </c>
    </row>
    <row r="106" spans="1:9" x14ac:dyDescent="0.3">
      <c r="B106" s="35">
        <f>B105+100</f>
        <v>500</v>
      </c>
      <c r="C106" s="53">
        <f>'CH4'!I155</f>
        <v>3180228357.8250594</v>
      </c>
      <c r="D106" s="53">
        <f>H!I155</f>
        <v>289502.75986187335</v>
      </c>
      <c r="E106" s="53">
        <f>TS!I155</f>
        <v>34029736082.218159</v>
      </c>
      <c r="F106" s="53">
        <v>2.5800000000000001E-15</v>
      </c>
      <c r="G106" s="53">
        <f>1+(1/24)*(('CH3'!$C$2 * $B$97) /('CH3'!$A$2 * 'Velocità di reazione'!B106) )^2</f>
        <v>1.4660805400289729</v>
      </c>
      <c r="H106" s="65">
        <f t="shared" si="12"/>
        <v>3.7824877932747502E-15</v>
      </c>
    </row>
    <row r="107" spans="1:9" x14ac:dyDescent="0.3">
      <c r="B107" s="35">
        <f t="shared" ref="B107:B122" si="13">B106+100</f>
        <v>600</v>
      </c>
      <c r="C107" s="53">
        <f>'CH4'!I156</f>
        <v>7181280621.1282463</v>
      </c>
      <c r="D107" s="53">
        <f>H!I156</f>
        <v>456673.51306468679</v>
      </c>
      <c r="E107" s="53">
        <f>TS!I156</f>
        <v>96878648579.423233</v>
      </c>
      <c r="F107" s="53">
        <v>1.38E-14</v>
      </c>
      <c r="G107" s="53">
        <f>1+(1/24)*(('CH3'!$C$2 * $B$97) /('CH3'!$A$2 * 'Velocità di reazione'!B107) )^2</f>
        <v>1.3236670416867868</v>
      </c>
      <c r="H107" s="65">
        <f t="shared" si="12"/>
        <v>1.8266605175277657E-14</v>
      </c>
    </row>
    <row r="108" spans="1:9" x14ac:dyDescent="0.3">
      <c r="B108" s="35">
        <f t="shared" si="13"/>
        <v>700</v>
      </c>
      <c r="C108" s="53">
        <f>'CH4'!I157</f>
        <v>14882058587.13446</v>
      </c>
      <c r="D108" s="53">
        <f>H!I157</f>
        <v>671386.79850998719</v>
      </c>
      <c r="E108" s="53">
        <f>TS!I157</f>
        <v>253874115834.9888</v>
      </c>
      <c r="F108" s="53">
        <v>4.8500000000000002E-14</v>
      </c>
      <c r="G108" s="53">
        <f>1+(1/24)*(('CH3'!$C$2 * $B$97) /('CH3'!$A$2 * 'Velocità di reazione'!B108) )^2</f>
        <v>1.2377961938923332</v>
      </c>
      <c r="H108" s="65">
        <f t="shared" si="12"/>
        <v>6.0033115403778163E-14</v>
      </c>
    </row>
    <row r="109" spans="1:9" x14ac:dyDescent="0.3">
      <c r="B109" s="35">
        <f t="shared" si="13"/>
        <v>800</v>
      </c>
      <c r="C109" s="53">
        <f>'CH4'!I158</f>
        <v>29032509292.551785</v>
      </c>
      <c r="D109" s="53">
        <f>H!I158</f>
        <v>937459.82470992941</v>
      </c>
      <c r="E109" s="53">
        <f>TS!I158</f>
        <v>624085359794.104</v>
      </c>
      <c r="F109" s="53">
        <v>1.3E-13</v>
      </c>
      <c r="G109" s="53">
        <f>1+(1/24)*(('CH3'!$C$2 * $B$97) /('CH3'!$A$2 * 'Velocità di reazione'!B109) )^2</f>
        <v>1.1820627109488175</v>
      </c>
      <c r="H109" s="65">
        <f t="shared" si="12"/>
        <v>1.5366815242334628E-13</v>
      </c>
    </row>
    <row r="110" spans="1:9" x14ac:dyDescent="0.3">
      <c r="B110" s="35">
        <f t="shared" si="13"/>
        <v>900</v>
      </c>
      <c r="C110" s="53">
        <f>'CH4'!I159</f>
        <v>54122215795.5159</v>
      </c>
      <c r="D110" s="53">
        <f>H!I159</f>
        <v>1258444.2218093083</v>
      </c>
      <c r="E110" s="53">
        <f>TS!I159</f>
        <v>1455817453620.46</v>
      </c>
      <c r="F110" s="53">
        <v>2.9200000000000002E-13</v>
      </c>
      <c r="G110" s="53">
        <f>1+(1/24)*(('CH3'!$C$2 * $B$97) /('CH3'!$A$2 * 'Velocità di reazione'!B110) )^2</f>
        <v>1.1438520185274608</v>
      </c>
      <c r="H110" s="65">
        <f t="shared" si="12"/>
        <v>3.3400478941001858E-13</v>
      </c>
    </row>
    <row r="111" spans="1:9" x14ac:dyDescent="0.3">
      <c r="B111" s="35">
        <f t="shared" si="13"/>
        <v>1000</v>
      </c>
      <c r="C111" s="53">
        <f>'CH4'!I160</f>
        <v>97329064201.014221</v>
      </c>
      <c r="D111" s="53">
        <f>H!I160</f>
        <v>1637674.917364415</v>
      </c>
      <c r="E111" s="53">
        <f>TS!I160</f>
        <v>3247708606819.998</v>
      </c>
      <c r="F111" s="53">
        <v>5.7299999999999998E-13</v>
      </c>
      <c r="G111" s="53">
        <f>1+(1/24)*(('CH3'!$C$2 * $B$97) /('CH3'!$A$2 * 'Velocità di reazione'!B111) )^2</f>
        <v>1.1165201350072431</v>
      </c>
      <c r="H111" s="65">
        <f t="shared" si="12"/>
        <v>6.3976603735915033E-13</v>
      </c>
    </row>
    <row r="112" spans="1:9" x14ac:dyDescent="0.3">
      <c r="B112" s="35">
        <f t="shared" si="13"/>
        <v>1100</v>
      </c>
      <c r="C112" s="53">
        <f>'CH4'!I161</f>
        <v>169911352377.4108</v>
      </c>
      <c r="D112" s="53">
        <f>H!I161</f>
        <v>2078305.6119473386</v>
      </c>
      <c r="E112" s="53">
        <f>TS!I161</f>
        <v>6967864169373.5713</v>
      </c>
      <c r="F112" s="53">
        <v>1.0200000000000001E-12</v>
      </c>
      <c r="G112" s="53">
        <f>1+(1/24)*(('CH3'!$C$2 * $B$97) /('CH3'!$A$2 * 'Velocità di reazione'!B112) )^2</f>
        <v>1.0962976322373912</v>
      </c>
      <c r="H112" s="65">
        <f t="shared" si="12"/>
        <v>1.1182235848821391E-12</v>
      </c>
    </row>
    <row r="113" spans="1:9" x14ac:dyDescent="0.3">
      <c r="B113" s="35">
        <f t="shared" si="13"/>
        <v>1200</v>
      </c>
      <c r="C113" s="53">
        <f>'CH4'!I162</f>
        <v>289218042171.84979</v>
      </c>
      <c r="D113" s="53">
        <f>H!I162</f>
        <v>2583335.5030105943</v>
      </c>
      <c r="E113" s="53">
        <f>TS!I162</f>
        <v>14439348633460.129</v>
      </c>
      <c r="F113" s="53">
        <v>1.6900000000000001E-12</v>
      </c>
      <c r="G113" s="53">
        <f>1+(1/24)*(('CH3'!$C$2 * $B$97) /('CH3'!$A$2 * 'Velocità di reazione'!B113) )^2</f>
        <v>1.0809167604216967</v>
      </c>
      <c r="H113" s="65">
        <f t="shared" si="12"/>
        <v>1.8267493251126675E-12</v>
      </c>
    </row>
    <row r="114" spans="1:9" x14ac:dyDescent="0.3">
      <c r="B114" s="35">
        <f t="shared" si="13"/>
        <v>1300</v>
      </c>
      <c r="C114" s="53">
        <f>'CH4'!I163</f>
        <v>481548985235.66473</v>
      </c>
      <c r="D114" s="53">
        <f>H!I163</f>
        <v>3155630.0146854925</v>
      </c>
      <c r="E114" s="53">
        <f>TS!I163</f>
        <v>29001057452459.832</v>
      </c>
      <c r="F114" s="53">
        <v>2.6299999999999999E-12</v>
      </c>
      <c r="G114" s="53">
        <f>1+(1/24)*(('CH3'!$C$2 * $B$97) /('CH3'!$A$2 * 'Velocità di reazione'!B114) )^2</f>
        <v>1.068946825448073</v>
      </c>
      <c r="H114" s="65">
        <f t="shared" si="12"/>
        <v>2.8113301509284319E-12</v>
      </c>
    </row>
    <row r="115" spans="1:9" x14ac:dyDescent="0.3">
      <c r="B115" s="35">
        <f t="shared" si="13"/>
        <v>1400</v>
      </c>
      <c r="C115" s="53">
        <f>'CH4'!I164</f>
        <v>786169082658.58875</v>
      </c>
      <c r="D115" s="53">
        <f>H!I164</f>
        <v>3797937.2642043158</v>
      </c>
      <c r="E115" s="53">
        <f>TS!I164</f>
        <v>56614208915430.961</v>
      </c>
      <c r="F115" s="53">
        <v>3.9100000000000001E-12</v>
      </c>
      <c r="G115" s="53">
        <f>1+(1/24)*(('CH3'!$C$2 * $B$97) /('CH3'!$A$2 * 'Velocità di reazione'!B115) )^2</f>
        <v>1.0594490484730834</v>
      </c>
      <c r="H115" s="65">
        <f t="shared" si="12"/>
        <v>4.1424457795297561E-12</v>
      </c>
    </row>
    <row r="116" spans="1:9" x14ac:dyDescent="0.3">
      <c r="B116" s="35">
        <f t="shared" si="13"/>
        <v>1500</v>
      </c>
      <c r="C116" s="53">
        <f>'CH4'!I165</f>
        <v>1260870486393.978</v>
      </c>
      <c r="D116" s="53">
        <f>H!I165</f>
        <v>4512901.4011096358</v>
      </c>
      <c r="E116" s="53">
        <f>TS!I165</f>
        <v>107675063957605.81</v>
      </c>
      <c r="F116" s="53">
        <v>5.5800000000000001E-12</v>
      </c>
      <c r="G116" s="53">
        <f>1+(1/24)*(('CH3'!$C$2 * $B$97) /('CH3'!$A$2 * 'Velocità di reazione'!B116) )^2</f>
        <v>1.0517867266698859</v>
      </c>
      <c r="H116" s="65">
        <f t="shared" si="12"/>
        <v>5.8689699348179639E-12</v>
      </c>
    </row>
    <row r="117" spans="1:9" x14ac:dyDescent="0.3">
      <c r="B117" s="35">
        <f t="shared" si="13"/>
        <v>1600</v>
      </c>
      <c r="C117" s="53">
        <f>'CH4'!I166</f>
        <v>1989588614237.4878</v>
      </c>
      <c r="D117" s="53">
        <f>H!I166</f>
        <v>5303073.5931387609</v>
      </c>
      <c r="E117" s="53">
        <f>TS!I166</f>
        <v>199925603039568.41</v>
      </c>
      <c r="F117" s="53">
        <v>7.6999999999999999E-12</v>
      </c>
      <c r="G117" s="53">
        <f>1+(1/24)*(('CH3'!$C$2 * $B$97) /('CH3'!$A$2 * 'Velocità di reazione'!B117) )^2</f>
        <v>1.0455156777372043</v>
      </c>
      <c r="H117" s="65">
        <f t="shared" si="12"/>
        <v>8.0504707185764726E-12</v>
      </c>
    </row>
    <row r="118" spans="1:9" x14ac:dyDescent="0.3">
      <c r="B118" s="35">
        <f t="shared" si="13"/>
        <v>1700</v>
      </c>
      <c r="C118" s="53">
        <f>'CH4'!I167</f>
        <v>3092714919130.1543</v>
      </c>
      <c r="D118" s="53">
        <f>H!I167</f>
        <v>6170921.2024084236</v>
      </c>
      <c r="E118" s="53">
        <f>TS!I167</f>
        <v>363041157773590.75</v>
      </c>
      <c r="F118" s="53">
        <v>1.0299999999999999E-11</v>
      </c>
      <c r="G118" s="53">
        <f>1+(1/24)*(('CH3'!$C$2 * $B$97) /('CH3'!$A$2 * 'Velocità di reazione'!B118) )^2</f>
        <v>1.0403183858156551</v>
      </c>
      <c r="H118" s="65">
        <f t="shared" si="12"/>
        <v>1.0715279373901246E-11</v>
      </c>
    </row>
    <row r="119" spans="1:9" x14ac:dyDescent="0.3">
      <c r="B119" s="35">
        <f t="shared" si="13"/>
        <v>1800</v>
      </c>
      <c r="C119" s="53">
        <f>'CH4'!I168</f>
        <v>4740916547237.5684</v>
      </c>
      <c r="D119" s="53">
        <f>H!I168</f>
        <v>7118835.5438910369</v>
      </c>
      <c r="E119" s="53">
        <f>TS!I168</f>
        <v>645737581815161.75</v>
      </c>
      <c r="F119" s="53">
        <v>1.36E-11</v>
      </c>
      <c r="G119" s="53">
        <f>1+(1/24)*(('CH3'!$C$2 * $B$97) /('CH3'!$A$2 * 'Velocità di reazione'!B119) )^2</f>
        <v>1.0359630046318653</v>
      </c>
      <c r="H119" s="65">
        <f t="shared" si="12"/>
        <v>1.4089096862993368E-11</v>
      </c>
    </row>
    <row r="120" spans="1:9" x14ac:dyDescent="0.3">
      <c r="B120" s="35">
        <f t="shared" si="13"/>
        <v>1900</v>
      </c>
      <c r="C120" s="53">
        <f>'CH4'!I169</f>
        <v>7173475334493.4248</v>
      </c>
      <c r="D120" s="53">
        <f>H!I169</f>
        <v>8149138.5152705293</v>
      </c>
      <c r="E120" s="53">
        <f>TS!I169</f>
        <v>1126606584744934</v>
      </c>
      <c r="F120" s="53">
        <v>1.7399999999999999E-11</v>
      </c>
      <c r="G120" s="53">
        <f>1+(1/24)*(('CH3'!$C$2 * $B$97) /('CH3'!$A$2 * 'Velocità di reazione'!B120) )^2</f>
        <v>1.0322770457083776</v>
      </c>
      <c r="H120" s="65">
        <f t="shared" si="12"/>
        <v>1.7961620595325771E-11</v>
      </c>
    </row>
    <row r="121" spans="1:9" x14ac:dyDescent="0.3">
      <c r="B121" s="35">
        <f t="shared" si="13"/>
        <v>2000</v>
      </c>
      <c r="C121" s="53">
        <f>'CH4'!I170</f>
        <v>10722401751870.15</v>
      </c>
      <c r="D121" s="53">
        <f>H!I170</f>
        <v>9264088.3155799992</v>
      </c>
      <c r="E121" s="53">
        <f>TS!I170</f>
        <v>1930389853393255.5</v>
      </c>
      <c r="F121" s="53">
        <v>2.2000000000000002E-11</v>
      </c>
      <c r="G121" s="53">
        <f>1+(1/24)*(('CH3'!$C$2 * $B$97) /('CH3'!$A$2 * 'Velocità di reazione'!B121) )^2</f>
        <v>1.0291300337518108</v>
      </c>
      <c r="H121" s="65">
        <f t="shared" si="12"/>
        <v>2.2640860742539839E-11</v>
      </c>
    </row>
    <row r="122" spans="1:9" ht="15" thickBot="1" x14ac:dyDescent="0.35">
      <c r="B122" s="26">
        <f t="shared" si="13"/>
        <v>2100</v>
      </c>
      <c r="C122" s="57">
        <f>'CH4'!I171</f>
        <v>15843869817082.416</v>
      </c>
      <c r="D122" s="57">
        <f>H!I171</f>
        <v>10465884.418952722</v>
      </c>
      <c r="E122" s="57">
        <f>TS!I171</f>
        <v>3252083100927444</v>
      </c>
      <c r="F122" s="57">
        <v>2.7299999999999999E-11</v>
      </c>
      <c r="G122" s="57">
        <f>1+(1/24)*(('CH3'!$C$2 * $B$97) /('CH3'!$A$2 * 'Velocità di reazione'!B122) )^2</f>
        <v>1.0264217993213705</v>
      </c>
      <c r="H122" s="67">
        <f t="shared" si="12"/>
        <v>2.8021315121473412E-11</v>
      </c>
    </row>
    <row r="125" spans="1:9" ht="18" x14ac:dyDescent="0.3">
      <c r="A125" s="188" t="s">
        <v>157</v>
      </c>
    </row>
    <row r="126" spans="1:9" ht="15" thickBot="1" x14ac:dyDescent="0.35"/>
    <row r="127" spans="1:9" ht="16.2" x14ac:dyDescent="0.3">
      <c r="B127" s="17" t="s">
        <v>53</v>
      </c>
      <c r="C127" s="18" t="s">
        <v>158</v>
      </c>
      <c r="D127" s="18" t="s">
        <v>159</v>
      </c>
      <c r="E127" s="18" t="s">
        <v>156</v>
      </c>
      <c r="F127" s="18" t="s">
        <v>183</v>
      </c>
      <c r="G127" s="18" t="s">
        <v>169</v>
      </c>
      <c r="H127" s="19" t="s">
        <v>185</v>
      </c>
      <c r="I127"/>
    </row>
    <row r="128" spans="1:9" x14ac:dyDescent="0.3">
      <c r="B128" s="35">
        <v>298.14999999999998</v>
      </c>
      <c r="C128" s="53">
        <f>'CH3'!I153</f>
        <v>211447341.38479584</v>
      </c>
      <c r="D128" s="53">
        <f>'H2'!I153</f>
        <v>192090.43025413383</v>
      </c>
      <c r="E128" s="53">
        <f>TS!I153</f>
        <v>2654119643.7960896</v>
      </c>
      <c r="F128" s="53">
        <v>2.6399999999999999E-13</v>
      </c>
      <c r="G128" s="53">
        <f>1+(1/24)*(('CH3'!$C$2 * $B$97) /('CH3'!$A$2 * 'Velocità di reazione'!B128) )^2</f>
        <v>2.3107846647173842</v>
      </c>
      <c r="H128" s="65">
        <f>G128*F128</f>
        <v>6.1004715148538937E-13</v>
      </c>
      <c r="I128"/>
    </row>
    <row r="129" spans="2:8" x14ac:dyDescent="0.3">
      <c r="B129" s="35">
        <v>400</v>
      </c>
      <c r="C129" s="53">
        <f>'CH3'!I154</f>
        <v>750510294.94855487</v>
      </c>
      <c r="D129" s="53">
        <f>'H2'!I154</f>
        <v>537271.61540511006</v>
      </c>
      <c r="E129" s="53">
        <f>TS!I154</f>
        <v>10621181618.653322</v>
      </c>
      <c r="F129" s="53">
        <v>5.4899999999999998E-13</v>
      </c>
      <c r="G129" s="53">
        <f>1+(1/24)*(('CH3'!$C$2 * $B$97) /('CH3'!$A$2 * 'Velocità di reazione'!B129) )^2</f>
        <v>1.7282508437952702</v>
      </c>
      <c r="H129" s="65">
        <f t="shared" ref="H129:H146" si="14">G129*F129</f>
        <v>9.4880971324360337E-13</v>
      </c>
    </row>
    <row r="130" spans="2:8" x14ac:dyDescent="0.3">
      <c r="B130" s="35">
        <f>B129+100</f>
        <v>500</v>
      </c>
      <c r="C130" s="53">
        <f>'CH3'!I155</f>
        <v>2040237097.7356682</v>
      </c>
      <c r="D130" s="53">
        <f>'H2'!I155</f>
        <v>1173221.5740756115</v>
      </c>
      <c r="E130" s="53">
        <f>TS!I155</f>
        <v>34029736082.218159</v>
      </c>
      <c r="F130" s="53">
        <v>8.5699999999999998E-13</v>
      </c>
      <c r="G130" s="53">
        <f>1+(1/24)*(('CH3'!$C$2 * $B$97) /('CH3'!$A$2 * 'Velocità di reazione'!B130) )^2</f>
        <v>1.4660805400289729</v>
      </c>
      <c r="H130" s="65">
        <f t="shared" si="14"/>
        <v>1.2564310228048298E-12</v>
      </c>
    </row>
    <row r="131" spans="2:8" x14ac:dyDescent="0.3">
      <c r="B131" s="35">
        <f t="shared" ref="B131:B146" si="15">B130+100</f>
        <v>600</v>
      </c>
      <c r="C131" s="53">
        <f>'CH3'!I156</f>
        <v>4767707646.4013948</v>
      </c>
      <c r="D131" s="53">
        <f>'H2'!I156</f>
        <v>2220869.2610728405</v>
      </c>
      <c r="E131" s="53">
        <f>TS!I156</f>
        <v>96878648579.423233</v>
      </c>
      <c r="F131" s="53">
        <v>1.1999999999999999E-12</v>
      </c>
      <c r="G131" s="53">
        <f>1+(1/24)*(('CH3'!$C$2 * $B$97) /('CH3'!$A$2 * 'Velocità di reazione'!B131) )^2</f>
        <v>1.3236670416867868</v>
      </c>
      <c r="H131" s="65">
        <f t="shared" si="14"/>
        <v>1.5884004500241442E-12</v>
      </c>
    </row>
    <row r="132" spans="2:8" x14ac:dyDescent="0.3">
      <c r="B132" s="35">
        <f t="shared" si="15"/>
        <v>700</v>
      </c>
      <c r="C132" s="53">
        <f>'CH3'!I157</f>
        <v>10036864377.53347</v>
      </c>
      <c r="D132" s="53">
        <f>'H2'!I157</f>
        <v>3809534.8942225822</v>
      </c>
      <c r="E132" s="53">
        <f>TS!I157</f>
        <v>253874115834.9888</v>
      </c>
      <c r="F132" s="53">
        <v>1.5900000000000001E-12</v>
      </c>
      <c r="G132" s="53">
        <f>1+(1/24)*(('CH3'!$C$2 * $B$97) /('CH3'!$A$2 * 'Velocità di reazione'!B132) )^2</f>
        <v>1.2377961938923332</v>
      </c>
      <c r="H132" s="65">
        <f t="shared" si="14"/>
        <v>1.9680959482888098E-12</v>
      </c>
    </row>
    <row r="133" spans="2:8" x14ac:dyDescent="0.3">
      <c r="B133" s="35">
        <f t="shared" si="15"/>
        <v>800</v>
      </c>
      <c r="C133" s="53">
        <f>'CH3'!I158</f>
        <v>19569072966.640293</v>
      </c>
      <c r="D133" s="53">
        <f>'H2'!I158</f>
        <v>6080514.7222203501</v>
      </c>
      <c r="E133" s="53">
        <f>TS!I158</f>
        <v>624085359794.104</v>
      </c>
      <c r="F133" s="53">
        <v>2.0400000000000002E-12</v>
      </c>
      <c r="G133" s="53">
        <f>1+(1/24)*(('CH3'!$C$2 * $B$97) /('CH3'!$A$2 * 'Velocità di reazione'!B133) )^2</f>
        <v>1.1820627109488175</v>
      </c>
      <c r="H133" s="65">
        <f t="shared" si="14"/>
        <v>2.4114079303355881E-12</v>
      </c>
    </row>
    <row r="134" spans="2:8" x14ac:dyDescent="0.3">
      <c r="B134" s="35">
        <f t="shared" si="15"/>
        <v>900</v>
      </c>
      <c r="C134" s="53">
        <f>'CH3'!I159</f>
        <v>35969819587.58815</v>
      </c>
      <c r="D134" s="53">
        <f>'H2'!I159</f>
        <v>9187092.2275676895</v>
      </c>
      <c r="E134" s="53">
        <f>TS!I159</f>
        <v>1455817453620.46</v>
      </c>
      <c r="F134" s="53">
        <v>2.5700000000000002E-12</v>
      </c>
      <c r="G134" s="53">
        <f>1+(1/24)*(('CH3'!$C$2 * $B$97) /('CH3'!$A$2 * 'Velocità di reazione'!B134) )^2</f>
        <v>1.1438520185274608</v>
      </c>
      <c r="H134" s="65">
        <f t="shared" si="14"/>
        <v>2.9396996876155742E-12</v>
      </c>
    </row>
    <row r="135" spans="2:8" x14ac:dyDescent="0.3">
      <c r="B135" s="35">
        <f t="shared" si="15"/>
        <v>1000</v>
      </c>
      <c r="C135" s="53">
        <f>'CH3'!I160</f>
        <v>63087231663.523399</v>
      </c>
      <c r="D135" s="53">
        <f>'H2'!I160</f>
        <v>13295030.94301302</v>
      </c>
      <c r="E135" s="53">
        <f>TS!I160</f>
        <v>3247708606819.998</v>
      </c>
      <c r="F135" s="53">
        <v>3.2000000000000001E-12</v>
      </c>
      <c r="G135" s="53">
        <f>1+(1/24)*(('CH3'!$C$2 * $B$97) /('CH3'!$A$2 * 'Velocità di reazione'!B135) )^2</f>
        <v>1.1165201350072431</v>
      </c>
      <c r="H135" s="65">
        <f t="shared" si="14"/>
        <v>3.5728644320231781E-12</v>
      </c>
    </row>
    <row r="136" spans="2:8" x14ac:dyDescent="0.3">
      <c r="B136" s="35">
        <f t="shared" si="15"/>
        <v>1100</v>
      </c>
      <c r="C136" s="53">
        <f>'CH3'!I161</f>
        <v>106485795746.1424</v>
      </c>
      <c r="D136" s="53">
        <f>'H2'!I161</f>
        <v>18583353.053805284</v>
      </c>
      <c r="E136" s="53">
        <f>TS!I161</f>
        <v>6967864169373.5713</v>
      </c>
      <c r="F136" s="53">
        <v>3.9399999999999998E-12</v>
      </c>
      <c r="G136" s="53">
        <f>1+(1/24)*(('CH3'!$C$2 * $B$97) /('CH3'!$A$2 * 'Velocità di reazione'!B136) )^2</f>
        <v>1.0962976322373912</v>
      </c>
      <c r="H136" s="65">
        <f t="shared" si="14"/>
        <v>4.3194126710153211E-12</v>
      </c>
    </row>
    <row r="137" spans="2:8" x14ac:dyDescent="0.3">
      <c r="B137" s="35">
        <f t="shared" si="15"/>
        <v>1200</v>
      </c>
      <c r="C137" s="53">
        <f>'CH3'!I162</f>
        <v>174062813536.45874</v>
      </c>
      <c r="D137" s="53">
        <f>'H2'!I162</f>
        <v>25245230.797357205</v>
      </c>
      <c r="E137" s="53">
        <f>TS!I162</f>
        <v>14439348633460.129</v>
      </c>
      <c r="F137" s="53">
        <v>4.8099999999999999E-12</v>
      </c>
      <c r="G137" s="53">
        <f>1+(1/24)*(('CH3'!$C$2 * $B$97) /('CH3'!$A$2 * 'Velocità di reazione'!B137) )^2</f>
        <v>1.0809167604216967</v>
      </c>
      <c r="H137" s="65">
        <f t="shared" si="14"/>
        <v>5.1992096176283609E-12</v>
      </c>
    </row>
    <row r="138" spans="2:8" x14ac:dyDescent="0.3">
      <c r="B138" s="35">
        <f t="shared" si="15"/>
        <v>1300</v>
      </c>
      <c r="C138" s="53">
        <f>'CH3'!I163</f>
        <v>276839984425.95056</v>
      </c>
      <c r="D138" s="53">
        <f>'H2'!I163</f>
        <v>33488875.032326974</v>
      </c>
      <c r="E138" s="53">
        <f>TS!I163</f>
        <v>29001057452459.832</v>
      </c>
      <c r="F138" s="53">
        <v>5.8099999999999997E-12</v>
      </c>
      <c r="G138" s="53">
        <f>1+(1/24)*(('CH3'!$C$2 * $B$97) /('CH3'!$A$2 * 'Velocità di reazione'!B138) )^2</f>
        <v>1.068946825448073</v>
      </c>
      <c r="H138" s="65">
        <f t="shared" si="14"/>
        <v>6.2105810558533035E-12</v>
      </c>
    </row>
    <row r="139" spans="2:8" x14ac:dyDescent="0.3">
      <c r="B139" s="35">
        <f t="shared" si="15"/>
        <v>1400</v>
      </c>
      <c r="C139" s="53">
        <f>'CH3'!I164</f>
        <v>429967911799.43201</v>
      </c>
      <c r="D139" s="53">
        <f>'H2'!I164</f>
        <v>43538361.00832732</v>
      </c>
      <c r="E139" s="53">
        <f>TS!I164</f>
        <v>56614208915430.961</v>
      </c>
      <c r="F139" s="53">
        <v>6.9799999999999997E-12</v>
      </c>
      <c r="G139" s="53">
        <f>1+(1/24)*(('CH3'!$C$2 * $B$97) /('CH3'!$A$2 * 'Velocità di reazione'!B139) )^2</f>
        <v>1.0594490484730834</v>
      </c>
      <c r="H139" s="65">
        <f t="shared" si="14"/>
        <v>7.3949543583421215E-12</v>
      </c>
    </row>
    <row r="140" spans="2:8" x14ac:dyDescent="0.3">
      <c r="B140" s="35">
        <f t="shared" si="15"/>
        <v>1500</v>
      </c>
      <c r="C140" s="53">
        <f>'CH3'!I165</f>
        <v>653987279639.66895</v>
      </c>
      <c r="D140" s="53">
        <f>'H2'!I165</f>
        <v>55634370.316710562</v>
      </c>
      <c r="E140" s="53">
        <f>TS!I165</f>
        <v>107675063957605.81</v>
      </c>
      <c r="F140" s="53">
        <v>8.3099999999999999E-12</v>
      </c>
      <c r="G140" s="53">
        <f>1+(1/24)*(('CH3'!$C$2 * $B$97) /('CH3'!$A$2 * 'Velocità di reazione'!B140) )^2</f>
        <v>1.0517867266698859</v>
      </c>
      <c r="H140" s="65">
        <f t="shared" si="14"/>
        <v>8.7403476986267516E-12</v>
      </c>
    </row>
    <row r="141" spans="2:8" x14ac:dyDescent="0.3">
      <c r="B141" s="35">
        <f t="shared" si="15"/>
        <v>1600</v>
      </c>
      <c r="C141" s="53">
        <f>'CH3'!I166</f>
        <v>976396959025.40198</v>
      </c>
      <c r="D141" s="53">
        <f>'H2'!I166</f>
        <v>70034849.904638514</v>
      </c>
      <c r="E141" s="53">
        <f>TS!I166</f>
        <v>199925603039568.41</v>
      </c>
      <c r="F141" s="53">
        <v>9.8299999999999999E-12</v>
      </c>
      <c r="G141" s="53">
        <f>1+(1/24)*(('CH3'!$C$2 * $B$97) /('CH3'!$A$2 * 'Velocità di reazione'!B141) )^2</f>
        <v>1.0455156777372043</v>
      </c>
      <c r="H141" s="65">
        <f t="shared" si="14"/>
        <v>1.0277419112156718E-11</v>
      </c>
    </row>
    <row r="142" spans="2:8" x14ac:dyDescent="0.3">
      <c r="B142" s="35">
        <f t="shared" si="15"/>
        <v>1700</v>
      </c>
      <c r="C142" s="53">
        <f>'CH3'!I167</f>
        <v>1433586415960.105</v>
      </c>
      <c r="D142" s="53">
        <f>'H2'!I167</f>
        <v>87015598.811938196</v>
      </c>
      <c r="E142" s="53">
        <f>TS!I167</f>
        <v>363041157773590.75</v>
      </c>
      <c r="F142" s="53">
        <v>1.1600000000000001E-11</v>
      </c>
      <c r="G142" s="53">
        <f>1+(1/24)*(('CH3'!$C$2 * $B$97) /('CH3'!$A$2 * 'Velocità di reazione'!B142) )^2</f>
        <v>1.0403183858156551</v>
      </c>
      <c r="H142" s="65">
        <f t="shared" si="14"/>
        <v>1.20676932754616E-11</v>
      </c>
    </row>
    <row r="143" spans="2:8" x14ac:dyDescent="0.3">
      <c r="B143" s="35">
        <f t="shared" si="15"/>
        <v>1800</v>
      </c>
      <c r="C143" s="53">
        <f>'CH3'!I168</f>
        <v>2073197537611.9309</v>
      </c>
      <c r="D143" s="53">
        <f>'H2'!I168</f>
        <v>106870796.01621579</v>
      </c>
      <c r="E143" s="53">
        <f>TS!I168</f>
        <v>645737581815161.75</v>
      </c>
      <c r="F143" s="53">
        <v>1.35E-11</v>
      </c>
      <c r="G143" s="53">
        <f>1+(1/24)*(('CH3'!$C$2 * $B$97) /('CH3'!$A$2 * 'Velocità di reazione'!B143) )^2</f>
        <v>1.0359630046318653</v>
      </c>
      <c r="H143" s="65">
        <f t="shared" si="14"/>
        <v>1.3985500562530182E-11</v>
      </c>
    </row>
    <row r="144" spans="2:8" x14ac:dyDescent="0.3">
      <c r="B144" s="35">
        <f t="shared" si="15"/>
        <v>1900</v>
      </c>
      <c r="C144" s="53">
        <f>'CH3'!I169</f>
        <v>2956989406047.6177</v>
      </c>
      <c r="D144" s="53">
        <f>'H2'!I169</f>
        <v>129913482.0526872</v>
      </c>
      <c r="E144" s="53">
        <f>TS!I169</f>
        <v>1126606584744934</v>
      </c>
      <c r="F144" s="53">
        <v>1.5700000000000001E-11</v>
      </c>
      <c r="G144" s="53">
        <f>1+(1/24)*(('CH3'!$C$2 * $B$97) /('CH3'!$A$2 * 'Velocità di reazione'!B144) )^2</f>
        <v>1.0322770457083776</v>
      </c>
      <c r="H144" s="65">
        <f t="shared" si="14"/>
        <v>1.6206749617621531E-11</v>
      </c>
    </row>
    <row r="145" spans="2:8" x14ac:dyDescent="0.3">
      <c r="B145" s="35">
        <f t="shared" si="15"/>
        <v>2000</v>
      </c>
      <c r="C145" s="53">
        <f>'CH3'!I170</f>
        <v>4164288657417.4263</v>
      </c>
      <c r="D145" s="53">
        <f>'H2'!I170</f>
        <v>156476005.03733525</v>
      </c>
      <c r="E145" s="53">
        <f>TS!I170</f>
        <v>1930389853393255.5</v>
      </c>
      <c r="F145" s="53">
        <v>1.8199999999999999E-11</v>
      </c>
      <c r="G145" s="53">
        <f>1+(1/24)*(('CH3'!$C$2 * $B$97) /('CH3'!$A$2 * 'Velocità di reazione'!B145) )^2</f>
        <v>1.0291300337518108</v>
      </c>
      <c r="H145" s="65">
        <f t="shared" si="14"/>
        <v>1.8730166614282956E-11</v>
      </c>
    </row>
    <row r="146" spans="2:8" ht="15" thickBot="1" x14ac:dyDescent="0.35">
      <c r="B146" s="26">
        <f t="shared" si="15"/>
        <v>2100</v>
      </c>
      <c r="C146" s="57">
        <f>'CH3'!I171</f>
        <v>5796117899547.876</v>
      </c>
      <c r="D146" s="57">
        <f>'H2'!I171</f>
        <v>186910439.45074171</v>
      </c>
      <c r="E146" s="57">
        <f>TS!I171</f>
        <v>3252083100927444</v>
      </c>
      <c r="F146" s="57">
        <v>2.09E-11</v>
      </c>
      <c r="G146" s="57">
        <f>1+(1/24)*(('CH3'!$C$2 * $B$97) /('CH3'!$A$2 * 'Velocità di reazione'!B146) )^2</f>
        <v>1.0264217993213705</v>
      </c>
      <c r="H146" s="67">
        <f t="shared" si="14"/>
        <v>2.1452215605816644E-11</v>
      </c>
    </row>
  </sheetData>
  <mergeCells count="3">
    <mergeCell ref="B83:J83"/>
    <mergeCell ref="A85:F85"/>
    <mergeCell ref="A87:O8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CH4</vt:lpstr>
      <vt:lpstr>CH3</vt:lpstr>
      <vt:lpstr>H</vt:lpstr>
      <vt:lpstr>H2</vt:lpstr>
      <vt:lpstr>CH4+H-&gt;CH3+H2</vt:lpstr>
      <vt:lpstr>TS</vt:lpstr>
      <vt:lpstr>Velocità di reazione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broggini</dc:creator>
  <cp:lastModifiedBy>Emanuele Broggini</cp:lastModifiedBy>
  <dcterms:created xsi:type="dcterms:W3CDTF">2015-06-05T18:17:20Z</dcterms:created>
  <dcterms:modified xsi:type="dcterms:W3CDTF">2024-07-03T06:13:16Z</dcterms:modified>
</cp:coreProperties>
</file>