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70120_polimi_it/Documents/POLIMI/II ANNO/II SEMESTRE/MOLECULAR MODELING IN PROCESS ENGINEERING/Practicals/Project9/NH3+H---NH2+H2/"/>
    </mc:Choice>
  </mc:AlternateContent>
  <xr:revisionPtr revIDLastSave="788" documentId="8_{133FD04B-1F3C-4F5B-9856-ABC828D1F59F}" xr6:coauthVersionLast="47" xr6:coauthVersionMax="47" xr10:uidLastSave="{836E0E09-ABF4-41A3-8C2B-6B440CF6554E}"/>
  <bookViews>
    <workbookView xWindow="-108" yWindow="-108" windowWidth="23256" windowHeight="12456" activeTab="5" xr2:uid="{00000000-000D-0000-FFFF-FFFF00000000}"/>
  </bookViews>
  <sheets>
    <sheet name="NH3" sheetId="1" r:id="rId1"/>
    <sheet name="NH2" sheetId="2" r:id="rId2"/>
    <sheet name="H" sheetId="3" r:id="rId3"/>
    <sheet name="H2" sheetId="4" r:id="rId4"/>
    <sheet name="NH3+H -&gt; NH2+H2" sheetId="5" r:id="rId5"/>
    <sheet name="TS" sheetId="6" r:id="rId6"/>
    <sheet name="Velocità di reazion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7" l="1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29" i="7"/>
  <c r="H130" i="7"/>
  <c r="H129" i="7"/>
  <c r="B132" i="7"/>
  <c r="B133" i="7" s="1"/>
  <c r="B131" i="7"/>
  <c r="G131" i="7" s="1"/>
  <c r="G130" i="7"/>
  <c r="G129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03" i="7"/>
  <c r="C19" i="7"/>
  <c r="B106" i="7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05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60" i="7"/>
  <c r="E61" i="7"/>
  <c r="F61" i="7" s="1"/>
  <c r="E62" i="7"/>
  <c r="F62" i="7" s="1"/>
  <c r="E63" i="7"/>
  <c r="E64" i="7"/>
  <c r="E65" i="7"/>
  <c r="F65" i="7" s="1"/>
  <c r="E66" i="7"/>
  <c r="E67" i="7"/>
  <c r="E68" i="7"/>
  <c r="E69" i="7"/>
  <c r="E70" i="7"/>
  <c r="E71" i="7"/>
  <c r="E72" i="7"/>
  <c r="E73" i="7"/>
  <c r="E74" i="7"/>
  <c r="F74" i="7" s="1"/>
  <c r="E75" i="7"/>
  <c r="E76" i="7"/>
  <c r="E77" i="7"/>
  <c r="E78" i="7"/>
  <c r="E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F78" i="7" s="1"/>
  <c r="C61" i="7"/>
  <c r="C62" i="7"/>
  <c r="C63" i="7"/>
  <c r="C64" i="7"/>
  <c r="C65" i="7"/>
  <c r="C66" i="7"/>
  <c r="F66" i="7" s="1"/>
  <c r="C67" i="7"/>
  <c r="C68" i="7"/>
  <c r="C69" i="7"/>
  <c r="C70" i="7"/>
  <c r="C71" i="7"/>
  <c r="C72" i="7"/>
  <c r="C73" i="7"/>
  <c r="C74" i="7"/>
  <c r="C75" i="7"/>
  <c r="C76" i="7"/>
  <c r="C77" i="7"/>
  <c r="F77" i="7" s="1"/>
  <c r="C78" i="7"/>
  <c r="C60" i="7"/>
  <c r="D60" i="7"/>
  <c r="F76" i="7"/>
  <c r="F75" i="7"/>
  <c r="F73" i="7"/>
  <c r="F68" i="7"/>
  <c r="F64" i="7"/>
  <c r="F63" i="7"/>
  <c r="B63" i="7"/>
  <c r="B64" i="7" s="1"/>
  <c r="B62" i="7"/>
  <c r="G61" i="7"/>
  <c r="G60" i="7"/>
  <c r="F60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B54" i="6"/>
  <c r="B55" i="6"/>
  <c r="B56" i="6"/>
  <c r="B57" i="6"/>
  <c r="B58" i="6"/>
  <c r="B59" i="6"/>
  <c r="B60" i="6"/>
  <c r="B61" i="6"/>
  <c r="B53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E62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E61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E60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E59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E58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E57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E56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E55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E54" i="6"/>
  <c r="E54" i="1"/>
  <c r="B53" i="1" s="1"/>
  <c r="B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E54" i="4"/>
  <c r="B54" i="2"/>
  <c r="B55" i="2"/>
  <c r="B53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E56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E55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E54" i="2"/>
  <c r="B54" i="1"/>
  <c r="B55" i="1"/>
  <c r="B56" i="1"/>
  <c r="B57" i="1"/>
  <c r="B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E59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E58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E57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E56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E55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H131" i="7" l="1"/>
  <c r="G133" i="7"/>
  <c r="H133" i="7" s="1"/>
  <c r="B134" i="7"/>
  <c r="G132" i="7"/>
  <c r="H132" i="7" s="1"/>
  <c r="F70" i="7"/>
  <c r="I61" i="7"/>
  <c r="J61" i="7" s="1"/>
  <c r="F69" i="7"/>
  <c r="F71" i="7"/>
  <c r="F67" i="7"/>
  <c r="F72" i="7"/>
  <c r="G64" i="7"/>
  <c r="I64" i="7"/>
  <c r="J64" i="7" s="1"/>
  <c r="B65" i="7"/>
  <c r="I60" i="7"/>
  <c r="J60" i="7" s="1"/>
  <c r="G63" i="7"/>
  <c r="I63" i="7"/>
  <c r="J63" i="7" s="1"/>
  <c r="G62" i="7"/>
  <c r="I62" i="7" s="1"/>
  <c r="J62" i="7" s="1"/>
  <c r="B135" i="7" l="1"/>
  <c r="G134" i="7"/>
  <c r="H134" i="7" s="1"/>
  <c r="G65" i="7"/>
  <c r="I65" i="7"/>
  <c r="J65" i="7" s="1"/>
  <c r="B66" i="7"/>
  <c r="G135" i="7" l="1"/>
  <c r="H135" i="7" s="1"/>
  <c r="B136" i="7"/>
  <c r="G66" i="7"/>
  <c r="B67" i="7"/>
  <c r="B137" i="7" l="1"/>
  <c r="G136" i="7"/>
  <c r="H136" i="7" s="1"/>
  <c r="B68" i="7"/>
  <c r="G67" i="7"/>
  <c r="I67" i="7"/>
  <c r="J67" i="7" s="1"/>
  <c r="I66" i="7"/>
  <c r="J66" i="7" s="1"/>
  <c r="G137" i="7" l="1"/>
  <c r="H137" i="7" s="1"/>
  <c r="B138" i="7"/>
  <c r="G68" i="7"/>
  <c r="I68" i="7"/>
  <c r="J68" i="7" s="1"/>
  <c r="B69" i="7"/>
  <c r="B139" i="7" l="1"/>
  <c r="G138" i="7"/>
  <c r="H138" i="7" s="1"/>
  <c r="G69" i="7"/>
  <c r="B70" i="7"/>
  <c r="I69" i="7"/>
  <c r="J69" i="7" s="1"/>
  <c r="G139" i="7" l="1"/>
  <c r="H139" i="7" s="1"/>
  <c r="B140" i="7"/>
  <c r="B71" i="7"/>
  <c r="I70" i="7"/>
  <c r="J70" i="7" s="1"/>
  <c r="G70" i="7"/>
  <c r="B141" i="7" l="1"/>
  <c r="G140" i="7"/>
  <c r="H140" i="7" s="1"/>
  <c r="B72" i="7"/>
  <c r="I71" i="7"/>
  <c r="J71" i="7" s="1"/>
  <c r="G71" i="7"/>
  <c r="G141" i="7" l="1"/>
  <c r="H141" i="7" s="1"/>
  <c r="B142" i="7"/>
  <c r="G72" i="7"/>
  <c r="B73" i="7"/>
  <c r="B143" i="7" l="1"/>
  <c r="G142" i="7"/>
  <c r="H142" i="7" s="1"/>
  <c r="G73" i="7"/>
  <c r="B74" i="7"/>
  <c r="I73" i="7"/>
  <c r="J73" i="7" s="1"/>
  <c r="I72" i="7"/>
  <c r="J72" i="7" s="1"/>
  <c r="B144" i="7" l="1"/>
  <c r="G143" i="7"/>
  <c r="H143" i="7" s="1"/>
  <c r="B75" i="7"/>
  <c r="G74" i="7"/>
  <c r="B145" i="7" l="1"/>
  <c r="G144" i="7"/>
  <c r="H144" i="7" s="1"/>
  <c r="B76" i="7"/>
  <c r="G75" i="7"/>
  <c r="I74" i="7"/>
  <c r="J74" i="7" s="1"/>
  <c r="G145" i="7" l="1"/>
  <c r="H145" i="7" s="1"/>
  <c r="B146" i="7"/>
  <c r="I75" i="7"/>
  <c r="J75" i="7" s="1"/>
  <c r="G76" i="7"/>
  <c r="B77" i="7"/>
  <c r="B147" i="7" l="1"/>
  <c r="G147" i="7" s="1"/>
  <c r="H147" i="7" s="1"/>
  <c r="G146" i="7"/>
  <c r="H146" i="7" s="1"/>
  <c r="G77" i="7"/>
  <c r="I77" i="7"/>
  <c r="J77" i="7" s="1"/>
  <c r="B78" i="7"/>
  <c r="I76" i="7"/>
  <c r="J76" i="7" s="1"/>
  <c r="G78" i="7" l="1"/>
  <c r="I78" i="7" l="1"/>
  <c r="J78" i="7" s="1"/>
  <c r="I132" i="6" l="1"/>
  <c r="J132" i="6" s="1"/>
  <c r="I132" i="4"/>
  <c r="J132" i="4" s="1"/>
  <c r="I132" i="3"/>
  <c r="J132" i="3"/>
  <c r="I132" i="2"/>
  <c r="J132" i="2"/>
  <c r="I132" i="1"/>
  <c r="J132" i="1" s="1"/>
  <c r="B132" i="1"/>
  <c r="K5" i="1"/>
  <c r="G10" i="7" l="1"/>
  <c r="G50" i="7"/>
  <c r="B95" i="7"/>
  <c r="D50" i="7"/>
  <c r="C50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19" i="7"/>
  <c r="D10" i="7"/>
  <c r="B21" i="7"/>
  <c r="B22" i="7" l="1"/>
  <c r="B23" i="7" l="1"/>
  <c r="B24" i="7" l="1"/>
  <c r="B25" i="7" l="1"/>
  <c r="B26" i="7" l="1"/>
  <c r="B27" i="7" l="1"/>
  <c r="B28" i="7" l="1"/>
  <c r="B29" i="7" l="1"/>
  <c r="B30" i="7" l="1"/>
  <c r="B31" i="7" l="1"/>
  <c r="B32" i="7" l="1"/>
  <c r="B33" i="7" l="1"/>
  <c r="B34" i="7" l="1"/>
  <c r="B35" i="7" l="1"/>
  <c r="B36" i="7" l="1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77" i="6"/>
  <c r="K176" i="6" a="1"/>
  <c r="K176" i="6" s="1"/>
  <c r="E176" i="6" a="1"/>
  <c r="E176" i="6" s="1"/>
  <c r="E177" i="6" a="1"/>
  <c r="E177" i="6" s="1"/>
  <c r="E178" i="6" a="1"/>
  <c r="E178" i="6" s="1"/>
  <c r="E179" i="6" a="1"/>
  <c r="E179" i="6" s="1"/>
  <c r="E180" i="6" a="1"/>
  <c r="E180" i="6" s="1"/>
  <c r="E181" i="6" a="1"/>
  <c r="E181" i="6" s="1"/>
  <c r="E182" i="6" a="1"/>
  <c r="E182" i="6" s="1"/>
  <c r="E183" i="6" a="1"/>
  <c r="E183" i="6" s="1"/>
  <c r="E184" i="6" a="1"/>
  <c r="E184" i="6" s="1"/>
  <c r="E185" i="6" a="1"/>
  <c r="E185" i="6" s="1"/>
  <c r="E186" i="6" a="1"/>
  <c r="E186" i="6" s="1"/>
  <c r="E187" i="6" a="1"/>
  <c r="E187" i="6" s="1"/>
  <c r="E188" i="6" a="1"/>
  <c r="E188" i="6" s="1"/>
  <c r="E189" i="6" a="1"/>
  <c r="E189" i="6" s="1"/>
  <c r="E190" i="6" a="1"/>
  <c r="E190" i="6" s="1"/>
  <c r="E191" i="6" a="1"/>
  <c r="E191" i="6" s="1"/>
  <c r="E192" i="6" a="1"/>
  <c r="E192" i="6" s="1"/>
  <c r="E193" i="6" a="1"/>
  <c r="E193" i="6" s="1"/>
  <c r="E194" i="6" a="1"/>
  <c r="E194" i="6" s="1"/>
  <c r="E2" i="6"/>
  <c r="G158" i="6" s="1"/>
  <c r="J292" i="6"/>
  <c r="I292" i="6"/>
  <c r="D292" i="6"/>
  <c r="C292" i="6"/>
  <c r="J291" i="6"/>
  <c r="I291" i="6"/>
  <c r="D291" i="6"/>
  <c r="C291" i="6"/>
  <c r="J290" i="6"/>
  <c r="I290" i="6"/>
  <c r="D290" i="6"/>
  <c r="C290" i="6"/>
  <c r="J289" i="6"/>
  <c r="I289" i="6"/>
  <c r="D289" i="6"/>
  <c r="C289" i="6"/>
  <c r="J288" i="6"/>
  <c r="I288" i="6"/>
  <c r="D288" i="6"/>
  <c r="C288" i="6"/>
  <c r="J287" i="6"/>
  <c r="I287" i="6"/>
  <c r="D287" i="6"/>
  <c r="C287" i="6"/>
  <c r="J286" i="6"/>
  <c r="I286" i="6"/>
  <c r="D286" i="6"/>
  <c r="C286" i="6"/>
  <c r="J285" i="6"/>
  <c r="I285" i="6"/>
  <c r="D285" i="6"/>
  <c r="C285" i="6"/>
  <c r="J284" i="6"/>
  <c r="I284" i="6"/>
  <c r="D284" i="6"/>
  <c r="C284" i="6"/>
  <c r="J283" i="6"/>
  <c r="I283" i="6"/>
  <c r="D283" i="6"/>
  <c r="C283" i="6"/>
  <c r="J282" i="6"/>
  <c r="I282" i="6"/>
  <c r="D282" i="6"/>
  <c r="C282" i="6"/>
  <c r="J281" i="6"/>
  <c r="I281" i="6"/>
  <c r="H281" i="6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D281" i="6"/>
  <c r="C281" i="6"/>
  <c r="J280" i="6"/>
  <c r="I280" i="6"/>
  <c r="D280" i="6"/>
  <c r="C280" i="6"/>
  <c r="J279" i="6"/>
  <c r="I279" i="6"/>
  <c r="D279" i="6"/>
  <c r="C279" i="6"/>
  <c r="J278" i="6"/>
  <c r="I278" i="6"/>
  <c r="D278" i="6"/>
  <c r="C278" i="6"/>
  <c r="J277" i="6"/>
  <c r="I277" i="6"/>
  <c r="D277" i="6"/>
  <c r="C277" i="6"/>
  <c r="J276" i="6"/>
  <c r="I276" i="6"/>
  <c r="D276" i="6"/>
  <c r="C276" i="6"/>
  <c r="J275" i="6"/>
  <c r="I275" i="6"/>
  <c r="H275" i="6"/>
  <c r="H276" i="6" s="1"/>
  <c r="H277" i="6" s="1"/>
  <c r="H278" i="6" s="1"/>
  <c r="H279" i="6" s="1"/>
  <c r="H280" i="6" s="1"/>
  <c r="D275" i="6"/>
  <c r="C275" i="6"/>
  <c r="K274" i="6" a="1"/>
  <c r="K274" i="6" s="1"/>
  <c r="J274" i="6"/>
  <c r="I274" i="6"/>
  <c r="H274" i="6"/>
  <c r="E274" i="6" a="1"/>
  <c r="E274" i="6" s="1"/>
  <c r="D274" i="6"/>
  <c r="C274" i="6"/>
  <c r="B274" i="6"/>
  <c r="B275" i="6" s="1"/>
  <c r="B250" i="6"/>
  <c r="E249" i="6" a="1"/>
  <c r="E249" i="6" s="1"/>
  <c r="B249" i="6"/>
  <c r="J244" i="6"/>
  <c r="I244" i="6"/>
  <c r="D244" i="6"/>
  <c r="C244" i="6"/>
  <c r="J243" i="6"/>
  <c r="I243" i="6"/>
  <c r="D243" i="6"/>
  <c r="C243" i="6"/>
  <c r="J242" i="6"/>
  <c r="I242" i="6"/>
  <c r="D242" i="6"/>
  <c r="C242" i="6"/>
  <c r="J241" i="6"/>
  <c r="I241" i="6"/>
  <c r="D241" i="6"/>
  <c r="C241" i="6"/>
  <c r="J240" i="6"/>
  <c r="I240" i="6"/>
  <c r="D240" i="6"/>
  <c r="C240" i="6"/>
  <c r="J239" i="6"/>
  <c r="I239" i="6"/>
  <c r="D239" i="6"/>
  <c r="C239" i="6"/>
  <c r="J238" i="6"/>
  <c r="I238" i="6"/>
  <c r="D238" i="6"/>
  <c r="C238" i="6"/>
  <c r="J237" i="6"/>
  <c r="I237" i="6"/>
  <c r="D237" i="6"/>
  <c r="C237" i="6"/>
  <c r="J236" i="6"/>
  <c r="I236" i="6"/>
  <c r="D236" i="6"/>
  <c r="C236" i="6"/>
  <c r="J235" i="6"/>
  <c r="I235" i="6"/>
  <c r="D235" i="6"/>
  <c r="C235" i="6"/>
  <c r="J234" i="6"/>
  <c r="I234" i="6"/>
  <c r="D234" i="6"/>
  <c r="C234" i="6"/>
  <c r="J233" i="6"/>
  <c r="I233" i="6"/>
  <c r="D233" i="6"/>
  <c r="C233" i="6"/>
  <c r="J232" i="6"/>
  <c r="I232" i="6"/>
  <c r="D232" i="6"/>
  <c r="C232" i="6"/>
  <c r="J231" i="6"/>
  <c r="I231" i="6"/>
  <c r="D231" i="6"/>
  <c r="C231" i="6"/>
  <c r="J230" i="6"/>
  <c r="I230" i="6"/>
  <c r="D230" i="6"/>
  <c r="C230" i="6"/>
  <c r="J229" i="6"/>
  <c r="I229" i="6"/>
  <c r="D229" i="6"/>
  <c r="C229" i="6"/>
  <c r="J228" i="6"/>
  <c r="I228" i="6"/>
  <c r="H228" i="6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D228" i="6"/>
  <c r="C228" i="6"/>
  <c r="J227" i="6"/>
  <c r="I227" i="6"/>
  <c r="H227" i="6"/>
  <c r="E227" i="6" a="1"/>
  <c r="E227" i="6" s="1"/>
  <c r="D227" i="6"/>
  <c r="C227" i="6"/>
  <c r="B227" i="6"/>
  <c r="B228" i="6" s="1"/>
  <c r="J226" i="6"/>
  <c r="I226" i="6"/>
  <c r="H226" i="6"/>
  <c r="E226" i="6" a="1"/>
  <c r="E226" i="6" s="1"/>
  <c r="D226" i="6"/>
  <c r="C226" i="6"/>
  <c r="B226" i="6"/>
  <c r="K226" i="6" s="1" a="1"/>
  <c r="K226" i="6" s="1"/>
  <c r="H204" i="6"/>
  <c r="H205" i="6" s="1"/>
  <c r="H203" i="6"/>
  <c r="B203" i="6"/>
  <c r="K203" i="6" s="1" a="1"/>
  <c r="K203" i="6" s="1"/>
  <c r="L202" i="6"/>
  <c r="H202" i="6"/>
  <c r="G202" i="6"/>
  <c r="C202" i="6"/>
  <c r="B202" i="6"/>
  <c r="I177" i="6"/>
  <c r="H177" i="6"/>
  <c r="J177" i="6" s="1"/>
  <c r="B177" i="6"/>
  <c r="L176" i="6"/>
  <c r="H176" i="6"/>
  <c r="C176" i="6"/>
  <c r="B176" i="6"/>
  <c r="K202" i="6" s="1" a="1"/>
  <c r="K202" i="6" s="1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D157" i="6"/>
  <c r="D158" i="6" s="1"/>
  <c r="E158" i="6" s="1"/>
  <c r="F156" i="6"/>
  <c r="E156" i="6"/>
  <c r="F155" i="6"/>
  <c r="E155" i="6"/>
  <c r="D155" i="6"/>
  <c r="D156" i="6" s="1"/>
  <c r="F154" i="6"/>
  <c r="E154" i="6"/>
  <c r="D154" i="6"/>
  <c r="F153" i="6"/>
  <c r="D153" i="6"/>
  <c r="E153" i="6" s="1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B133" i="6"/>
  <c r="F132" i="6"/>
  <c r="B132" i="6"/>
  <c r="B134" i="6" s="1"/>
  <c r="F131" i="6"/>
  <c r="F130" i="6"/>
  <c r="F129" i="6"/>
  <c r="D129" i="6"/>
  <c r="D130" i="6" s="1"/>
  <c r="D131" i="6" s="1"/>
  <c r="F128" i="6"/>
  <c r="D128" i="6"/>
  <c r="B136" i="6" s="1"/>
  <c r="E107" i="6"/>
  <c r="D107" i="6"/>
  <c r="D108" i="6" s="1"/>
  <c r="E106" i="6"/>
  <c r="J111" i="6" s="1"/>
  <c r="J114" i="6" s="1"/>
  <c r="D106" i="6"/>
  <c r="D84" i="6"/>
  <c r="D85" i="6" s="1"/>
  <c r="D86" i="6" s="1"/>
  <c r="D87" i="6" s="1"/>
  <c r="D88" i="6" s="1"/>
  <c r="D89" i="6" s="1"/>
  <c r="D90" i="6" s="1"/>
  <c r="D91" i="6" s="1"/>
  <c r="D83" i="6"/>
  <c r="F68" i="6"/>
  <c r="G68" i="6" s="1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W68" i="6" s="1"/>
  <c r="D62" i="6"/>
  <c r="D61" i="6"/>
  <c r="D60" i="6"/>
  <c r="D59" i="6"/>
  <c r="D58" i="6"/>
  <c r="D57" i="6"/>
  <c r="D56" i="6"/>
  <c r="D55" i="6"/>
  <c r="D54" i="6"/>
  <c r="F53" i="6"/>
  <c r="B40" i="6"/>
  <c r="B39" i="6"/>
  <c r="B38" i="6"/>
  <c r="B37" i="6"/>
  <c r="B36" i="6"/>
  <c r="C35" i="6"/>
  <c r="C36" i="6" s="1"/>
  <c r="B35" i="6"/>
  <c r="D34" i="6"/>
  <c r="E34" i="6" s="1"/>
  <c r="C34" i="6"/>
  <c r="B34" i="6"/>
  <c r="C33" i="6"/>
  <c r="D33" i="6" s="1"/>
  <c r="E33" i="6" s="1"/>
  <c r="B33" i="6"/>
  <c r="C32" i="6"/>
  <c r="D32" i="6" s="1"/>
  <c r="E32" i="6" s="1"/>
  <c r="B32" i="6"/>
  <c r="G9" i="6"/>
  <c r="F9" i="6"/>
  <c r="E9" i="6"/>
  <c r="G6" i="6"/>
  <c r="F6" i="6"/>
  <c r="E6" i="6"/>
  <c r="K5" i="6"/>
  <c r="L5" i="6" s="1"/>
  <c r="J5" i="6"/>
  <c r="H2" i="6"/>
  <c r="P12" i="5"/>
  <c r="P10" i="5"/>
  <c r="P9" i="5"/>
  <c r="K226" i="2" a="1"/>
  <c r="K226" i="2" s="1"/>
  <c r="E226" i="2" a="1"/>
  <c r="E226" i="2" s="1"/>
  <c r="E227" i="2" a="1"/>
  <c r="E227" i="2" s="1"/>
  <c r="K227" i="2" s="1"/>
  <c r="E228" i="2" a="1"/>
  <c r="E228" i="2" s="1"/>
  <c r="E229" i="2" a="1"/>
  <c r="E229" i="2" s="1"/>
  <c r="E230" i="2" a="1"/>
  <c r="E230" i="2" s="1"/>
  <c r="E231" i="2" a="1"/>
  <c r="E231" i="2" s="1"/>
  <c r="E232" i="2" a="1"/>
  <c r="E232" i="2" s="1"/>
  <c r="E233" i="2" a="1"/>
  <c r="E233" i="2" s="1"/>
  <c r="E234" i="2" a="1"/>
  <c r="E234" i="2" s="1"/>
  <c r="E235" i="2" a="1"/>
  <c r="E235" i="2" s="1"/>
  <c r="E236" i="2" a="1"/>
  <c r="E236" i="2" s="1"/>
  <c r="E237" i="2" a="1"/>
  <c r="E237" i="2" s="1"/>
  <c r="E238" i="2" a="1"/>
  <c r="E238" i="2" s="1"/>
  <c r="E239" i="2" a="1"/>
  <c r="E239" i="2" s="1"/>
  <c r="E240" i="2" a="1"/>
  <c r="E240" i="2" s="1"/>
  <c r="E241" i="2" a="1"/>
  <c r="E241" i="2" s="1"/>
  <c r="E242" i="2" a="1"/>
  <c r="E242" i="2" s="1"/>
  <c r="E243" i="2" a="1"/>
  <c r="E243" i="2" s="1"/>
  <c r="E244" i="2" a="1"/>
  <c r="E244" i="2" s="1"/>
  <c r="E202" i="2"/>
  <c r="K178" i="2" a="1"/>
  <c r="K178" i="2"/>
  <c r="K179" i="2" a="1"/>
  <c r="K179" i="2"/>
  <c r="K180" i="2" a="1"/>
  <c r="K180" i="2" s="1"/>
  <c r="K181" i="2" a="1"/>
  <c r="K181" i="2"/>
  <c r="K182" i="2" a="1"/>
  <c r="K182" i="2"/>
  <c r="K183" i="2" a="1"/>
  <c r="K183" i="2" s="1"/>
  <c r="K184" i="2" a="1"/>
  <c r="K184" i="2"/>
  <c r="K185" i="2" a="1"/>
  <c r="K185" i="2"/>
  <c r="K186" i="2" a="1"/>
  <c r="K186" i="2" s="1"/>
  <c r="K187" i="2" a="1"/>
  <c r="K187" i="2"/>
  <c r="K188" i="2" a="1"/>
  <c r="K188" i="2"/>
  <c r="K189" i="2" a="1"/>
  <c r="K189" i="2" s="1"/>
  <c r="K190" i="2" a="1"/>
  <c r="K190" i="2"/>
  <c r="K191" i="2" a="1"/>
  <c r="K191" i="2"/>
  <c r="K192" i="2" a="1"/>
  <c r="K192" i="2" s="1"/>
  <c r="K193" i="2" a="1"/>
  <c r="K193" i="2"/>
  <c r="K194" i="2" a="1"/>
  <c r="K194" i="2"/>
  <c r="K177" i="2" a="1"/>
  <c r="K177" i="2" s="1"/>
  <c r="K176" i="2" a="1"/>
  <c r="K176" i="2" s="1"/>
  <c r="E176" i="2" a="1"/>
  <c r="E176" i="2" s="1"/>
  <c r="E177" i="2" a="1"/>
  <c r="E177" i="2" s="1"/>
  <c r="E178" i="2" a="1"/>
  <c r="E178" i="2" s="1"/>
  <c r="E179" i="2" a="1"/>
  <c r="E179" i="2"/>
  <c r="E180" i="2" a="1"/>
  <c r="E180" i="2" s="1"/>
  <c r="E181" i="2" a="1"/>
  <c r="E181" i="2"/>
  <c r="E182" i="2" a="1"/>
  <c r="E182" i="2" s="1"/>
  <c r="E183" i="2" a="1"/>
  <c r="E183" i="2" s="1"/>
  <c r="E184" i="2" a="1"/>
  <c r="E184" i="2" s="1"/>
  <c r="E185" i="2" a="1"/>
  <c r="E185" i="2"/>
  <c r="E186" i="2" a="1"/>
  <c r="E186" i="2" s="1"/>
  <c r="E187" i="2" a="1"/>
  <c r="E187" i="2"/>
  <c r="E188" i="2" a="1"/>
  <c r="E188" i="2" s="1"/>
  <c r="E189" i="2" a="1"/>
  <c r="E189" i="2" s="1"/>
  <c r="E190" i="2" a="1"/>
  <c r="E190" i="2" s="1"/>
  <c r="E191" i="2" a="1"/>
  <c r="E191" i="2"/>
  <c r="E192" i="2" a="1"/>
  <c r="E192" i="2" s="1"/>
  <c r="E193" i="2" a="1"/>
  <c r="E193" i="2"/>
  <c r="E194" i="2" a="1"/>
  <c r="E194" i="2" s="1"/>
  <c r="E2" i="2"/>
  <c r="J292" i="2"/>
  <c r="I292" i="2"/>
  <c r="D292" i="2"/>
  <c r="C292" i="2"/>
  <c r="J291" i="2"/>
  <c r="I291" i="2"/>
  <c r="D291" i="2"/>
  <c r="C291" i="2"/>
  <c r="J290" i="2"/>
  <c r="I290" i="2"/>
  <c r="D290" i="2"/>
  <c r="C290" i="2"/>
  <c r="J289" i="2"/>
  <c r="I289" i="2"/>
  <c r="D289" i="2"/>
  <c r="C289" i="2"/>
  <c r="J288" i="2"/>
  <c r="I288" i="2"/>
  <c r="D288" i="2"/>
  <c r="C288" i="2"/>
  <c r="J287" i="2"/>
  <c r="I287" i="2"/>
  <c r="D287" i="2"/>
  <c r="C287" i="2"/>
  <c r="J286" i="2"/>
  <c r="I286" i="2"/>
  <c r="D286" i="2"/>
  <c r="C286" i="2"/>
  <c r="J285" i="2"/>
  <c r="I285" i="2"/>
  <c r="D285" i="2"/>
  <c r="C285" i="2"/>
  <c r="J284" i="2"/>
  <c r="I284" i="2"/>
  <c r="D284" i="2"/>
  <c r="C284" i="2"/>
  <c r="J283" i="2"/>
  <c r="I283" i="2"/>
  <c r="D283" i="2"/>
  <c r="C283" i="2"/>
  <c r="J282" i="2"/>
  <c r="I282" i="2"/>
  <c r="D282" i="2"/>
  <c r="C282" i="2"/>
  <c r="J281" i="2"/>
  <c r="I281" i="2"/>
  <c r="D281" i="2"/>
  <c r="C281" i="2"/>
  <c r="J280" i="2"/>
  <c r="I280" i="2"/>
  <c r="D280" i="2"/>
  <c r="C280" i="2"/>
  <c r="J279" i="2"/>
  <c r="I279" i="2"/>
  <c r="D279" i="2"/>
  <c r="C279" i="2"/>
  <c r="J278" i="2"/>
  <c r="I278" i="2"/>
  <c r="D278" i="2"/>
  <c r="C278" i="2"/>
  <c r="J277" i="2"/>
  <c r="I277" i="2"/>
  <c r="E277" i="2" a="1"/>
  <c r="E277" i="2" s="1"/>
  <c r="D277" i="2"/>
  <c r="C277" i="2"/>
  <c r="J276" i="2"/>
  <c r="I276" i="2"/>
  <c r="D276" i="2"/>
  <c r="C276" i="2"/>
  <c r="B276" i="2"/>
  <c r="B277" i="2" s="1"/>
  <c r="J275" i="2"/>
  <c r="I275" i="2"/>
  <c r="H275" i="2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E275" i="2" a="1"/>
  <c r="E275" i="2" s="1"/>
  <c r="D275" i="2"/>
  <c r="C275" i="2"/>
  <c r="B275" i="2"/>
  <c r="K275" i="2" s="1" a="1"/>
  <c r="K275" i="2" s="1"/>
  <c r="K274" i="2" a="1"/>
  <c r="K274" i="2" s="1"/>
  <c r="J274" i="2"/>
  <c r="I274" i="2"/>
  <c r="H274" i="2"/>
  <c r="E274" i="2" a="1"/>
  <c r="E274" i="2" s="1"/>
  <c r="D274" i="2"/>
  <c r="C274" i="2"/>
  <c r="B274" i="2"/>
  <c r="J244" i="2"/>
  <c r="I244" i="2"/>
  <c r="D244" i="2"/>
  <c r="C244" i="2"/>
  <c r="I243" i="2"/>
  <c r="D243" i="2"/>
  <c r="J243" i="2" s="1"/>
  <c r="C243" i="2"/>
  <c r="J242" i="2"/>
  <c r="I242" i="2"/>
  <c r="D242" i="2"/>
  <c r="C242" i="2"/>
  <c r="I241" i="2"/>
  <c r="D241" i="2"/>
  <c r="J241" i="2" s="1"/>
  <c r="C241" i="2"/>
  <c r="I240" i="2"/>
  <c r="D240" i="2"/>
  <c r="J240" i="2" s="1"/>
  <c r="C240" i="2"/>
  <c r="J239" i="2"/>
  <c r="I239" i="2"/>
  <c r="D239" i="2"/>
  <c r="C239" i="2"/>
  <c r="J238" i="2"/>
  <c r="I238" i="2"/>
  <c r="D238" i="2"/>
  <c r="C238" i="2"/>
  <c r="I237" i="2"/>
  <c r="D237" i="2"/>
  <c r="J237" i="2" s="1"/>
  <c r="C237" i="2"/>
  <c r="J236" i="2"/>
  <c r="I236" i="2"/>
  <c r="D236" i="2"/>
  <c r="C236" i="2"/>
  <c r="J235" i="2"/>
  <c r="I235" i="2"/>
  <c r="D235" i="2"/>
  <c r="C235" i="2"/>
  <c r="J234" i="2"/>
  <c r="I234" i="2"/>
  <c r="D234" i="2"/>
  <c r="C234" i="2"/>
  <c r="I233" i="2"/>
  <c r="D233" i="2"/>
  <c r="J233" i="2" s="1"/>
  <c r="C233" i="2"/>
  <c r="J232" i="2"/>
  <c r="I232" i="2"/>
  <c r="D232" i="2"/>
  <c r="C232" i="2"/>
  <c r="J231" i="2"/>
  <c r="I231" i="2"/>
  <c r="D231" i="2"/>
  <c r="C231" i="2"/>
  <c r="J230" i="2"/>
  <c r="I230" i="2"/>
  <c r="D230" i="2"/>
  <c r="C230" i="2"/>
  <c r="I229" i="2"/>
  <c r="D229" i="2"/>
  <c r="J229" i="2" s="1"/>
  <c r="C229" i="2"/>
  <c r="J228" i="2"/>
  <c r="I228" i="2"/>
  <c r="D228" i="2"/>
  <c r="C228" i="2"/>
  <c r="B228" i="2"/>
  <c r="J227" i="2"/>
  <c r="I227" i="2"/>
  <c r="H227" i="2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D227" i="2"/>
  <c r="C227" i="2"/>
  <c r="B227" i="2"/>
  <c r="J226" i="2"/>
  <c r="I226" i="2"/>
  <c r="H226" i="2"/>
  <c r="D226" i="2"/>
  <c r="C226" i="2"/>
  <c r="B226" i="2"/>
  <c r="F220" i="2"/>
  <c r="K220" i="2" s="1"/>
  <c r="F219" i="2"/>
  <c r="K219" i="2" s="1"/>
  <c r="K218" i="2"/>
  <c r="F218" i="2"/>
  <c r="F217" i="2"/>
  <c r="K217" i="2" s="1"/>
  <c r="F216" i="2"/>
  <c r="K216" i="2" s="1"/>
  <c r="K215" i="2"/>
  <c r="F215" i="2"/>
  <c r="F214" i="2"/>
  <c r="K214" i="2" s="1"/>
  <c r="K213" i="2"/>
  <c r="F213" i="2"/>
  <c r="F212" i="2"/>
  <c r="K212" i="2" s="1"/>
  <c r="K211" i="2"/>
  <c r="F211" i="2"/>
  <c r="F210" i="2"/>
  <c r="K210" i="2" s="1"/>
  <c r="K209" i="2"/>
  <c r="F209" i="2"/>
  <c r="F208" i="2"/>
  <c r="K208" i="2" s="1"/>
  <c r="K207" i="2"/>
  <c r="F207" i="2"/>
  <c r="H206" i="2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F206" i="2"/>
  <c r="K206" i="2" s="1"/>
  <c r="K205" i="2"/>
  <c r="F205" i="2"/>
  <c r="H204" i="2"/>
  <c r="H205" i="2" s="1"/>
  <c r="F204" i="2"/>
  <c r="K204" i="2" s="1"/>
  <c r="K203" i="2"/>
  <c r="H203" i="2"/>
  <c r="F203" i="2"/>
  <c r="B203" i="2"/>
  <c r="H202" i="2"/>
  <c r="F202" i="2"/>
  <c r="K202" i="2" s="1"/>
  <c r="C202" i="2"/>
  <c r="B202" i="2"/>
  <c r="J177" i="2"/>
  <c r="I177" i="2"/>
  <c r="H177" i="2"/>
  <c r="H178" i="2" s="1"/>
  <c r="B177" i="2"/>
  <c r="L176" i="2"/>
  <c r="J176" i="2"/>
  <c r="I176" i="2"/>
  <c r="H176" i="2"/>
  <c r="D176" i="2"/>
  <c r="C176" i="2"/>
  <c r="B176" i="2"/>
  <c r="D157" i="2"/>
  <c r="D156" i="2"/>
  <c r="E156" i="2" s="1"/>
  <c r="G155" i="2"/>
  <c r="E155" i="2"/>
  <c r="D155" i="2"/>
  <c r="E154" i="2"/>
  <c r="D154" i="2"/>
  <c r="D153" i="2"/>
  <c r="E153" i="2" s="1"/>
  <c r="F146" i="2"/>
  <c r="F145" i="2"/>
  <c r="F144" i="2"/>
  <c r="F143" i="2"/>
  <c r="F142" i="2"/>
  <c r="F141" i="2"/>
  <c r="F140" i="2"/>
  <c r="F139" i="2"/>
  <c r="F138" i="2"/>
  <c r="F137" i="2"/>
  <c r="F136" i="2"/>
  <c r="B136" i="2"/>
  <c r="F135" i="2"/>
  <c r="F134" i="2"/>
  <c r="F133" i="2"/>
  <c r="F132" i="2"/>
  <c r="B132" i="2"/>
  <c r="F131" i="2"/>
  <c r="F130" i="2"/>
  <c r="F129" i="2"/>
  <c r="D129" i="2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F128" i="2"/>
  <c r="D128" i="2"/>
  <c r="D107" i="2"/>
  <c r="E106" i="2"/>
  <c r="J111" i="2" s="1"/>
  <c r="J114" i="2" s="1"/>
  <c r="D106" i="2"/>
  <c r="D91" i="2"/>
  <c r="D92" i="2" s="1"/>
  <c r="D93" i="2" s="1"/>
  <c r="D94" i="2" s="1"/>
  <c r="D95" i="2" s="1"/>
  <c r="D96" i="2" s="1"/>
  <c r="D86" i="2"/>
  <c r="D87" i="2" s="1"/>
  <c r="D88" i="2" s="1"/>
  <c r="D89" i="2" s="1"/>
  <c r="D90" i="2" s="1"/>
  <c r="E85" i="2"/>
  <c r="D84" i="2"/>
  <c r="D85" i="2" s="1"/>
  <c r="D83" i="2"/>
  <c r="H65" i="2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G65" i="2"/>
  <c r="F65" i="2"/>
  <c r="D56" i="2"/>
  <c r="D55" i="2"/>
  <c r="D54" i="2"/>
  <c r="F53" i="2"/>
  <c r="B34" i="2"/>
  <c r="C33" i="2"/>
  <c r="B33" i="2"/>
  <c r="D32" i="2"/>
  <c r="E32" i="2" s="1"/>
  <c r="C32" i="2"/>
  <c r="B32" i="2"/>
  <c r="G9" i="2"/>
  <c r="F9" i="2"/>
  <c r="E9" i="2"/>
  <c r="G6" i="2"/>
  <c r="F6" i="2"/>
  <c r="E6" i="2"/>
  <c r="K5" i="2"/>
  <c r="B133" i="2" s="1"/>
  <c r="J5" i="2"/>
  <c r="H2" i="2"/>
  <c r="B10" i="7" l="1"/>
  <c r="B50" i="7"/>
  <c r="E50" i="7" s="1"/>
  <c r="H128" i="6"/>
  <c r="E128" i="6"/>
  <c r="B37" i="7"/>
  <c r="N239" i="6"/>
  <c r="H198" i="6"/>
  <c r="C198" i="6" s="1"/>
  <c r="D109" i="6"/>
  <c r="E108" i="6"/>
  <c r="J204" i="6"/>
  <c r="D249" i="6"/>
  <c r="J203" i="6"/>
  <c r="J202" i="6"/>
  <c r="E202" i="6"/>
  <c r="D132" i="6"/>
  <c r="E131" i="6"/>
  <c r="D36" i="6"/>
  <c r="E36" i="6" s="1"/>
  <c r="C37" i="6"/>
  <c r="E91" i="6"/>
  <c r="D92" i="6"/>
  <c r="D93" i="6" s="1"/>
  <c r="D94" i="6" s="1"/>
  <c r="D95" i="6" s="1"/>
  <c r="D96" i="6" s="1"/>
  <c r="D97" i="6" s="1"/>
  <c r="D98" i="6" s="1"/>
  <c r="D99" i="6" s="1"/>
  <c r="D100" i="6" s="1"/>
  <c r="D101" i="6" s="1"/>
  <c r="E98" i="6"/>
  <c r="E250" i="6" a="1"/>
  <c r="E250" i="6" s="1"/>
  <c r="B251" i="6"/>
  <c r="E85" i="6"/>
  <c r="E99" i="6"/>
  <c r="I176" i="6"/>
  <c r="J176" i="6"/>
  <c r="D250" i="6"/>
  <c r="G2" i="6"/>
  <c r="C249" i="6" s="1"/>
  <c r="G53" i="6"/>
  <c r="E86" i="6"/>
  <c r="D159" i="6"/>
  <c r="B178" i="6"/>
  <c r="H206" i="6"/>
  <c r="J205" i="6"/>
  <c r="J86" i="6"/>
  <c r="J89" i="6" s="1"/>
  <c r="E93" i="6"/>
  <c r="E129" i="6"/>
  <c r="F249" i="6"/>
  <c r="E130" i="6"/>
  <c r="C177" i="6"/>
  <c r="G156" i="6"/>
  <c r="D177" i="6"/>
  <c r="B229" i="6"/>
  <c r="K228" i="6" a="1"/>
  <c r="K228" i="6" s="1"/>
  <c r="E228" i="6" a="1"/>
  <c r="E228" i="6" s="1"/>
  <c r="K2" i="6"/>
  <c r="L2" i="6" s="1"/>
  <c r="D35" i="6"/>
  <c r="E35" i="6" s="1"/>
  <c r="E87" i="6"/>
  <c r="B276" i="6"/>
  <c r="E275" i="6" a="1"/>
  <c r="E275" i="6" s="1"/>
  <c r="G157" i="6"/>
  <c r="G155" i="6"/>
  <c r="G153" i="6"/>
  <c r="E94" i="6"/>
  <c r="E83" i="6"/>
  <c r="D204" i="6"/>
  <c r="D202" i="6"/>
  <c r="I203" i="6"/>
  <c r="I202" i="6"/>
  <c r="E101" i="6"/>
  <c r="E95" i="6"/>
  <c r="E84" i="6"/>
  <c r="E203" i="6"/>
  <c r="C203" i="6"/>
  <c r="B204" i="6"/>
  <c r="F203" i="6" a="1"/>
  <c r="F203" i="6" s="1"/>
  <c r="E88" i="6"/>
  <c r="E157" i="6"/>
  <c r="D203" i="6"/>
  <c r="K275" i="6" a="1"/>
  <c r="K275" i="6" s="1"/>
  <c r="E89" i="6"/>
  <c r="G154" i="6"/>
  <c r="E96" i="6"/>
  <c r="E90" i="6"/>
  <c r="D176" i="6"/>
  <c r="F202" i="6" a="1"/>
  <c r="F202" i="6" s="1"/>
  <c r="H178" i="6"/>
  <c r="K227" i="6" a="1"/>
  <c r="K227" i="6" s="1"/>
  <c r="P13" i="5"/>
  <c r="K228" i="2"/>
  <c r="H198" i="2"/>
  <c r="C198" i="2" s="1"/>
  <c r="J202" i="2" s="1"/>
  <c r="B134" i="2"/>
  <c r="E130" i="2"/>
  <c r="E133" i="2"/>
  <c r="E144" i="2"/>
  <c r="E140" i="2"/>
  <c r="E136" i="2"/>
  <c r="E129" i="2"/>
  <c r="E143" i="2"/>
  <c r="E139" i="2"/>
  <c r="E132" i="2"/>
  <c r="H128" i="2"/>
  <c r="E128" i="2"/>
  <c r="E146" i="2"/>
  <c r="E142" i="2"/>
  <c r="E138" i="2"/>
  <c r="E134" i="2"/>
  <c r="E131" i="2"/>
  <c r="E141" i="2"/>
  <c r="E135" i="2"/>
  <c r="E137" i="2"/>
  <c r="E145" i="2"/>
  <c r="D97" i="2"/>
  <c r="D98" i="2" s="1"/>
  <c r="D99" i="2" s="1"/>
  <c r="D100" i="2" s="1"/>
  <c r="D101" i="2" s="1"/>
  <c r="E101" i="2" s="1"/>
  <c r="E96" i="2"/>
  <c r="E203" i="2"/>
  <c r="C203" i="2"/>
  <c r="B204" i="2"/>
  <c r="C34" i="2"/>
  <c r="D33" i="2"/>
  <c r="E33" i="2" s="1"/>
  <c r="C177" i="2"/>
  <c r="B178" i="2"/>
  <c r="J203" i="2"/>
  <c r="D177" i="2"/>
  <c r="G53" i="2"/>
  <c r="J178" i="2"/>
  <c r="I178" i="2"/>
  <c r="H179" i="2"/>
  <c r="D158" i="2"/>
  <c r="E157" i="2"/>
  <c r="G153" i="2"/>
  <c r="B278" i="2"/>
  <c r="K277" i="2" a="1"/>
  <c r="K277" i="2" s="1"/>
  <c r="D203" i="2"/>
  <c r="L5" i="2"/>
  <c r="I203" i="2"/>
  <c r="D202" i="2"/>
  <c r="G156" i="2"/>
  <c r="E95" i="2"/>
  <c r="E84" i="2"/>
  <c r="E89" i="2"/>
  <c r="G158" i="2"/>
  <c r="E94" i="2"/>
  <c r="E83" i="2"/>
  <c r="E93" i="2"/>
  <c r="E92" i="2"/>
  <c r="G157" i="2"/>
  <c r="J86" i="2"/>
  <c r="J89" i="2" s="1"/>
  <c r="I202" i="2"/>
  <c r="N215" i="2" s="1"/>
  <c r="E91" i="2"/>
  <c r="E86" i="2"/>
  <c r="G2" i="2"/>
  <c r="F66" i="2"/>
  <c r="D108" i="2"/>
  <c r="E107" i="2"/>
  <c r="E88" i="2"/>
  <c r="E87" i="2"/>
  <c r="K2" i="2"/>
  <c r="L2" i="2" s="1"/>
  <c r="B73" i="2"/>
  <c r="A80" i="2" s="1"/>
  <c r="E90" i="2"/>
  <c r="G154" i="2"/>
  <c r="N239" i="2"/>
  <c r="N189" i="2"/>
  <c r="B229" i="2"/>
  <c r="E276" i="2" a="1"/>
  <c r="E276" i="2" s="1"/>
  <c r="K276" i="2" a="1"/>
  <c r="K276" i="2" s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27" i="1"/>
  <c r="K226" i="1"/>
  <c r="E227" i="1" a="1"/>
  <c r="E227" i="1" s="1"/>
  <c r="E228" i="1" a="1"/>
  <c r="E228" i="1" s="1"/>
  <c r="E229" i="1" a="1"/>
  <c r="E229" i="1" s="1"/>
  <c r="E230" i="1" a="1"/>
  <c r="E230" i="1" s="1"/>
  <c r="E231" i="1" a="1"/>
  <c r="E231" i="1" s="1"/>
  <c r="E232" i="1" a="1"/>
  <c r="E232" i="1" s="1"/>
  <c r="E233" i="1" a="1"/>
  <c r="E233" i="1" s="1"/>
  <c r="E234" i="1" a="1"/>
  <c r="E234" i="1" s="1"/>
  <c r="E235" i="1" a="1"/>
  <c r="E235" i="1" s="1"/>
  <c r="E236" i="1" a="1"/>
  <c r="E236" i="1" s="1"/>
  <c r="E237" i="1" a="1"/>
  <c r="E237" i="1" s="1"/>
  <c r="E238" i="1" a="1"/>
  <c r="E238" i="1" s="1"/>
  <c r="E239" i="1" a="1"/>
  <c r="E239" i="1" s="1"/>
  <c r="E240" i="1" a="1"/>
  <c r="E240" i="1" s="1"/>
  <c r="E241" i="1" a="1"/>
  <c r="E241" i="1" s="1"/>
  <c r="E242" i="1" a="1"/>
  <c r="E242" i="1" s="1"/>
  <c r="E243" i="1" a="1"/>
  <c r="E243" i="1" s="1"/>
  <c r="E244" i="1" a="1"/>
  <c r="E244" i="1" s="1"/>
  <c r="E226" i="1" a="1"/>
  <c r="E226" i="1" s="1"/>
  <c r="N239" i="1" s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02" i="1"/>
  <c r="H198" i="1"/>
  <c r="K292" i="4"/>
  <c r="K292" i="4" a="1"/>
  <c r="J292" i="4"/>
  <c r="I292" i="4"/>
  <c r="H292" i="4"/>
  <c r="E292" i="4"/>
  <c r="E292" i="4" a="1"/>
  <c r="D292" i="4"/>
  <c r="C292" i="4"/>
  <c r="B292" i="4"/>
  <c r="K291" i="4"/>
  <c r="K291" i="4" a="1"/>
  <c r="J291" i="4"/>
  <c r="I291" i="4"/>
  <c r="H291" i="4"/>
  <c r="E291" i="4"/>
  <c r="E291" i="4" a="1"/>
  <c r="D291" i="4"/>
  <c r="C291" i="4"/>
  <c r="B291" i="4"/>
  <c r="K290" i="4"/>
  <c r="K290" i="4" a="1"/>
  <c r="J290" i="4"/>
  <c r="I290" i="4"/>
  <c r="H290" i="4"/>
  <c r="E290" i="4"/>
  <c r="E290" i="4" a="1"/>
  <c r="D290" i="4"/>
  <c r="C290" i="4"/>
  <c r="B290" i="4"/>
  <c r="K289" i="4"/>
  <c r="K289" i="4" a="1"/>
  <c r="J289" i="4"/>
  <c r="I289" i="4"/>
  <c r="H289" i="4"/>
  <c r="E289" i="4"/>
  <c r="E289" i="4" a="1"/>
  <c r="D289" i="4"/>
  <c r="C289" i="4"/>
  <c r="B289" i="4"/>
  <c r="K288" i="4"/>
  <c r="K288" i="4" a="1"/>
  <c r="J288" i="4"/>
  <c r="I288" i="4"/>
  <c r="H288" i="4"/>
  <c r="E288" i="4"/>
  <c r="E288" i="4" a="1"/>
  <c r="D288" i="4"/>
  <c r="C288" i="4"/>
  <c r="B288" i="4"/>
  <c r="K287" i="4"/>
  <c r="K287" i="4" a="1"/>
  <c r="J287" i="4"/>
  <c r="I287" i="4"/>
  <c r="H287" i="4"/>
  <c r="E287" i="4"/>
  <c r="E287" i="4" a="1"/>
  <c r="D287" i="4"/>
  <c r="C287" i="4"/>
  <c r="B287" i="4"/>
  <c r="K286" i="4"/>
  <c r="K286" i="4" a="1"/>
  <c r="J286" i="4"/>
  <c r="I286" i="4"/>
  <c r="H286" i="4"/>
  <c r="E286" i="4"/>
  <c r="E286" i="4" a="1"/>
  <c r="D286" i="4"/>
  <c r="C286" i="4"/>
  <c r="B286" i="4"/>
  <c r="K285" i="4"/>
  <c r="K285" i="4" a="1"/>
  <c r="J285" i="4"/>
  <c r="I285" i="4"/>
  <c r="H285" i="4"/>
  <c r="E285" i="4"/>
  <c r="E285" i="4" a="1"/>
  <c r="D285" i="4"/>
  <c r="C285" i="4"/>
  <c r="B285" i="4"/>
  <c r="K284" i="4"/>
  <c r="K284" i="4" a="1"/>
  <c r="J284" i="4"/>
  <c r="I284" i="4"/>
  <c r="H284" i="4"/>
  <c r="E284" i="4"/>
  <c r="E284" i="4" a="1"/>
  <c r="D284" i="4"/>
  <c r="C284" i="4"/>
  <c r="B284" i="4"/>
  <c r="K283" i="4"/>
  <c r="K283" i="4" a="1"/>
  <c r="J283" i="4"/>
  <c r="I283" i="4"/>
  <c r="H283" i="4"/>
  <c r="E283" i="4"/>
  <c r="E283" i="4" a="1"/>
  <c r="D283" i="4"/>
  <c r="C283" i="4"/>
  <c r="B283" i="4"/>
  <c r="K282" i="4"/>
  <c r="K282" i="4" a="1"/>
  <c r="J282" i="4"/>
  <c r="I282" i="4"/>
  <c r="H282" i="4"/>
  <c r="E282" i="4"/>
  <c r="E282" i="4" a="1"/>
  <c r="D282" i="4"/>
  <c r="C282" i="4"/>
  <c r="B282" i="4"/>
  <c r="K281" i="4"/>
  <c r="K281" i="4" a="1"/>
  <c r="J281" i="4"/>
  <c r="I281" i="4"/>
  <c r="H281" i="4"/>
  <c r="E281" i="4"/>
  <c r="E281" i="4" a="1"/>
  <c r="D281" i="4"/>
  <c r="C281" i="4"/>
  <c r="B281" i="4"/>
  <c r="K280" i="4"/>
  <c r="K280" i="4" a="1"/>
  <c r="J280" i="4"/>
  <c r="I280" i="4"/>
  <c r="H280" i="4"/>
  <c r="E280" i="4"/>
  <c r="E280" i="4" a="1"/>
  <c r="D280" i="4"/>
  <c r="C280" i="4"/>
  <c r="B280" i="4"/>
  <c r="K279" i="4"/>
  <c r="K279" i="4" a="1"/>
  <c r="J279" i="4"/>
  <c r="I279" i="4"/>
  <c r="H279" i="4"/>
  <c r="E279" i="4"/>
  <c r="E279" i="4" a="1"/>
  <c r="D279" i="4"/>
  <c r="C279" i="4"/>
  <c r="B279" i="4"/>
  <c r="K278" i="4"/>
  <c r="K278" i="4" a="1"/>
  <c r="J278" i="4"/>
  <c r="I278" i="4"/>
  <c r="H278" i="4"/>
  <c r="E278" i="4"/>
  <c r="E278" i="4" a="1"/>
  <c r="D278" i="4"/>
  <c r="C278" i="4"/>
  <c r="B278" i="4"/>
  <c r="K277" i="4"/>
  <c r="K277" i="4" a="1"/>
  <c r="J277" i="4"/>
  <c r="I277" i="4"/>
  <c r="H277" i="4"/>
  <c r="E277" i="4"/>
  <c r="E277" i="4" a="1"/>
  <c r="D277" i="4"/>
  <c r="C277" i="4"/>
  <c r="B277" i="4"/>
  <c r="K276" i="4"/>
  <c r="K276" i="4" a="1"/>
  <c r="J276" i="4"/>
  <c r="I276" i="4"/>
  <c r="H276" i="4"/>
  <c r="E276" i="4"/>
  <c r="E276" i="4" a="1"/>
  <c r="D276" i="4"/>
  <c r="C276" i="4"/>
  <c r="B276" i="4"/>
  <c r="K275" i="4"/>
  <c r="K275" i="4" a="1"/>
  <c r="J275" i="4"/>
  <c r="I275" i="4"/>
  <c r="H275" i="4"/>
  <c r="E275" i="4"/>
  <c r="E275" i="4" a="1"/>
  <c r="D275" i="4"/>
  <c r="C275" i="4"/>
  <c r="B275" i="4"/>
  <c r="K274" i="4"/>
  <c r="K274" i="4" a="1"/>
  <c r="J274" i="4"/>
  <c r="I274" i="4"/>
  <c r="H274" i="4"/>
  <c r="E274" i="4"/>
  <c r="E274" i="4" a="1"/>
  <c r="D274" i="4"/>
  <c r="C274" i="4"/>
  <c r="B274" i="4"/>
  <c r="K244" i="4"/>
  <c r="J244" i="4"/>
  <c r="I244" i="4"/>
  <c r="H244" i="4"/>
  <c r="D244" i="4"/>
  <c r="C244" i="4"/>
  <c r="B244" i="4"/>
  <c r="K243" i="4"/>
  <c r="J243" i="4"/>
  <c r="I243" i="4"/>
  <c r="H243" i="4"/>
  <c r="D243" i="4"/>
  <c r="C243" i="4"/>
  <c r="B243" i="4"/>
  <c r="K242" i="4"/>
  <c r="J242" i="4"/>
  <c r="I242" i="4"/>
  <c r="H242" i="4"/>
  <c r="D242" i="4"/>
  <c r="C242" i="4"/>
  <c r="B242" i="4"/>
  <c r="K241" i="4"/>
  <c r="J241" i="4"/>
  <c r="I241" i="4"/>
  <c r="H241" i="4"/>
  <c r="D241" i="4"/>
  <c r="C241" i="4"/>
  <c r="B241" i="4"/>
  <c r="K240" i="4"/>
  <c r="J240" i="4"/>
  <c r="I240" i="4"/>
  <c r="H240" i="4"/>
  <c r="D240" i="4"/>
  <c r="C240" i="4"/>
  <c r="B240" i="4"/>
  <c r="N239" i="4"/>
  <c r="K239" i="4"/>
  <c r="J239" i="4"/>
  <c r="I239" i="4"/>
  <c r="H239" i="4"/>
  <c r="D239" i="4"/>
  <c r="C239" i="4"/>
  <c r="B239" i="4"/>
  <c r="K238" i="4"/>
  <c r="J238" i="4"/>
  <c r="I238" i="4"/>
  <c r="H238" i="4"/>
  <c r="D238" i="4"/>
  <c r="C238" i="4"/>
  <c r="B238" i="4"/>
  <c r="K237" i="4"/>
  <c r="J237" i="4"/>
  <c r="I237" i="4"/>
  <c r="H237" i="4"/>
  <c r="D237" i="4"/>
  <c r="C237" i="4"/>
  <c r="B237" i="4"/>
  <c r="K236" i="4"/>
  <c r="J236" i="4"/>
  <c r="I236" i="4"/>
  <c r="H236" i="4"/>
  <c r="D236" i="4"/>
  <c r="C236" i="4"/>
  <c r="B236" i="4"/>
  <c r="K235" i="4"/>
  <c r="J235" i="4"/>
  <c r="I235" i="4"/>
  <c r="H235" i="4"/>
  <c r="D235" i="4"/>
  <c r="C235" i="4"/>
  <c r="B235" i="4"/>
  <c r="K234" i="4"/>
  <c r="J234" i="4"/>
  <c r="I234" i="4"/>
  <c r="H234" i="4"/>
  <c r="D234" i="4"/>
  <c r="C234" i="4"/>
  <c r="B234" i="4"/>
  <c r="K233" i="4"/>
  <c r="J233" i="4"/>
  <c r="I233" i="4"/>
  <c r="H233" i="4"/>
  <c r="D233" i="4"/>
  <c r="C233" i="4"/>
  <c r="B233" i="4"/>
  <c r="K232" i="4"/>
  <c r="J232" i="4"/>
  <c r="I232" i="4"/>
  <c r="H232" i="4"/>
  <c r="D232" i="4"/>
  <c r="C232" i="4"/>
  <c r="B232" i="4"/>
  <c r="K231" i="4"/>
  <c r="J231" i="4"/>
  <c r="I231" i="4"/>
  <c r="H231" i="4"/>
  <c r="D231" i="4"/>
  <c r="C231" i="4"/>
  <c r="B231" i="4"/>
  <c r="K230" i="4"/>
  <c r="J230" i="4"/>
  <c r="I230" i="4"/>
  <c r="H230" i="4"/>
  <c r="D230" i="4"/>
  <c r="C230" i="4"/>
  <c r="B230" i="4"/>
  <c r="K229" i="4"/>
  <c r="J229" i="4"/>
  <c r="I229" i="4"/>
  <c r="H229" i="4"/>
  <c r="D229" i="4"/>
  <c r="C229" i="4"/>
  <c r="B229" i="4"/>
  <c r="K228" i="4"/>
  <c r="J228" i="4"/>
  <c r="I228" i="4"/>
  <c r="H228" i="4"/>
  <c r="D228" i="4"/>
  <c r="C228" i="4"/>
  <c r="B228" i="4"/>
  <c r="K227" i="4"/>
  <c r="J227" i="4"/>
  <c r="I227" i="4"/>
  <c r="H227" i="4"/>
  <c r="D227" i="4"/>
  <c r="C227" i="4"/>
  <c r="B227" i="4"/>
  <c r="K226" i="4"/>
  <c r="J226" i="4"/>
  <c r="I226" i="4"/>
  <c r="H226" i="4"/>
  <c r="D226" i="4"/>
  <c r="C226" i="4"/>
  <c r="B226" i="4"/>
  <c r="K220" i="4"/>
  <c r="J220" i="4"/>
  <c r="I220" i="4"/>
  <c r="H220" i="4"/>
  <c r="F220" i="4"/>
  <c r="E220" i="4"/>
  <c r="D220" i="4"/>
  <c r="C220" i="4"/>
  <c r="B220" i="4"/>
  <c r="K219" i="4"/>
  <c r="J219" i="4"/>
  <c r="I219" i="4"/>
  <c r="H219" i="4"/>
  <c r="F219" i="4"/>
  <c r="E219" i="4"/>
  <c r="D219" i="4"/>
  <c r="C219" i="4"/>
  <c r="B219" i="4"/>
  <c r="K218" i="4"/>
  <c r="J218" i="4"/>
  <c r="I218" i="4"/>
  <c r="H218" i="4"/>
  <c r="F218" i="4"/>
  <c r="E218" i="4"/>
  <c r="D218" i="4"/>
  <c r="C218" i="4"/>
  <c r="B218" i="4"/>
  <c r="K217" i="4"/>
  <c r="J217" i="4"/>
  <c r="I217" i="4"/>
  <c r="H217" i="4"/>
  <c r="F217" i="4"/>
  <c r="E217" i="4"/>
  <c r="D217" i="4"/>
  <c r="C217" i="4"/>
  <c r="B217" i="4"/>
  <c r="K216" i="4"/>
  <c r="J216" i="4"/>
  <c r="I216" i="4"/>
  <c r="H216" i="4"/>
  <c r="F216" i="4"/>
  <c r="E216" i="4"/>
  <c r="D216" i="4"/>
  <c r="C216" i="4"/>
  <c r="B216" i="4"/>
  <c r="N215" i="4"/>
  <c r="K215" i="4"/>
  <c r="J215" i="4"/>
  <c r="I215" i="4"/>
  <c r="H215" i="4"/>
  <c r="F215" i="4"/>
  <c r="E215" i="4"/>
  <c r="D215" i="4"/>
  <c r="C215" i="4"/>
  <c r="B215" i="4"/>
  <c r="K214" i="4"/>
  <c r="J214" i="4"/>
  <c r="I214" i="4"/>
  <c r="H214" i="4"/>
  <c r="F214" i="4"/>
  <c r="E214" i="4"/>
  <c r="D214" i="4"/>
  <c r="C214" i="4"/>
  <c r="B214" i="4"/>
  <c r="K213" i="4"/>
  <c r="J213" i="4"/>
  <c r="I213" i="4"/>
  <c r="H213" i="4"/>
  <c r="F213" i="4"/>
  <c r="E213" i="4"/>
  <c r="D213" i="4"/>
  <c r="C213" i="4"/>
  <c r="B213" i="4"/>
  <c r="K212" i="4"/>
  <c r="J212" i="4"/>
  <c r="I212" i="4"/>
  <c r="H212" i="4"/>
  <c r="F212" i="4"/>
  <c r="E212" i="4"/>
  <c r="D212" i="4"/>
  <c r="C212" i="4"/>
  <c r="B212" i="4"/>
  <c r="K211" i="4"/>
  <c r="J211" i="4"/>
  <c r="I211" i="4"/>
  <c r="H211" i="4"/>
  <c r="F211" i="4"/>
  <c r="E211" i="4"/>
  <c r="D211" i="4"/>
  <c r="C211" i="4"/>
  <c r="B211" i="4"/>
  <c r="K210" i="4"/>
  <c r="J210" i="4"/>
  <c r="I210" i="4"/>
  <c r="H210" i="4"/>
  <c r="F210" i="4"/>
  <c r="E210" i="4"/>
  <c r="D210" i="4"/>
  <c r="C210" i="4"/>
  <c r="B210" i="4"/>
  <c r="K209" i="4"/>
  <c r="J209" i="4"/>
  <c r="I209" i="4"/>
  <c r="H209" i="4"/>
  <c r="F209" i="4"/>
  <c r="E209" i="4"/>
  <c r="D209" i="4"/>
  <c r="C209" i="4"/>
  <c r="B209" i="4"/>
  <c r="K208" i="4"/>
  <c r="J208" i="4"/>
  <c r="I208" i="4"/>
  <c r="H208" i="4"/>
  <c r="F208" i="4"/>
  <c r="E208" i="4"/>
  <c r="D208" i="4"/>
  <c r="C208" i="4"/>
  <c r="B208" i="4"/>
  <c r="K207" i="4"/>
  <c r="J207" i="4"/>
  <c r="I207" i="4"/>
  <c r="H207" i="4"/>
  <c r="F207" i="4"/>
  <c r="E207" i="4"/>
  <c r="D207" i="4"/>
  <c r="C207" i="4"/>
  <c r="B207" i="4"/>
  <c r="K206" i="4"/>
  <c r="J206" i="4"/>
  <c r="I206" i="4"/>
  <c r="H206" i="4"/>
  <c r="F206" i="4"/>
  <c r="E206" i="4"/>
  <c r="D206" i="4"/>
  <c r="C206" i="4"/>
  <c r="B206" i="4"/>
  <c r="K205" i="4"/>
  <c r="J205" i="4"/>
  <c r="I205" i="4"/>
  <c r="H205" i="4"/>
  <c r="F205" i="4"/>
  <c r="E205" i="4"/>
  <c r="D205" i="4"/>
  <c r="C205" i="4"/>
  <c r="B205" i="4"/>
  <c r="K204" i="4"/>
  <c r="J204" i="4"/>
  <c r="I204" i="4"/>
  <c r="H204" i="4"/>
  <c r="F204" i="4"/>
  <c r="E204" i="4"/>
  <c r="D204" i="4"/>
  <c r="C204" i="4"/>
  <c r="B204" i="4"/>
  <c r="K203" i="4"/>
  <c r="J203" i="4"/>
  <c r="I203" i="4"/>
  <c r="H203" i="4"/>
  <c r="F203" i="4"/>
  <c r="E203" i="4"/>
  <c r="D203" i="4"/>
  <c r="C203" i="4"/>
  <c r="B203" i="4"/>
  <c r="K202" i="4"/>
  <c r="J202" i="4"/>
  <c r="I202" i="4"/>
  <c r="H202" i="4"/>
  <c r="F202" i="4"/>
  <c r="E202" i="4"/>
  <c r="D202" i="4"/>
  <c r="C202" i="4"/>
  <c r="B202" i="4"/>
  <c r="H198" i="4"/>
  <c r="C198" i="4"/>
  <c r="K194" i="4"/>
  <c r="J194" i="4"/>
  <c r="I194" i="4"/>
  <c r="H194" i="4"/>
  <c r="E194" i="4"/>
  <c r="D194" i="4"/>
  <c r="C194" i="4"/>
  <c r="B194" i="4"/>
  <c r="K193" i="4"/>
  <c r="J193" i="4"/>
  <c r="I193" i="4"/>
  <c r="H193" i="4"/>
  <c r="E193" i="4"/>
  <c r="D193" i="4"/>
  <c r="C193" i="4"/>
  <c r="B193" i="4"/>
  <c r="K192" i="4"/>
  <c r="J192" i="4"/>
  <c r="I192" i="4"/>
  <c r="H192" i="4"/>
  <c r="E192" i="4"/>
  <c r="D192" i="4"/>
  <c r="C192" i="4"/>
  <c r="B192" i="4"/>
  <c r="K191" i="4"/>
  <c r="J191" i="4"/>
  <c r="I191" i="4"/>
  <c r="H191" i="4"/>
  <c r="E191" i="4"/>
  <c r="D191" i="4"/>
  <c r="C191" i="4"/>
  <c r="B191" i="4"/>
  <c r="K190" i="4"/>
  <c r="J190" i="4"/>
  <c r="I190" i="4"/>
  <c r="H190" i="4"/>
  <c r="E190" i="4"/>
  <c r="D190" i="4"/>
  <c r="C190" i="4"/>
  <c r="B190" i="4"/>
  <c r="N189" i="4"/>
  <c r="K189" i="4"/>
  <c r="J189" i="4"/>
  <c r="I189" i="4"/>
  <c r="H189" i="4"/>
  <c r="E189" i="4"/>
  <c r="D189" i="4"/>
  <c r="C189" i="4"/>
  <c r="B189" i="4"/>
  <c r="K188" i="4"/>
  <c r="J188" i="4"/>
  <c r="I188" i="4"/>
  <c r="H188" i="4"/>
  <c r="E188" i="4"/>
  <c r="D188" i="4"/>
  <c r="C188" i="4"/>
  <c r="B188" i="4"/>
  <c r="K187" i="4"/>
  <c r="J187" i="4"/>
  <c r="I187" i="4"/>
  <c r="H187" i="4"/>
  <c r="E187" i="4"/>
  <c r="D187" i="4"/>
  <c r="C187" i="4"/>
  <c r="B187" i="4"/>
  <c r="K186" i="4"/>
  <c r="J186" i="4"/>
  <c r="I186" i="4"/>
  <c r="H186" i="4"/>
  <c r="E186" i="4"/>
  <c r="D186" i="4"/>
  <c r="C186" i="4"/>
  <c r="B186" i="4"/>
  <c r="K185" i="4"/>
  <c r="J185" i="4"/>
  <c r="I185" i="4"/>
  <c r="H185" i="4"/>
  <c r="E185" i="4"/>
  <c r="D185" i="4"/>
  <c r="C185" i="4"/>
  <c r="B185" i="4"/>
  <c r="K184" i="4"/>
  <c r="J184" i="4"/>
  <c r="I184" i="4"/>
  <c r="H184" i="4"/>
  <c r="E184" i="4"/>
  <c r="D184" i="4"/>
  <c r="C184" i="4"/>
  <c r="B184" i="4"/>
  <c r="K183" i="4"/>
  <c r="J183" i="4"/>
  <c r="I183" i="4"/>
  <c r="H183" i="4"/>
  <c r="E183" i="4"/>
  <c r="D183" i="4"/>
  <c r="C183" i="4"/>
  <c r="B183" i="4"/>
  <c r="K182" i="4"/>
  <c r="J182" i="4"/>
  <c r="I182" i="4"/>
  <c r="H182" i="4"/>
  <c r="E182" i="4"/>
  <c r="D182" i="4"/>
  <c r="C182" i="4"/>
  <c r="B182" i="4"/>
  <c r="K181" i="4"/>
  <c r="J181" i="4"/>
  <c r="I181" i="4"/>
  <c r="H181" i="4"/>
  <c r="E181" i="4"/>
  <c r="D181" i="4"/>
  <c r="C181" i="4"/>
  <c r="B181" i="4"/>
  <c r="K180" i="4"/>
  <c r="J180" i="4"/>
  <c r="I180" i="4"/>
  <c r="H180" i="4"/>
  <c r="E180" i="4"/>
  <c r="D180" i="4"/>
  <c r="C180" i="4"/>
  <c r="B180" i="4"/>
  <c r="K179" i="4"/>
  <c r="J179" i="4"/>
  <c r="I179" i="4"/>
  <c r="H179" i="4"/>
  <c r="E179" i="4"/>
  <c r="D179" i="4"/>
  <c r="C179" i="4"/>
  <c r="B179" i="4"/>
  <c r="K178" i="4"/>
  <c r="J178" i="4"/>
  <c r="I178" i="4"/>
  <c r="H178" i="4"/>
  <c r="E178" i="4"/>
  <c r="D178" i="4"/>
  <c r="C178" i="4"/>
  <c r="B178" i="4"/>
  <c r="K177" i="4"/>
  <c r="J177" i="4"/>
  <c r="I177" i="4"/>
  <c r="H177" i="4"/>
  <c r="E177" i="4"/>
  <c r="D177" i="4"/>
  <c r="C177" i="4"/>
  <c r="B177" i="4"/>
  <c r="L176" i="4"/>
  <c r="K176" i="4"/>
  <c r="J176" i="4"/>
  <c r="I176" i="4"/>
  <c r="H176" i="4"/>
  <c r="E176" i="4"/>
  <c r="D176" i="4"/>
  <c r="C176" i="4"/>
  <c r="B176" i="4"/>
  <c r="H171" i="4"/>
  <c r="I171" i="4" s="1"/>
  <c r="G171" i="4"/>
  <c r="E171" i="4"/>
  <c r="D171" i="4"/>
  <c r="I170" i="4"/>
  <c r="H170" i="4"/>
  <c r="G170" i="4"/>
  <c r="E170" i="4"/>
  <c r="D170" i="4"/>
  <c r="H169" i="4"/>
  <c r="I169" i="4" s="1"/>
  <c r="G169" i="4"/>
  <c r="E169" i="4"/>
  <c r="D169" i="4"/>
  <c r="H168" i="4"/>
  <c r="I168" i="4" s="1"/>
  <c r="G168" i="4"/>
  <c r="E168" i="4"/>
  <c r="D168" i="4"/>
  <c r="H167" i="4"/>
  <c r="I167" i="4" s="1"/>
  <c r="G167" i="4"/>
  <c r="E167" i="4"/>
  <c r="D167" i="4"/>
  <c r="H166" i="4"/>
  <c r="I166" i="4" s="1"/>
  <c r="G166" i="4"/>
  <c r="E166" i="4"/>
  <c r="D166" i="4"/>
  <c r="H165" i="4"/>
  <c r="I165" i="4" s="1"/>
  <c r="G165" i="4"/>
  <c r="E165" i="4"/>
  <c r="D165" i="4"/>
  <c r="H164" i="4"/>
  <c r="I164" i="4" s="1"/>
  <c r="G164" i="4"/>
  <c r="E164" i="4"/>
  <c r="D164" i="4"/>
  <c r="H163" i="4"/>
  <c r="I163" i="4" s="1"/>
  <c r="G163" i="4"/>
  <c r="E163" i="4"/>
  <c r="D163" i="4"/>
  <c r="H162" i="4"/>
  <c r="I162" i="4" s="1"/>
  <c r="G162" i="4"/>
  <c r="E162" i="4"/>
  <c r="D162" i="4"/>
  <c r="H161" i="4"/>
  <c r="I161" i="4" s="1"/>
  <c r="G161" i="4"/>
  <c r="E161" i="4"/>
  <c r="D161" i="4"/>
  <c r="I160" i="4"/>
  <c r="H160" i="4"/>
  <c r="G160" i="4"/>
  <c r="E160" i="4"/>
  <c r="D160" i="4"/>
  <c r="H159" i="4"/>
  <c r="I159" i="4" s="1"/>
  <c r="G159" i="4"/>
  <c r="E159" i="4"/>
  <c r="D159" i="4"/>
  <c r="I158" i="4"/>
  <c r="H158" i="4"/>
  <c r="G158" i="4"/>
  <c r="E158" i="4"/>
  <c r="D158" i="4"/>
  <c r="H157" i="4"/>
  <c r="I157" i="4" s="1"/>
  <c r="G157" i="4"/>
  <c r="E157" i="4"/>
  <c r="D157" i="4"/>
  <c r="H156" i="4"/>
  <c r="I156" i="4" s="1"/>
  <c r="G156" i="4"/>
  <c r="E156" i="4"/>
  <c r="D156" i="4"/>
  <c r="H155" i="4"/>
  <c r="I155" i="4" s="1"/>
  <c r="G155" i="4"/>
  <c r="E155" i="4"/>
  <c r="D155" i="4"/>
  <c r="H154" i="4"/>
  <c r="I154" i="4" s="1"/>
  <c r="G154" i="4"/>
  <c r="E154" i="4"/>
  <c r="D154" i="4"/>
  <c r="H153" i="4"/>
  <c r="I153" i="4" s="1"/>
  <c r="G153" i="4"/>
  <c r="E153" i="4"/>
  <c r="D153" i="4"/>
  <c r="F146" i="4"/>
  <c r="E146" i="4"/>
  <c r="D146" i="4"/>
  <c r="F145" i="4"/>
  <c r="E145" i="4"/>
  <c r="D145" i="4"/>
  <c r="F144" i="4"/>
  <c r="E144" i="4"/>
  <c r="D144" i="4"/>
  <c r="F143" i="4"/>
  <c r="E143" i="4"/>
  <c r="D143" i="4"/>
  <c r="F142" i="4"/>
  <c r="E142" i="4"/>
  <c r="D142" i="4"/>
  <c r="F141" i="4"/>
  <c r="E141" i="4"/>
  <c r="D141" i="4"/>
  <c r="F140" i="4"/>
  <c r="E140" i="4"/>
  <c r="D140" i="4"/>
  <c r="F139" i="4"/>
  <c r="E139" i="4"/>
  <c r="D139" i="4"/>
  <c r="F138" i="4"/>
  <c r="E138" i="4"/>
  <c r="D138" i="4"/>
  <c r="F137" i="4"/>
  <c r="E137" i="4"/>
  <c r="D137" i="4"/>
  <c r="F136" i="4"/>
  <c r="E136" i="4"/>
  <c r="D136" i="4"/>
  <c r="B136" i="4"/>
  <c r="F135" i="4"/>
  <c r="E135" i="4"/>
  <c r="D135" i="4"/>
  <c r="F134" i="4"/>
  <c r="E134" i="4"/>
  <c r="D134" i="4"/>
  <c r="B134" i="4"/>
  <c r="F133" i="4"/>
  <c r="E133" i="4"/>
  <c r="D133" i="4"/>
  <c r="B133" i="4"/>
  <c r="F132" i="4"/>
  <c r="E132" i="4"/>
  <c r="D132" i="4"/>
  <c r="B132" i="4"/>
  <c r="F131" i="4"/>
  <c r="E131" i="4"/>
  <c r="D131" i="4"/>
  <c r="F130" i="4"/>
  <c r="E130" i="4"/>
  <c r="D130" i="4"/>
  <c r="F129" i="4"/>
  <c r="E129" i="4"/>
  <c r="D129" i="4"/>
  <c r="H128" i="4"/>
  <c r="F128" i="4"/>
  <c r="E128" i="4"/>
  <c r="D128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B116" i="4"/>
  <c r="E115" i="4"/>
  <c r="D115" i="4"/>
  <c r="J114" i="4"/>
  <c r="E114" i="4"/>
  <c r="D114" i="4"/>
  <c r="E113" i="4"/>
  <c r="D113" i="4"/>
  <c r="E112" i="4"/>
  <c r="D112" i="4"/>
  <c r="B112" i="4"/>
  <c r="J111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J89" i="4"/>
  <c r="E89" i="4"/>
  <c r="D89" i="4"/>
  <c r="E88" i="4"/>
  <c r="D88" i="4"/>
  <c r="E87" i="4"/>
  <c r="D87" i="4"/>
  <c r="J86" i="4"/>
  <c r="E86" i="4"/>
  <c r="D86" i="4"/>
  <c r="E85" i="4"/>
  <c r="D85" i="4"/>
  <c r="E84" i="4"/>
  <c r="D84" i="4"/>
  <c r="E83" i="4"/>
  <c r="D83" i="4"/>
  <c r="B73" i="4"/>
  <c r="A80" i="4" s="1"/>
  <c r="B72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D62" i="4"/>
  <c r="D61" i="4"/>
  <c r="D60" i="4"/>
  <c r="D59" i="4"/>
  <c r="D58" i="4"/>
  <c r="D57" i="4"/>
  <c r="D56" i="4"/>
  <c r="D55" i="4"/>
  <c r="D54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B32" i="4"/>
  <c r="E9" i="4"/>
  <c r="G6" i="4"/>
  <c r="F6" i="4"/>
  <c r="E6" i="4"/>
  <c r="L5" i="4"/>
  <c r="K5" i="4"/>
  <c r="J5" i="4"/>
  <c r="L2" i="4"/>
  <c r="K2" i="4"/>
  <c r="H2" i="4"/>
  <c r="G2" i="4"/>
  <c r="E2" i="4"/>
  <c r="K292" i="3"/>
  <c r="K292" i="3" a="1"/>
  <c r="J292" i="3"/>
  <c r="I292" i="3"/>
  <c r="H292" i="3"/>
  <c r="E292" i="3"/>
  <c r="E292" i="3" a="1"/>
  <c r="D292" i="3"/>
  <c r="C292" i="3"/>
  <c r="B292" i="3"/>
  <c r="K291" i="3"/>
  <c r="K291" i="3" a="1"/>
  <c r="J291" i="3"/>
  <c r="I291" i="3"/>
  <c r="H291" i="3"/>
  <c r="E291" i="3"/>
  <c r="E291" i="3" a="1"/>
  <c r="D291" i="3"/>
  <c r="C291" i="3"/>
  <c r="B291" i="3"/>
  <c r="K290" i="3"/>
  <c r="K290" i="3" a="1"/>
  <c r="J290" i="3"/>
  <c r="I290" i="3"/>
  <c r="H290" i="3"/>
  <c r="E290" i="3"/>
  <c r="E290" i="3" a="1"/>
  <c r="D290" i="3"/>
  <c r="C290" i="3"/>
  <c r="B290" i="3"/>
  <c r="K289" i="3"/>
  <c r="K289" i="3" a="1"/>
  <c r="J289" i="3"/>
  <c r="I289" i="3"/>
  <c r="H289" i="3"/>
  <c r="E289" i="3"/>
  <c r="E289" i="3" a="1"/>
  <c r="D289" i="3"/>
  <c r="C289" i="3"/>
  <c r="B289" i="3"/>
  <c r="K288" i="3"/>
  <c r="K288" i="3" a="1"/>
  <c r="J288" i="3"/>
  <c r="I288" i="3"/>
  <c r="H288" i="3"/>
  <c r="E288" i="3"/>
  <c r="E288" i="3" a="1"/>
  <c r="D288" i="3"/>
  <c r="C288" i="3"/>
  <c r="B288" i="3"/>
  <c r="K287" i="3"/>
  <c r="K287" i="3" a="1"/>
  <c r="J287" i="3"/>
  <c r="I287" i="3"/>
  <c r="H287" i="3"/>
  <c r="E287" i="3"/>
  <c r="E287" i="3" a="1"/>
  <c r="D287" i="3"/>
  <c r="C287" i="3"/>
  <c r="B287" i="3"/>
  <c r="K286" i="3"/>
  <c r="K286" i="3" a="1"/>
  <c r="J286" i="3"/>
  <c r="I286" i="3"/>
  <c r="H286" i="3"/>
  <c r="E286" i="3"/>
  <c r="E286" i="3" a="1"/>
  <c r="D286" i="3"/>
  <c r="C286" i="3"/>
  <c r="B286" i="3"/>
  <c r="K285" i="3"/>
  <c r="K285" i="3" a="1"/>
  <c r="J285" i="3"/>
  <c r="I285" i="3"/>
  <c r="H285" i="3"/>
  <c r="E285" i="3"/>
  <c r="E285" i="3" a="1"/>
  <c r="D285" i="3"/>
  <c r="C285" i="3"/>
  <c r="B285" i="3"/>
  <c r="K284" i="3"/>
  <c r="K284" i="3" a="1"/>
  <c r="J284" i="3"/>
  <c r="I284" i="3"/>
  <c r="H284" i="3"/>
  <c r="E284" i="3"/>
  <c r="E284" i="3" a="1"/>
  <c r="D284" i="3"/>
  <c r="C284" i="3"/>
  <c r="B284" i="3"/>
  <c r="K283" i="3"/>
  <c r="K283" i="3" a="1"/>
  <c r="J283" i="3"/>
  <c r="I283" i="3"/>
  <c r="H283" i="3"/>
  <c r="E283" i="3"/>
  <c r="E283" i="3" a="1"/>
  <c r="D283" i="3"/>
  <c r="C283" i="3"/>
  <c r="B283" i="3"/>
  <c r="K282" i="3"/>
  <c r="K282" i="3" a="1"/>
  <c r="J282" i="3"/>
  <c r="I282" i="3"/>
  <c r="H282" i="3"/>
  <c r="E282" i="3"/>
  <c r="E282" i="3" a="1"/>
  <c r="D282" i="3"/>
  <c r="C282" i="3"/>
  <c r="B282" i="3"/>
  <c r="K281" i="3"/>
  <c r="K281" i="3" a="1"/>
  <c r="J281" i="3"/>
  <c r="I281" i="3"/>
  <c r="H281" i="3"/>
  <c r="E281" i="3"/>
  <c r="E281" i="3" a="1"/>
  <c r="D281" i="3"/>
  <c r="C281" i="3"/>
  <c r="B281" i="3"/>
  <c r="K280" i="3"/>
  <c r="K280" i="3" a="1"/>
  <c r="J280" i="3"/>
  <c r="I280" i="3"/>
  <c r="H280" i="3"/>
  <c r="E280" i="3"/>
  <c r="E280" i="3" a="1"/>
  <c r="D280" i="3"/>
  <c r="C280" i="3"/>
  <c r="B280" i="3"/>
  <c r="K279" i="3"/>
  <c r="K279" i="3" a="1"/>
  <c r="J279" i="3"/>
  <c r="I279" i="3"/>
  <c r="H279" i="3"/>
  <c r="E279" i="3"/>
  <c r="E279" i="3" a="1"/>
  <c r="D279" i="3"/>
  <c r="C279" i="3"/>
  <c r="B279" i="3"/>
  <c r="K278" i="3"/>
  <c r="K278" i="3" a="1"/>
  <c r="J278" i="3"/>
  <c r="I278" i="3"/>
  <c r="H278" i="3"/>
  <c r="E278" i="3"/>
  <c r="E278" i="3" a="1"/>
  <c r="D278" i="3"/>
  <c r="C278" i="3"/>
  <c r="B278" i="3"/>
  <c r="K277" i="3"/>
  <c r="K277" i="3" a="1"/>
  <c r="J277" i="3"/>
  <c r="I277" i="3"/>
  <c r="H277" i="3"/>
  <c r="E277" i="3"/>
  <c r="E277" i="3" a="1"/>
  <c r="D277" i="3"/>
  <c r="C277" i="3"/>
  <c r="B277" i="3"/>
  <c r="K276" i="3"/>
  <c r="K276" i="3" a="1"/>
  <c r="J276" i="3"/>
  <c r="I276" i="3"/>
  <c r="H276" i="3"/>
  <c r="E276" i="3"/>
  <c r="E276" i="3" a="1"/>
  <c r="D276" i="3"/>
  <c r="C276" i="3"/>
  <c r="B276" i="3"/>
  <c r="K275" i="3"/>
  <c r="K275" i="3" a="1"/>
  <c r="J275" i="3"/>
  <c r="I275" i="3"/>
  <c r="H275" i="3"/>
  <c r="E275" i="3"/>
  <c r="E275" i="3" a="1"/>
  <c r="D275" i="3"/>
  <c r="C275" i="3"/>
  <c r="B275" i="3"/>
  <c r="K274" i="3"/>
  <c r="K274" i="3" a="1"/>
  <c r="J274" i="3"/>
  <c r="I274" i="3"/>
  <c r="H274" i="3"/>
  <c r="E274" i="3"/>
  <c r="E274" i="3" a="1"/>
  <c r="D274" i="3"/>
  <c r="C274" i="3"/>
  <c r="B274" i="3"/>
  <c r="K244" i="3"/>
  <c r="J244" i="3"/>
  <c r="I244" i="3"/>
  <c r="H244" i="3"/>
  <c r="C244" i="3"/>
  <c r="B244" i="3"/>
  <c r="K243" i="3"/>
  <c r="J243" i="3"/>
  <c r="I243" i="3"/>
  <c r="H243" i="3"/>
  <c r="C243" i="3"/>
  <c r="B243" i="3"/>
  <c r="K242" i="3"/>
  <c r="J242" i="3"/>
  <c r="I242" i="3"/>
  <c r="H242" i="3"/>
  <c r="C242" i="3"/>
  <c r="B242" i="3"/>
  <c r="K241" i="3"/>
  <c r="J241" i="3"/>
  <c r="I241" i="3"/>
  <c r="H241" i="3"/>
  <c r="C241" i="3"/>
  <c r="B241" i="3"/>
  <c r="K240" i="3"/>
  <c r="J240" i="3"/>
  <c r="I240" i="3"/>
  <c r="H240" i="3"/>
  <c r="C240" i="3"/>
  <c r="B240" i="3"/>
  <c r="N239" i="3"/>
  <c r="K239" i="3"/>
  <c r="J239" i="3"/>
  <c r="I239" i="3"/>
  <c r="H239" i="3"/>
  <c r="C239" i="3"/>
  <c r="B239" i="3"/>
  <c r="K238" i="3"/>
  <c r="J238" i="3"/>
  <c r="I238" i="3"/>
  <c r="H238" i="3"/>
  <c r="C238" i="3"/>
  <c r="B238" i="3"/>
  <c r="K237" i="3"/>
  <c r="J237" i="3"/>
  <c r="I237" i="3"/>
  <c r="H237" i="3"/>
  <c r="C237" i="3"/>
  <c r="B237" i="3"/>
  <c r="K236" i="3"/>
  <c r="J236" i="3"/>
  <c r="I236" i="3"/>
  <c r="H236" i="3"/>
  <c r="C236" i="3"/>
  <c r="B236" i="3"/>
  <c r="K235" i="3"/>
  <c r="J235" i="3"/>
  <c r="I235" i="3"/>
  <c r="H235" i="3"/>
  <c r="C235" i="3"/>
  <c r="B235" i="3"/>
  <c r="K234" i="3"/>
  <c r="J234" i="3"/>
  <c r="I234" i="3"/>
  <c r="H234" i="3"/>
  <c r="C234" i="3"/>
  <c r="B234" i="3"/>
  <c r="K233" i="3"/>
  <c r="J233" i="3"/>
  <c r="I233" i="3"/>
  <c r="H233" i="3"/>
  <c r="C233" i="3"/>
  <c r="B233" i="3"/>
  <c r="K232" i="3"/>
  <c r="J232" i="3"/>
  <c r="I232" i="3"/>
  <c r="H232" i="3"/>
  <c r="C232" i="3"/>
  <c r="B232" i="3"/>
  <c r="K231" i="3"/>
  <c r="J231" i="3"/>
  <c r="I231" i="3"/>
  <c r="H231" i="3"/>
  <c r="C231" i="3"/>
  <c r="B231" i="3"/>
  <c r="K230" i="3"/>
  <c r="J230" i="3"/>
  <c r="I230" i="3"/>
  <c r="H230" i="3"/>
  <c r="C230" i="3"/>
  <c r="B230" i="3"/>
  <c r="K229" i="3"/>
  <c r="J229" i="3"/>
  <c r="I229" i="3"/>
  <c r="H229" i="3"/>
  <c r="C229" i="3"/>
  <c r="B229" i="3"/>
  <c r="K228" i="3"/>
  <c r="J228" i="3"/>
  <c r="I228" i="3"/>
  <c r="H228" i="3"/>
  <c r="C228" i="3"/>
  <c r="B228" i="3"/>
  <c r="K227" i="3"/>
  <c r="J227" i="3"/>
  <c r="I227" i="3"/>
  <c r="H227" i="3"/>
  <c r="C227" i="3"/>
  <c r="B227" i="3"/>
  <c r="K226" i="3"/>
  <c r="J226" i="3"/>
  <c r="I226" i="3"/>
  <c r="H226" i="3"/>
  <c r="C226" i="3"/>
  <c r="B226" i="3"/>
  <c r="K220" i="3"/>
  <c r="I220" i="3"/>
  <c r="H220" i="3"/>
  <c r="F220" i="3"/>
  <c r="D220" i="3"/>
  <c r="C220" i="3"/>
  <c r="B220" i="3"/>
  <c r="K219" i="3"/>
  <c r="I219" i="3"/>
  <c r="H219" i="3"/>
  <c r="F219" i="3"/>
  <c r="D219" i="3"/>
  <c r="C219" i="3"/>
  <c r="B219" i="3"/>
  <c r="K218" i="3"/>
  <c r="I218" i="3"/>
  <c r="H218" i="3"/>
  <c r="F218" i="3"/>
  <c r="D218" i="3"/>
  <c r="C218" i="3"/>
  <c r="B218" i="3"/>
  <c r="K217" i="3"/>
  <c r="I217" i="3"/>
  <c r="H217" i="3"/>
  <c r="F217" i="3"/>
  <c r="D217" i="3"/>
  <c r="C217" i="3"/>
  <c r="B217" i="3"/>
  <c r="K216" i="3"/>
  <c r="I216" i="3"/>
  <c r="H216" i="3"/>
  <c r="F216" i="3"/>
  <c r="D216" i="3"/>
  <c r="C216" i="3"/>
  <c r="B216" i="3"/>
  <c r="N215" i="3"/>
  <c r="K215" i="3"/>
  <c r="I215" i="3"/>
  <c r="H215" i="3"/>
  <c r="F215" i="3"/>
  <c r="D215" i="3"/>
  <c r="C215" i="3"/>
  <c r="B215" i="3"/>
  <c r="K214" i="3"/>
  <c r="I214" i="3"/>
  <c r="H214" i="3"/>
  <c r="F214" i="3"/>
  <c r="D214" i="3"/>
  <c r="C214" i="3"/>
  <c r="B214" i="3"/>
  <c r="K213" i="3"/>
  <c r="I213" i="3"/>
  <c r="H213" i="3"/>
  <c r="F213" i="3"/>
  <c r="D213" i="3"/>
  <c r="C213" i="3"/>
  <c r="B213" i="3"/>
  <c r="K212" i="3"/>
  <c r="I212" i="3"/>
  <c r="H212" i="3"/>
  <c r="F212" i="3"/>
  <c r="D212" i="3"/>
  <c r="C212" i="3"/>
  <c r="B212" i="3"/>
  <c r="K211" i="3"/>
  <c r="I211" i="3"/>
  <c r="H211" i="3"/>
  <c r="F211" i="3"/>
  <c r="D211" i="3"/>
  <c r="C211" i="3"/>
  <c r="B211" i="3"/>
  <c r="K210" i="3"/>
  <c r="I210" i="3"/>
  <c r="H210" i="3"/>
  <c r="F210" i="3"/>
  <c r="D210" i="3"/>
  <c r="C210" i="3"/>
  <c r="B210" i="3"/>
  <c r="K209" i="3"/>
  <c r="I209" i="3"/>
  <c r="H209" i="3"/>
  <c r="F209" i="3"/>
  <c r="D209" i="3"/>
  <c r="C209" i="3"/>
  <c r="B209" i="3"/>
  <c r="K208" i="3"/>
  <c r="I208" i="3"/>
  <c r="H208" i="3"/>
  <c r="F208" i="3"/>
  <c r="D208" i="3"/>
  <c r="C208" i="3"/>
  <c r="B208" i="3"/>
  <c r="K207" i="3"/>
  <c r="I207" i="3"/>
  <c r="H207" i="3"/>
  <c r="F207" i="3"/>
  <c r="D207" i="3"/>
  <c r="C207" i="3"/>
  <c r="B207" i="3"/>
  <c r="K206" i="3"/>
  <c r="I206" i="3"/>
  <c r="H206" i="3"/>
  <c r="F206" i="3"/>
  <c r="D206" i="3"/>
  <c r="C206" i="3"/>
  <c r="B206" i="3"/>
  <c r="K205" i="3"/>
  <c r="I205" i="3"/>
  <c r="H205" i="3"/>
  <c r="F205" i="3"/>
  <c r="D205" i="3"/>
  <c r="C205" i="3"/>
  <c r="B205" i="3"/>
  <c r="K204" i="3"/>
  <c r="I204" i="3"/>
  <c r="H204" i="3"/>
  <c r="F204" i="3"/>
  <c r="D204" i="3"/>
  <c r="C204" i="3"/>
  <c r="B204" i="3"/>
  <c r="K203" i="3"/>
  <c r="I203" i="3"/>
  <c r="H203" i="3"/>
  <c r="F203" i="3"/>
  <c r="D203" i="3"/>
  <c r="C203" i="3"/>
  <c r="B203" i="3"/>
  <c r="L202" i="3"/>
  <c r="K202" i="3"/>
  <c r="I202" i="3"/>
  <c r="H202" i="3"/>
  <c r="G202" i="3"/>
  <c r="F202" i="3"/>
  <c r="D202" i="3"/>
  <c r="C202" i="3"/>
  <c r="B202" i="3"/>
  <c r="H198" i="3"/>
  <c r="C198" i="3"/>
  <c r="K194" i="3"/>
  <c r="I194" i="3"/>
  <c r="H194" i="3"/>
  <c r="E194" i="3"/>
  <c r="C194" i="3"/>
  <c r="B194" i="3"/>
  <c r="K193" i="3"/>
  <c r="I193" i="3"/>
  <c r="H193" i="3"/>
  <c r="E193" i="3"/>
  <c r="C193" i="3"/>
  <c r="B193" i="3"/>
  <c r="K192" i="3"/>
  <c r="I192" i="3"/>
  <c r="H192" i="3"/>
  <c r="E192" i="3"/>
  <c r="C192" i="3"/>
  <c r="B192" i="3"/>
  <c r="K191" i="3"/>
  <c r="I191" i="3"/>
  <c r="H191" i="3"/>
  <c r="E191" i="3"/>
  <c r="C191" i="3"/>
  <c r="B191" i="3"/>
  <c r="K190" i="3"/>
  <c r="I190" i="3"/>
  <c r="H190" i="3"/>
  <c r="E190" i="3"/>
  <c r="C190" i="3"/>
  <c r="B190" i="3"/>
  <c r="N189" i="3"/>
  <c r="K189" i="3"/>
  <c r="I189" i="3"/>
  <c r="H189" i="3"/>
  <c r="E189" i="3"/>
  <c r="C189" i="3"/>
  <c r="B189" i="3"/>
  <c r="K188" i="3"/>
  <c r="I188" i="3"/>
  <c r="H188" i="3"/>
  <c r="E188" i="3"/>
  <c r="C188" i="3"/>
  <c r="B188" i="3"/>
  <c r="K187" i="3"/>
  <c r="I187" i="3"/>
  <c r="H187" i="3"/>
  <c r="E187" i="3"/>
  <c r="C187" i="3"/>
  <c r="B187" i="3"/>
  <c r="K186" i="3"/>
  <c r="I186" i="3"/>
  <c r="H186" i="3"/>
  <c r="E186" i="3"/>
  <c r="C186" i="3"/>
  <c r="B186" i="3"/>
  <c r="K185" i="3"/>
  <c r="I185" i="3"/>
  <c r="H185" i="3"/>
  <c r="E185" i="3"/>
  <c r="C185" i="3"/>
  <c r="B185" i="3"/>
  <c r="K184" i="3"/>
  <c r="I184" i="3"/>
  <c r="H184" i="3"/>
  <c r="E184" i="3"/>
  <c r="C184" i="3"/>
  <c r="B184" i="3"/>
  <c r="K183" i="3"/>
  <c r="I183" i="3"/>
  <c r="H183" i="3"/>
  <c r="E183" i="3"/>
  <c r="C183" i="3"/>
  <c r="B183" i="3"/>
  <c r="K182" i="3"/>
  <c r="I182" i="3"/>
  <c r="H182" i="3"/>
  <c r="E182" i="3"/>
  <c r="C182" i="3"/>
  <c r="B182" i="3"/>
  <c r="K181" i="3"/>
  <c r="I181" i="3"/>
  <c r="H181" i="3"/>
  <c r="E181" i="3"/>
  <c r="C181" i="3"/>
  <c r="B181" i="3"/>
  <c r="K180" i="3"/>
  <c r="I180" i="3"/>
  <c r="H180" i="3"/>
  <c r="E180" i="3"/>
  <c r="C180" i="3"/>
  <c r="B180" i="3"/>
  <c r="K179" i="3"/>
  <c r="I179" i="3"/>
  <c r="H179" i="3"/>
  <c r="E179" i="3"/>
  <c r="C179" i="3"/>
  <c r="B179" i="3"/>
  <c r="K178" i="3"/>
  <c r="I178" i="3"/>
  <c r="H178" i="3"/>
  <c r="E178" i="3"/>
  <c r="C178" i="3"/>
  <c r="B178" i="3"/>
  <c r="K177" i="3"/>
  <c r="I177" i="3"/>
  <c r="H177" i="3"/>
  <c r="E177" i="3"/>
  <c r="C177" i="3"/>
  <c r="B177" i="3"/>
  <c r="L176" i="3"/>
  <c r="K176" i="3"/>
  <c r="I176" i="3"/>
  <c r="H176" i="3"/>
  <c r="E176" i="3"/>
  <c r="C176" i="3"/>
  <c r="B176" i="3"/>
  <c r="I171" i="3"/>
  <c r="H171" i="3"/>
  <c r="G171" i="3"/>
  <c r="D171" i="3"/>
  <c r="I170" i="3"/>
  <c r="H170" i="3"/>
  <c r="G170" i="3"/>
  <c r="D170" i="3"/>
  <c r="I169" i="3"/>
  <c r="H169" i="3"/>
  <c r="G169" i="3"/>
  <c r="D169" i="3"/>
  <c r="I168" i="3"/>
  <c r="H168" i="3"/>
  <c r="G168" i="3"/>
  <c r="D168" i="3"/>
  <c r="I167" i="3"/>
  <c r="H167" i="3"/>
  <c r="G167" i="3"/>
  <c r="D167" i="3"/>
  <c r="I166" i="3"/>
  <c r="H166" i="3"/>
  <c r="G166" i="3"/>
  <c r="D166" i="3"/>
  <c r="I165" i="3"/>
  <c r="H165" i="3"/>
  <c r="G165" i="3"/>
  <c r="D165" i="3"/>
  <c r="I164" i="3"/>
  <c r="H164" i="3"/>
  <c r="G164" i="3"/>
  <c r="D164" i="3"/>
  <c r="J163" i="3"/>
  <c r="I163" i="3"/>
  <c r="H163" i="3"/>
  <c r="G163" i="3"/>
  <c r="D163" i="3"/>
  <c r="I162" i="3"/>
  <c r="H162" i="3"/>
  <c r="G162" i="3"/>
  <c r="D162" i="3"/>
  <c r="L161" i="3"/>
  <c r="I161" i="3"/>
  <c r="H161" i="3"/>
  <c r="G161" i="3"/>
  <c r="D161" i="3"/>
  <c r="I160" i="3"/>
  <c r="H160" i="3"/>
  <c r="G160" i="3"/>
  <c r="D160" i="3"/>
  <c r="I159" i="3"/>
  <c r="H159" i="3"/>
  <c r="G159" i="3"/>
  <c r="D159" i="3"/>
  <c r="L158" i="3"/>
  <c r="I158" i="3"/>
  <c r="H158" i="3"/>
  <c r="G158" i="3"/>
  <c r="D158" i="3"/>
  <c r="I157" i="3"/>
  <c r="H157" i="3"/>
  <c r="G157" i="3"/>
  <c r="D157" i="3"/>
  <c r="I156" i="3"/>
  <c r="H156" i="3"/>
  <c r="G156" i="3"/>
  <c r="D156" i="3"/>
  <c r="I155" i="3"/>
  <c r="H155" i="3"/>
  <c r="G155" i="3"/>
  <c r="D155" i="3"/>
  <c r="I154" i="3"/>
  <c r="H154" i="3"/>
  <c r="G154" i="3"/>
  <c r="D154" i="3"/>
  <c r="I153" i="3"/>
  <c r="H153" i="3"/>
  <c r="G153" i="3"/>
  <c r="D153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B136" i="3"/>
  <c r="F135" i="3"/>
  <c r="E135" i="3"/>
  <c r="D135" i="3"/>
  <c r="F134" i="3"/>
  <c r="E134" i="3"/>
  <c r="D134" i="3"/>
  <c r="B134" i="3"/>
  <c r="F133" i="3"/>
  <c r="E133" i="3"/>
  <c r="D133" i="3"/>
  <c r="F132" i="3"/>
  <c r="E132" i="3"/>
  <c r="D132" i="3"/>
  <c r="B132" i="3"/>
  <c r="F131" i="3"/>
  <c r="E131" i="3"/>
  <c r="D131" i="3"/>
  <c r="F130" i="3"/>
  <c r="E130" i="3"/>
  <c r="D130" i="3"/>
  <c r="F129" i="3"/>
  <c r="E129" i="3"/>
  <c r="D129" i="3"/>
  <c r="H128" i="3"/>
  <c r="F128" i="3"/>
  <c r="E128" i="3"/>
  <c r="D128" i="3"/>
  <c r="D124" i="3"/>
  <c r="D123" i="3"/>
  <c r="D122" i="3"/>
  <c r="D121" i="3"/>
  <c r="D120" i="3"/>
  <c r="D119" i="3"/>
  <c r="D118" i="3"/>
  <c r="D117" i="3"/>
  <c r="D116" i="3"/>
  <c r="D115" i="3"/>
  <c r="J114" i="3"/>
  <c r="D114" i="3"/>
  <c r="D113" i="3"/>
  <c r="D112" i="3"/>
  <c r="J111" i="3"/>
  <c r="D111" i="3"/>
  <c r="D110" i="3"/>
  <c r="D109" i="3"/>
  <c r="D108" i="3"/>
  <c r="D107" i="3"/>
  <c r="D106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J89" i="3"/>
  <c r="E89" i="3"/>
  <c r="D89" i="3"/>
  <c r="E88" i="3"/>
  <c r="D88" i="3"/>
  <c r="E87" i="3"/>
  <c r="D87" i="3"/>
  <c r="J86" i="3"/>
  <c r="E86" i="3"/>
  <c r="D86" i="3"/>
  <c r="E85" i="3"/>
  <c r="D85" i="3"/>
  <c r="E84" i="3"/>
  <c r="D84" i="3"/>
  <c r="E83" i="3"/>
  <c r="D83" i="3"/>
  <c r="A80" i="3"/>
  <c r="B73" i="3"/>
  <c r="B72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D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B53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G9" i="3"/>
  <c r="F9" i="3"/>
  <c r="E9" i="3"/>
  <c r="G6" i="3"/>
  <c r="F6" i="3"/>
  <c r="E6" i="3"/>
  <c r="L5" i="3"/>
  <c r="K5" i="3"/>
  <c r="J5" i="3"/>
  <c r="L2" i="3"/>
  <c r="K2" i="3"/>
  <c r="H2" i="3"/>
  <c r="G2" i="3"/>
  <c r="E2" i="3"/>
  <c r="K292" i="1"/>
  <c r="K292" i="1" a="1"/>
  <c r="J292" i="1"/>
  <c r="I292" i="1"/>
  <c r="H292" i="1"/>
  <c r="E292" i="1"/>
  <c r="E292" i="1" a="1"/>
  <c r="D292" i="1"/>
  <c r="C292" i="1"/>
  <c r="B292" i="1"/>
  <c r="K291" i="1"/>
  <c r="K291" i="1" a="1"/>
  <c r="J291" i="1"/>
  <c r="I291" i="1"/>
  <c r="H291" i="1"/>
  <c r="E291" i="1"/>
  <c r="E291" i="1" a="1"/>
  <c r="D291" i="1"/>
  <c r="C291" i="1"/>
  <c r="B291" i="1"/>
  <c r="K290" i="1"/>
  <c r="K290" i="1" a="1"/>
  <c r="J290" i="1"/>
  <c r="I290" i="1"/>
  <c r="H290" i="1"/>
  <c r="E290" i="1"/>
  <c r="E290" i="1" a="1"/>
  <c r="D290" i="1"/>
  <c r="C290" i="1"/>
  <c r="B290" i="1"/>
  <c r="K289" i="1"/>
  <c r="K289" i="1" a="1"/>
  <c r="J289" i="1"/>
  <c r="I289" i="1"/>
  <c r="H289" i="1"/>
  <c r="E289" i="1"/>
  <c r="E289" i="1" a="1"/>
  <c r="D289" i="1"/>
  <c r="C289" i="1"/>
  <c r="B289" i="1"/>
  <c r="K288" i="1"/>
  <c r="K288" i="1" a="1"/>
  <c r="J288" i="1"/>
  <c r="I288" i="1"/>
  <c r="H288" i="1"/>
  <c r="E288" i="1"/>
  <c r="E288" i="1" a="1"/>
  <c r="D288" i="1"/>
  <c r="C288" i="1"/>
  <c r="B288" i="1"/>
  <c r="K287" i="1"/>
  <c r="K287" i="1" a="1"/>
  <c r="J287" i="1"/>
  <c r="I287" i="1"/>
  <c r="H287" i="1"/>
  <c r="E287" i="1"/>
  <c r="E287" i="1" a="1"/>
  <c r="D287" i="1"/>
  <c r="C287" i="1"/>
  <c r="B287" i="1"/>
  <c r="K286" i="1"/>
  <c r="K286" i="1" a="1"/>
  <c r="J286" i="1"/>
  <c r="I286" i="1"/>
  <c r="H286" i="1"/>
  <c r="E286" i="1"/>
  <c r="E286" i="1" a="1"/>
  <c r="D286" i="1"/>
  <c r="C286" i="1"/>
  <c r="B286" i="1"/>
  <c r="K285" i="1"/>
  <c r="K285" i="1" a="1"/>
  <c r="J285" i="1"/>
  <c r="I285" i="1"/>
  <c r="H285" i="1"/>
  <c r="E285" i="1"/>
  <c r="E285" i="1" a="1"/>
  <c r="D285" i="1"/>
  <c r="C285" i="1"/>
  <c r="B285" i="1"/>
  <c r="K284" i="1"/>
  <c r="K284" i="1" a="1"/>
  <c r="J284" i="1"/>
  <c r="I284" i="1"/>
  <c r="H284" i="1"/>
  <c r="E284" i="1"/>
  <c r="E284" i="1" a="1"/>
  <c r="D284" i="1"/>
  <c r="C284" i="1"/>
  <c r="B284" i="1"/>
  <c r="K283" i="1"/>
  <c r="K283" i="1" a="1"/>
  <c r="J283" i="1"/>
  <c r="I283" i="1"/>
  <c r="H283" i="1"/>
  <c r="E283" i="1"/>
  <c r="E283" i="1" a="1"/>
  <c r="D283" i="1"/>
  <c r="C283" i="1"/>
  <c r="B283" i="1"/>
  <c r="K282" i="1"/>
  <c r="K282" i="1" a="1"/>
  <c r="J282" i="1"/>
  <c r="I282" i="1"/>
  <c r="H282" i="1"/>
  <c r="E282" i="1"/>
  <c r="E282" i="1" a="1"/>
  <c r="D282" i="1"/>
  <c r="C282" i="1"/>
  <c r="B282" i="1"/>
  <c r="K281" i="1"/>
  <c r="K281" i="1" a="1"/>
  <c r="J281" i="1"/>
  <c r="I281" i="1"/>
  <c r="H281" i="1"/>
  <c r="E281" i="1"/>
  <c r="E281" i="1" a="1"/>
  <c r="D281" i="1"/>
  <c r="C281" i="1"/>
  <c r="B281" i="1"/>
  <c r="K280" i="1"/>
  <c r="K280" i="1" a="1"/>
  <c r="J280" i="1"/>
  <c r="I280" i="1"/>
  <c r="H280" i="1"/>
  <c r="E280" i="1"/>
  <c r="E280" i="1" a="1"/>
  <c r="D280" i="1"/>
  <c r="C280" i="1"/>
  <c r="B280" i="1"/>
  <c r="K279" i="1"/>
  <c r="K279" i="1" a="1"/>
  <c r="J279" i="1"/>
  <c r="I279" i="1"/>
  <c r="H279" i="1"/>
  <c r="E279" i="1"/>
  <c r="E279" i="1" a="1"/>
  <c r="D279" i="1"/>
  <c r="C279" i="1"/>
  <c r="B279" i="1"/>
  <c r="K278" i="1"/>
  <c r="K278" i="1" a="1"/>
  <c r="J278" i="1"/>
  <c r="I278" i="1"/>
  <c r="H278" i="1"/>
  <c r="E278" i="1"/>
  <c r="E278" i="1" a="1"/>
  <c r="D278" i="1"/>
  <c r="C278" i="1"/>
  <c r="B278" i="1"/>
  <c r="K277" i="1"/>
  <c r="K277" i="1" a="1"/>
  <c r="J277" i="1"/>
  <c r="I277" i="1"/>
  <c r="H277" i="1"/>
  <c r="E277" i="1"/>
  <c r="E277" i="1" a="1"/>
  <c r="D277" i="1"/>
  <c r="C277" i="1"/>
  <c r="B277" i="1"/>
  <c r="K276" i="1"/>
  <c r="K276" i="1" a="1"/>
  <c r="J276" i="1"/>
  <c r="I276" i="1"/>
  <c r="H276" i="1"/>
  <c r="E276" i="1"/>
  <c r="E276" i="1" a="1"/>
  <c r="D276" i="1"/>
  <c r="C276" i="1"/>
  <c r="B276" i="1"/>
  <c r="K275" i="1"/>
  <c r="K275" i="1" a="1"/>
  <c r="J275" i="1"/>
  <c r="I275" i="1"/>
  <c r="H275" i="1"/>
  <c r="E275" i="1"/>
  <c r="E275" i="1" a="1"/>
  <c r="D275" i="1"/>
  <c r="C275" i="1"/>
  <c r="B275" i="1"/>
  <c r="K274" i="1"/>
  <c r="K274" i="1" a="1"/>
  <c r="J274" i="1"/>
  <c r="I274" i="1"/>
  <c r="H274" i="1"/>
  <c r="E274" i="1"/>
  <c r="E274" i="1" a="1"/>
  <c r="D274" i="1"/>
  <c r="C274" i="1"/>
  <c r="B274" i="1"/>
  <c r="J244" i="1"/>
  <c r="I244" i="1"/>
  <c r="H244" i="1"/>
  <c r="D244" i="1"/>
  <c r="C244" i="1"/>
  <c r="B244" i="1"/>
  <c r="J243" i="1"/>
  <c r="I243" i="1"/>
  <c r="H243" i="1"/>
  <c r="D243" i="1"/>
  <c r="C243" i="1"/>
  <c r="B243" i="1"/>
  <c r="J242" i="1"/>
  <c r="I242" i="1"/>
  <c r="H242" i="1"/>
  <c r="D242" i="1"/>
  <c r="C242" i="1"/>
  <c r="B242" i="1"/>
  <c r="J241" i="1"/>
  <c r="I241" i="1"/>
  <c r="H241" i="1"/>
  <c r="D241" i="1"/>
  <c r="C241" i="1"/>
  <c r="B241" i="1"/>
  <c r="J240" i="1"/>
  <c r="I240" i="1"/>
  <c r="H240" i="1"/>
  <c r="D240" i="1"/>
  <c r="C240" i="1"/>
  <c r="B240" i="1"/>
  <c r="J239" i="1"/>
  <c r="I239" i="1"/>
  <c r="H239" i="1"/>
  <c r="D239" i="1"/>
  <c r="C239" i="1"/>
  <c r="B239" i="1"/>
  <c r="J238" i="1"/>
  <c r="I238" i="1"/>
  <c r="H238" i="1"/>
  <c r="D238" i="1"/>
  <c r="C238" i="1"/>
  <c r="B238" i="1"/>
  <c r="J237" i="1"/>
  <c r="I237" i="1"/>
  <c r="H237" i="1"/>
  <c r="D237" i="1"/>
  <c r="C237" i="1"/>
  <c r="B237" i="1"/>
  <c r="J236" i="1"/>
  <c r="I236" i="1"/>
  <c r="H236" i="1"/>
  <c r="D236" i="1"/>
  <c r="C236" i="1"/>
  <c r="B236" i="1"/>
  <c r="J235" i="1"/>
  <c r="I235" i="1"/>
  <c r="H235" i="1"/>
  <c r="D235" i="1"/>
  <c r="C235" i="1"/>
  <c r="B235" i="1"/>
  <c r="J234" i="1"/>
  <c r="I234" i="1"/>
  <c r="H234" i="1"/>
  <c r="D234" i="1"/>
  <c r="C234" i="1"/>
  <c r="B234" i="1"/>
  <c r="J233" i="1"/>
  <c r="I233" i="1"/>
  <c r="H233" i="1"/>
  <c r="D233" i="1"/>
  <c r="C233" i="1"/>
  <c r="B233" i="1"/>
  <c r="J232" i="1"/>
  <c r="I232" i="1"/>
  <c r="H232" i="1"/>
  <c r="D232" i="1"/>
  <c r="C232" i="1"/>
  <c r="B232" i="1"/>
  <c r="J231" i="1"/>
  <c r="I231" i="1"/>
  <c r="H231" i="1"/>
  <c r="D231" i="1"/>
  <c r="C231" i="1"/>
  <c r="B231" i="1"/>
  <c r="J230" i="1"/>
  <c r="I230" i="1"/>
  <c r="H230" i="1"/>
  <c r="D230" i="1"/>
  <c r="C230" i="1"/>
  <c r="B230" i="1"/>
  <c r="J229" i="1"/>
  <c r="I229" i="1"/>
  <c r="H229" i="1"/>
  <c r="D229" i="1"/>
  <c r="C229" i="1"/>
  <c r="B229" i="1"/>
  <c r="J228" i="1"/>
  <c r="I228" i="1"/>
  <c r="H228" i="1"/>
  <c r="D228" i="1"/>
  <c r="C228" i="1"/>
  <c r="B228" i="1"/>
  <c r="J227" i="1"/>
  <c r="I227" i="1"/>
  <c r="H227" i="1"/>
  <c r="D227" i="1"/>
  <c r="C227" i="1"/>
  <c r="B227" i="1"/>
  <c r="J226" i="1"/>
  <c r="I226" i="1"/>
  <c r="H226" i="1"/>
  <c r="D226" i="1"/>
  <c r="C226" i="1"/>
  <c r="B226" i="1"/>
  <c r="K220" i="1"/>
  <c r="I220" i="1"/>
  <c r="H220" i="1"/>
  <c r="F220" i="1"/>
  <c r="C220" i="1"/>
  <c r="B220" i="1"/>
  <c r="K219" i="1"/>
  <c r="I219" i="1"/>
  <c r="H219" i="1"/>
  <c r="F219" i="1"/>
  <c r="C219" i="1"/>
  <c r="B219" i="1"/>
  <c r="K218" i="1"/>
  <c r="I218" i="1"/>
  <c r="H218" i="1"/>
  <c r="F218" i="1"/>
  <c r="C218" i="1"/>
  <c r="B218" i="1"/>
  <c r="K217" i="1"/>
  <c r="I217" i="1"/>
  <c r="H217" i="1"/>
  <c r="F217" i="1"/>
  <c r="C217" i="1"/>
  <c r="B217" i="1"/>
  <c r="K216" i="1"/>
  <c r="I216" i="1"/>
  <c r="H216" i="1"/>
  <c r="F216" i="1"/>
  <c r="C216" i="1"/>
  <c r="B216" i="1"/>
  <c r="K215" i="1"/>
  <c r="I215" i="1"/>
  <c r="H215" i="1"/>
  <c r="F215" i="1"/>
  <c r="C215" i="1"/>
  <c r="B215" i="1"/>
  <c r="K214" i="1"/>
  <c r="I214" i="1"/>
  <c r="H214" i="1"/>
  <c r="F214" i="1"/>
  <c r="C214" i="1"/>
  <c r="B214" i="1"/>
  <c r="K213" i="1"/>
  <c r="I213" i="1"/>
  <c r="H213" i="1"/>
  <c r="F213" i="1"/>
  <c r="C213" i="1"/>
  <c r="B213" i="1"/>
  <c r="K212" i="1"/>
  <c r="I212" i="1"/>
  <c r="H212" i="1"/>
  <c r="F212" i="1"/>
  <c r="C212" i="1"/>
  <c r="B212" i="1"/>
  <c r="K211" i="1"/>
  <c r="I211" i="1"/>
  <c r="H211" i="1"/>
  <c r="F211" i="1"/>
  <c r="C211" i="1"/>
  <c r="B211" i="1"/>
  <c r="K210" i="1"/>
  <c r="I210" i="1"/>
  <c r="H210" i="1"/>
  <c r="F210" i="1"/>
  <c r="C210" i="1"/>
  <c r="B210" i="1"/>
  <c r="K209" i="1"/>
  <c r="I209" i="1"/>
  <c r="H209" i="1"/>
  <c r="F209" i="1"/>
  <c r="C209" i="1"/>
  <c r="B209" i="1"/>
  <c r="K208" i="1"/>
  <c r="I208" i="1"/>
  <c r="H208" i="1"/>
  <c r="F208" i="1"/>
  <c r="C208" i="1"/>
  <c r="B208" i="1"/>
  <c r="K207" i="1"/>
  <c r="I207" i="1"/>
  <c r="H207" i="1"/>
  <c r="F207" i="1"/>
  <c r="C207" i="1"/>
  <c r="B207" i="1"/>
  <c r="K206" i="1"/>
  <c r="I206" i="1"/>
  <c r="H206" i="1"/>
  <c r="F206" i="1"/>
  <c r="C206" i="1"/>
  <c r="B206" i="1"/>
  <c r="K205" i="1"/>
  <c r="I205" i="1"/>
  <c r="H205" i="1"/>
  <c r="F205" i="1"/>
  <c r="C205" i="1"/>
  <c r="B205" i="1"/>
  <c r="K204" i="1"/>
  <c r="I204" i="1"/>
  <c r="H204" i="1"/>
  <c r="F204" i="1"/>
  <c r="C204" i="1"/>
  <c r="B204" i="1"/>
  <c r="K203" i="1"/>
  <c r="I203" i="1"/>
  <c r="H203" i="1"/>
  <c r="F203" i="1"/>
  <c r="C203" i="1"/>
  <c r="B203" i="1"/>
  <c r="K202" i="1"/>
  <c r="I202" i="1"/>
  <c r="H202" i="1"/>
  <c r="F202" i="1"/>
  <c r="C202" i="1"/>
  <c r="B202" i="1"/>
  <c r="C198" i="1"/>
  <c r="J218" i="1" s="1"/>
  <c r="K194" i="1"/>
  <c r="K194" i="1" a="1"/>
  <c r="J194" i="1"/>
  <c r="I194" i="1"/>
  <c r="H194" i="1"/>
  <c r="E194" i="1"/>
  <c r="E194" i="1" a="1"/>
  <c r="D194" i="1"/>
  <c r="C194" i="1"/>
  <c r="B194" i="1"/>
  <c r="K193" i="1"/>
  <c r="K193" i="1" a="1"/>
  <c r="J193" i="1"/>
  <c r="I193" i="1"/>
  <c r="H193" i="1"/>
  <c r="E193" i="1"/>
  <c r="E193" i="1" a="1"/>
  <c r="D193" i="1"/>
  <c r="C193" i="1"/>
  <c r="B193" i="1"/>
  <c r="K192" i="1"/>
  <c r="K192" i="1" a="1"/>
  <c r="J192" i="1"/>
  <c r="I192" i="1"/>
  <c r="H192" i="1"/>
  <c r="E192" i="1"/>
  <c r="E192" i="1" a="1"/>
  <c r="D192" i="1"/>
  <c r="C192" i="1"/>
  <c r="B192" i="1"/>
  <c r="K191" i="1"/>
  <c r="K191" i="1" a="1"/>
  <c r="J191" i="1"/>
  <c r="I191" i="1"/>
  <c r="H191" i="1"/>
  <c r="E191" i="1"/>
  <c r="E191" i="1" a="1"/>
  <c r="D191" i="1"/>
  <c r="C191" i="1"/>
  <c r="B191" i="1"/>
  <c r="K190" i="1"/>
  <c r="K190" i="1" a="1"/>
  <c r="J190" i="1"/>
  <c r="I190" i="1"/>
  <c r="H190" i="1"/>
  <c r="E190" i="1"/>
  <c r="E190" i="1" a="1"/>
  <c r="D190" i="1"/>
  <c r="C190" i="1"/>
  <c r="B190" i="1"/>
  <c r="N189" i="1"/>
  <c r="K189" i="1"/>
  <c r="K189" i="1" a="1"/>
  <c r="J189" i="1"/>
  <c r="I189" i="1"/>
  <c r="H189" i="1"/>
  <c r="E189" i="1"/>
  <c r="E189" i="1" a="1"/>
  <c r="D189" i="1"/>
  <c r="C189" i="1"/>
  <c r="B189" i="1"/>
  <c r="K188" i="1"/>
  <c r="K188" i="1" a="1"/>
  <c r="J188" i="1"/>
  <c r="I188" i="1"/>
  <c r="H188" i="1"/>
  <c r="E188" i="1"/>
  <c r="E188" i="1" a="1"/>
  <c r="D188" i="1"/>
  <c r="C188" i="1"/>
  <c r="B188" i="1"/>
  <c r="K187" i="1"/>
  <c r="K187" i="1" a="1"/>
  <c r="J187" i="1"/>
  <c r="I187" i="1"/>
  <c r="H187" i="1"/>
  <c r="E187" i="1"/>
  <c r="E187" i="1" a="1"/>
  <c r="D187" i="1"/>
  <c r="C187" i="1"/>
  <c r="B187" i="1"/>
  <c r="K186" i="1"/>
  <c r="K186" i="1" a="1"/>
  <c r="J186" i="1"/>
  <c r="I186" i="1"/>
  <c r="H186" i="1"/>
  <c r="E186" i="1"/>
  <c r="E186" i="1" a="1"/>
  <c r="D186" i="1"/>
  <c r="C186" i="1"/>
  <c r="B186" i="1"/>
  <c r="K185" i="1"/>
  <c r="K185" i="1" a="1"/>
  <c r="J185" i="1"/>
  <c r="I185" i="1"/>
  <c r="H185" i="1"/>
  <c r="E185" i="1"/>
  <c r="E185" i="1" a="1"/>
  <c r="D185" i="1"/>
  <c r="C185" i="1"/>
  <c r="B185" i="1"/>
  <c r="K184" i="1"/>
  <c r="K184" i="1" a="1"/>
  <c r="J184" i="1"/>
  <c r="I184" i="1"/>
  <c r="H184" i="1"/>
  <c r="E184" i="1"/>
  <c r="E184" i="1" a="1"/>
  <c r="D184" i="1"/>
  <c r="C184" i="1"/>
  <c r="B184" i="1"/>
  <c r="K183" i="1"/>
  <c r="K183" i="1" a="1"/>
  <c r="J183" i="1"/>
  <c r="I183" i="1"/>
  <c r="H183" i="1"/>
  <c r="E183" i="1"/>
  <c r="E183" i="1" a="1"/>
  <c r="D183" i="1"/>
  <c r="C183" i="1"/>
  <c r="B183" i="1"/>
  <c r="K182" i="1"/>
  <c r="K182" i="1" a="1"/>
  <c r="J182" i="1"/>
  <c r="I182" i="1"/>
  <c r="H182" i="1"/>
  <c r="E182" i="1"/>
  <c r="E182" i="1" a="1"/>
  <c r="D182" i="1"/>
  <c r="C182" i="1"/>
  <c r="B182" i="1"/>
  <c r="K181" i="1"/>
  <c r="K181" i="1" a="1"/>
  <c r="J181" i="1"/>
  <c r="I181" i="1"/>
  <c r="H181" i="1"/>
  <c r="E181" i="1"/>
  <c r="E181" i="1" a="1"/>
  <c r="D181" i="1"/>
  <c r="C181" i="1"/>
  <c r="B181" i="1"/>
  <c r="K180" i="1"/>
  <c r="K180" i="1" a="1"/>
  <c r="J180" i="1"/>
  <c r="I180" i="1"/>
  <c r="H180" i="1"/>
  <c r="E180" i="1"/>
  <c r="E180" i="1" a="1"/>
  <c r="D180" i="1"/>
  <c r="C180" i="1"/>
  <c r="B180" i="1"/>
  <c r="K179" i="1"/>
  <c r="K179" i="1" a="1"/>
  <c r="J179" i="1"/>
  <c r="I179" i="1"/>
  <c r="H179" i="1"/>
  <c r="E179" i="1"/>
  <c r="E179" i="1" a="1"/>
  <c r="D179" i="1"/>
  <c r="C179" i="1"/>
  <c r="B179" i="1"/>
  <c r="K178" i="1"/>
  <c r="K178" i="1" a="1"/>
  <c r="J178" i="1"/>
  <c r="I178" i="1"/>
  <c r="H178" i="1"/>
  <c r="E178" i="1"/>
  <c r="E178" i="1" a="1"/>
  <c r="D178" i="1"/>
  <c r="C178" i="1"/>
  <c r="B178" i="1"/>
  <c r="K177" i="1"/>
  <c r="K177" i="1" a="1"/>
  <c r="J177" i="1"/>
  <c r="I177" i="1"/>
  <c r="H177" i="1"/>
  <c r="E177" i="1"/>
  <c r="E177" i="1" a="1"/>
  <c r="D177" i="1"/>
  <c r="C177" i="1"/>
  <c r="B177" i="1"/>
  <c r="L176" i="1"/>
  <c r="K176" i="1"/>
  <c r="K176" i="1" a="1"/>
  <c r="J176" i="1"/>
  <c r="I176" i="1"/>
  <c r="H176" i="1"/>
  <c r="E176" i="1"/>
  <c r="E176" i="1" a="1"/>
  <c r="D176" i="1"/>
  <c r="C176" i="1"/>
  <c r="B176" i="1"/>
  <c r="H171" i="1"/>
  <c r="I171" i="1" s="1"/>
  <c r="G171" i="1"/>
  <c r="E171" i="1"/>
  <c r="D171" i="1"/>
  <c r="H170" i="1"/>
  <c r="I170" i="1" s="1"/>
  <c r="G170" i="1"/>
  <c r="E170" i="1"/>
  <c r="D170" i="1"/>
  <c r="H169" i="1"/>
  <c r="I169" i="1" s="1"/>
  <c r="G169" i="1"/>
  <c r="E169" i="1"/>
  <c r="D169" i="1"/>
  <c r="H168" i="1"/>
  <c r="I168" i="1" s="1"/>
  <c r="G168" i="1"/>
  <c r="E168" i="1"/>
  <c r="D168" i="1"/>
  <c r="H167" i="1"/>
  <c r="I167" i="1" s="1"/>
  <c r="G167" i="1"/>
  <c r="E167" i="1"/>
  <c r="D167" i="1"/>
  <c r="H166" i="1"/>
  <c r="I166" i="1" s="1"/>
  <c r="G166" i="1"/>
  <c r="E166" i="1"/>
  <c r="D166" i="1"/>
  <c r="H165" i="1"/>
  <c r="I165" i="1" s="1"/>
  <c r="G165" i="1"/>
  <c r="E165" i="1"/>
  <c r="D165" i="1"/>
  <c r="H164" i="1"/>
  <c r="I164" i="1" s="1"/>
  <c r="G164" i="1"/>
  <c r="E164" i="1"/>
  <c r="D164" i="1"/>
  <c r="H163" i="1"/>
  <c r="I163" i="1" s="1"/>
  <c r="G163" i="1"/>
  <c r="E163" i="1"/>
  <c r="D163" i="1"/>
  <c r="H162" i="1"/>
  <c r="I162" i="1" s="1"/>
  <c r="G162" i="1"/>
  <c r="E162" i="1"/>
  <c r="D162" i="1"/>
  <c r="H161" i="1"/>
  <c r="I161" i="1" s="1"/>
  <c r="G161" i="1"/>
  <c r="E161" i="1"/>
  <c r="D161" i="1"/>
  <c r="H160" i="1"/>
  <c r="I160" i="1" s="1"/>
  <c r="G160" i="1"/>
  <c r="E160" i="1"/>
  <c r="D160" i="1"/>
  <c r="H159" i="1"/>
  <c r="I159" i="1" s="1"/>
  <c r="G159" i="1"/>
  <c r="E159" i="1"/>
  <c r="D159" i="1"/>
  <c r="H158" i="1"/>
  <c r="I158" i="1" s="1"/>
  <c r="G158" i="1"/>
  <c r="E158" i="1"/>
  <c r="D158" i="1"/>
  <c r="H157" i="1"/>
  <c r="I157" i="1" s="1"/>
  <c r="G157" i="1"/>
  <c r="E157" i="1"/>
  <c r="D157" i="1"/>
  <c r="H156" i="1"/>
  <c r="I156" i="1" s="1"/>
  <c r="G156" i="1"/>
  <c r="E156" i="1"/>
  <c r="D156" i="1"/>
  <c r="H155" i="1"/>
  <c r="I155" i="1" s="1"/>
  <c r="G155" i="1"/>
  <c r="E155" i="1"/>
  <c r="D155" i="1"/>
  <c r="H154" i="1"/>
  <c r="I154" i="1" s="1"/>
  <c r="G154" i="1"/>
  <c r="E154" i="1"/>
  <c r="D154" i="1"/>
  <c r="H153" i="1"/>
  <c r="I153" i="1" s="1"/>
  <c r="G153" i="1"/>
  <c r="E153" i="1"/>
  <c r="D153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B136" i="1"/>
  <c r="F135" i="1"/>
  <c r="D135" i="1"/>
  <c r="F134" i="1"/>
  <c r="D134" i="1"/>
  <c r="B134" i="1"/>
  <c r="C10" i="7" s="1"/>
  <c r="E10" i="7" s="1"/>
  <c r="F10" i="7" s="1"/>
  <c r="F133" i="1"/>
  <c r="D133" i="1"/>
  <c r="B133" i="1"/>
  <c r="F132" i="1"/>
  <c r="D132" i="1"/>
  <c r="F131" i="1"/>
  <c r="D131" i="1"/>
  <c r="F130" i="1"/>
  <c r="D130" i="1"/>
  <c r="F129" i="1"/>
  <c r="D129" i="1"/>
  <c r="F128" i="1"/>
  <c r="D128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J114" i="1"/>
  <c r="E114" i="1"/>
  <c r="D114" i="1"/>
  <c r="E113" i="1"/>
  <c r="D113" i="1"/>
  <c r="E112" i="1"/>
  <c r="D112" i="1"/>
  <c r="J111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J89" i="1"/>
  <c r="E89" i="1"/>
  <c r="D89" i="1"/>
  <c r="E88" i="1"/>
  <c r="D88" i="1"/>
  <c r="E87" i="1"/>
  <c r="D87" i="1"/>
  <c r="J86" i="1"/>
  <c r="E86" i="1"/>
  <c r="D86" i="1"/>
  <c r="E85" i="1"/>
  <c r="D85" i="1"/>
  <c r="E84" i="1"/>
  <c r="D84" i="1"/>
  <c r="E83" i="1"/>
  <c r="D83" i="1"/>
  <c r="B73" i="1"/>
  <c r="A80" i="1" s="1"/>
  <c r="B72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D59" i="1"/>
  <c r="D58" i="1"/>
  <c r="D57" i="1"/>
  <c r="D56" i="1"/>
  <c r="D55" i="1"/>
  <c r="D54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G9" i="1"/>
  <c r="F9" i="1"/>
  <c r="E9" i="1"/>
  <c r="G6" i="1"/>
  <c r="F6" i="1"/>
  <c r="E6" i="1"/>
  <c r="L5" i="1"/>
  <c r="J5" i="1"/>
  <c r="L2" i="1"/>
  <c r="K2" i="1"/>
  <c r="H2" i="1"/>
  <c r="G2" i="1"/>
  <c r="E2" i="1"/>
  <c r="E133" i="1" l="1"/>
  <c r="H37" i="7"/>
  <c r="I37" i="7" s="1"/>
  <c r="J37" i="7" s="1"/>
  <c r="H26" i="7"/>
  <c r="I26" i="7" s="1"/>
  <c r="J26" i="7" s="1"/>
  <c r="H33" i="7"/>
  <c r="I33" i="7" s="1"/>
  <c r="J33" i="7" s="1"/>
  <c r="H29" i="7"/>
  <c r="I29" i="7" s="1"/>
  <c r="J29" i="7" s="1"/>
  <c r="H25" i="7"/>
  <c r="I25" i="7" s="1"/>
  <c r="J25" i="7" s="1"/>
  <c r="H28" i="7"/>
  <c r="I28" i="7" s="1"/>
  <c r="J28" i="7" s="1"/>
  <c r="H19" i="7"/>
  <c r="I19" i="7" s="1"/>
  <c r="J19" i="7" s="1"/>
  <c r="H21" i="7"/>
  <c r="I21" i="7" s="1"/>
  <c r="J21" i="7" s="1"/>
  <c r="H24" i="7"/>
  <c r="I24" i="7" s="1"/>
  <c r="J24" i="7" s="1"/>
  <c r="H23" i="7"/>
  <c r="I23" i="7" s="1"/>
  <c r="J23" i="7" s="1"/>
  <c r="H36" i="7"/>
  <c r="I36" i="7" s="1"/>
  <c r="J36" i="7" s="1"/>
  <c r="H22" i="7"/>
  <c r="I22" i="7" s="1"/>
  <c r="J22" i="7" s="1"/>
  <c r="H32" i="7"/>
  <c r="I32" i="7" s="1"/>
  <c r="J32" i="7" s="1"/>
  <c r="H34" i="7"/>
  <c r="I34" i="7" s="1"/>
  <c r="J34" i="7" s="1"/>
  <c r="H20" i="7"/>
  <c r="I20" i="7" s="1"/>
  <c r="J20" i="7" s="1"/>
  <c r="H35" i="7"/>
  <c r="I35" i="7" s="1"/>
  <c r="J35" i="7" s="1"/>
  <c r="H31" i="7"/>
  <c r="I31" i="7" s="1"/>
  <c r="J31" i="7" s="1"/>
  <c r="H27" i="7"/>
  <c r="I27" i="7" s="1"/>
  <c r="J27" i="7" s="1"/>
  <c r="H30" i="7"/>
  <c r="I30" i="7" s="1"/>
  <c r="J30" i="7" s="1"/>
  <c r="L158" i="4"/>
  <c r="L161" i="4" s="1"/>
  <c r="C34" i="7"/>
  <c r="C37" i="7"/>
  <c r="C22" i="7"/>
  <c r="C25" i="7"/>
  <c r="C20" i="7"/>
  <c r="C29" i="7"/>
  <c r="C21" i="7"/>
  <c r="C31" i="7"/>
  <c r="C32" i="7"/>
  <c r="C28" i="7"/>
  <c r="C26" i="7"/>
  <c r="C27" i="7"/>
  <c r="C30" i="7"/>
  <c r="C33" i="7"/>
  <c r="C24" i="7"/>
  <c r="C36" i="7"/>
  <c r="C23" i="7"/>
  <c r="C35" i="7"/>
  <c r="L158" i="1"/>
  <c r="L161" i="1" s="1"/>
  <c r="F50" i="7"/>
  <c r="E140" i="1"/>
  <c r="E129" i="1"/>
  <c r="E136" i="1"/>
  <c r="E144" i="1"/>
  <c r="E145" i="1"/>
  <c r="E146" i="1"/>
  <c r="E128" i="1"/>
  <c r="E135" i="1"/>
  <c r="E131" i="1"/>
  <c r="E132" i="1"/>
  <c r="E139" i="1"/>
  <c r="E143" i="1"/>
  <c r="E137" i="1"/>
  <c r="E138" i="1"/>
  <c r="H128" i="1"/>
  <c r="E130" i="1"/>
  <c r="E141" i="1"/>
  <c r="E134" i="1"/>
  <c r="E142" i="1"/>
  <c r="B72" i="6"/>
  <c r="N215" i="6"/>
  <c r="J178" i="6"/>
  <c r="H179" i="6"/>
  <c r="I178" i="6"/>
  <c r="D160" i="6"/>
  <c r="E159" i="6"/>
  <c r="N189" i="6"/>
  <c r="K276" i="6" a="1"/>
  <c r="K276" i="6" s="1"/>
  <c r="E276" i="6" a="1"/>
  <c r="E276" i="6" s="1"/>
  <c r="B277" i="6"/>
  <c r="E97" i="6"/>
  <c r="E100" i="6"/>
  <c r="C38" i="6"/>
  <c r="D37" i="6"/>
  <c r="E37" i="6" s="1"/>
  <c r="E69" i="6"/>
  <c r="H153" i="6"/>
  <c r="I153" i="6" s="1"/>
  <c r="E92" i="6"/>
  <c r="B73" i="6"/>
  <c r="A80" i="6" s="1"/>
  <c r="G159" i="6"/>
  <c r="H53" i="6"/>
  <c r="J206" i="6"/>
  <c r="H207" i="6"/>
  <c r="B252" i="6"/>
  <c r="D251" i="6"/>
  <c r="C251" i="6"/>
  <c r="E251" i="6" a="1"/>
  <c r="E251" i="6" s="1"/>
  <c r="F69" i="6"/>
  <c r="H154" i="6"/>
  <c r="I154" i="6" s="1"/>
  <c r="C250" i="6"/>
  <c r="D133" i="6"/>
  <c r="E132" i="6"/>
  <c r="B230" i="6"/>
  <c r="E229" i="6" a="1"/>
  <c r="E229" i="6" s="1"/>
  <c r="K229" i="6" a="1"/>
  <c r="K229" i="6" s="1"/>
  <c r="C178" i="6"/>
  <c r="B179" i="6"/>
  <c r="D178" i="6"/>
  <c r="D110" i="6"/>
  <c r="E109" i="6"/>
  <c r="F204" i="6" a="1"/>
  <c r="F204" i="6" s="1"/>
  <c r="B205" i="6"/>
  <c r="E204" i="6"/>
  <c r="K204" i="6" a="1"/>
  <c r="K204" i="6" s="1"/>
  <c r="C204" i="6"/>
  <c r="I204" i="6"/>
  <c r="H153" i="2"/>
  <c r="I153" i="2" s="1"/>
  <c r="B72" i="2"/>
  <c r="E66" i="2"/>
  <c r="C178" i="2"/>
  <c r="D178" i="2"/>
  <c r="B179" i="2"/>
  <c r="E108" i="2"/>
  <c r="D109" i="2"/>
  <c r="E99" i="2"/>
  <c r="K229" i="2"/>
  <c r="B230" i="2"/>
  <c r="H154" i="2"/>
  <c r="I154" i="2" s="1"/>
  <c r="J179" i="2"/>
  <c r="H180" i="2"/>
  <c r="I179" i="2"/>
  <c r="E278" i="2" a="1"/>
  <c r="E278" i="2" s="1"/>
  <c r="B279" i="2"/>
  <c r="K278" i="2" a="1"/>
  <c r="K278" i="2" s="1"/>
  <c r="D34" i="2"/>
  <c r="E34" i="2" s="1"/>
  <c r="C35" i="2"/>
  <c r="E97" i="2"/>
  <c r="E100" i="2"/>
  <c r="B205" i="2"/>
  <c r="J204" i="2"/>
  <c r="C204" i="2"/>
  <c r="E204" i="2"/>
  <c r="E98" i="2"/>
  <c r="H53" i="2"/>
  <c r="I204" i="2"/>
  <c r="D204" i="2"/>
  <c r="G66" i="2"/>
  <c r="D159" i="2"/>
  <c r="E158" i="2"/>
  <c r="E203" i="1"/>
  <c r="E207" i="1"/>
  <c r="E211" i="1"/>
  <c r="E215" i="1"/>
  <c r="J213" i="1"/>
  <c r="J204" i="1"/>
  <c r="J208" i="1"/>
  <c r="J212" i="1"/>
  <c r="E219" i="1"/>
  <c r="E208" i="1"/>
  <c r="J205" i="1"/>
  <c r="J216" i="1"/>
  <c r="J220" i="1"/>
  <c r="E202" i="1"/>
  <c r="E206" i="1"/>
  <c r="E210" i="1"/>
  <c r="E214" i="1"/>
  <c r="J203" i="1"/>
  <c r="J207" i="1"/>
  <c r="J211" i="1"/>
  <c r="J215" i="1"/>
  <c r="E218" i="1"/>
  <c r="J219" i="1"/>
  <c r="E216" i="1"/>
  <c r="E205" i="1"/>
  <c r="E209" i="1"/>
  <c r="E213" i="1"/>
  <c r="E204" i="1"/>
  <c r="J209" i="1"/>
  <c r="J202" i="1"/>
  <c r="N215" i="1" s="1"/>
  <c r="J206" i="1"/>
  <c r="J210" i="1"/>
  <c r="J214" i="1"/>
  <c r="E217" i="1"/>
  <c r="E212" i="1"/>
  <c r="E220" i="1"/>
  <c r="J217" i="1"/>
  <c r="E20" i="7" l="1"/>
  <c r="L158" i="6"/>
  <c r="L161" i="6" s="1"/>
  <c r="E19" i="7"/>
  <c r="L158" i="2"/>
  <c r="L161" i="2" s="1"/>
  <c r="G69" i="6"/>
  <c r="H155" i="6"/>
  <c r="I155" i="6" s="1"/>
  <c r="E277" i="6" a="1"/>
  <c r="E277" i="6" s="1"/>
  <c r="B278" i="6"/>
  <c r="K277" i="6" a="1"/>
  <c r="K277" i="6" s="1"/>
  <c r="E110" i="6"/>
  <c r="D111" i="6"/>
  <c r="D179" i="6"/>
  <c r="C179" i="6"/>
  <c r="B180" i="6"/>
  <c r="B253" i="6"/>
  <c r="E252" i="6" a="1"/>
  <c r="E252" i="6" s="1"/>
  <c r="C252" i="6"/>
  <c r="D252" i="6"/>
  <c r="E160" i="6"/>
  <c r="D161" i="6"/>
  <c r="G160" i="6"/>
  <c r="H208" i="6"/>
  <c r="J207" i="6"/>
  <c r="J179" i="6"/>
  <c r="H180" i="6"/>
  <c r="I179" i="6"/>
  <c r="C39" i="6"/>
  <c r="D38" i="6"/>
  <c r="E38" i="6" s="1"/>
  <c r="K230" i="6" a="1"/>
  <c r="K230" i="6" s="1"/>
  <c r="B231" i="6"/>
  <c r="E230" i="6" a="1"/>
  <c r="E230" i="6" s="1"/>
  <c r="E205" i="6"/>
  <c r="C205" i="6"/>
  <c r="K205" i="6" a="1"/>
  <c r="K205" i="6" s="1"/>
  <c r="B206" i="6"/>
  <c r="F205" i="6" a="1"/>
  <c r="F205" i="6" s="1"/>
  <c r="D205" i="6"/>
  <c r="I205" i="6"/>
  <c r="I53" i="6"/>
  <c r="D134" i="6"/>
  <c r="E133" i="6"/>
  <c r="H155" i="2"/>
  <c r="I155" i="2" s="1"/>
  <c r="D35" i="2"/>
  <c r="E35" i="2" s="1"/>
  <c r="C36" i="2"/>
  <c r="E109" i="2"/>
  <c r="D110" i="2"/>
  <c r="I53" i="2"/>
  <c r="B231" i="2"/>
  <c r="K230" i="2"/>
  <c r="B180" i="2"/>
  <c r="D179" i="2"/>
  <c r="C179" i="2"/>
  <c r="E279" i="2" a="1"/>
  <c r="E279" i="2" s="1"/>
  <c r="B280" i="2"/>
  <c r="K279" i="2" a="1"/>
  <c r="K279" i="2" s="1"/>
  <c r="B206" i="2"/>
  <c r="J205" i="2"/>
  <c r="E205" i="2"/>
  <c r="C205" i="2"/>
  <c r="I205" i="2"/>
  <c r="D205" i="2"/>
  <c r="J180" i="2"/>
  <c r="H181" i="2"/>
  <c r="I180" i="2"/>
  <c r="E159" i="2"/>
  <c r="D160" i="2"/>
  <c r="G159" i="2"/>
  <c r="E21" i="7" l="1"/>
  <c r="F206" i="6" a="1"/>
  <c r="F206" i="6" s="1"/>
  <c r="K206" i="6" a="1"/>
  <c r="K206" i="6" s="1"/>
  <c r="B207" i="6"/>
  <c r="E206" i="6"/>
  <c r="C206" i="6"/>
  <c r="I206" i="6"/>
  <c r="D206" i="6"/>
  <c r="E278" i="6" a="1"/>
  <c r="E278" i="6" s="1"/>
  <c r="K278" i="6" a="1"/>
  <c r="K278" i="6" s="1"/>
  <c r="B279" i="6"/>
  <c r="E161" i="6"/>
  <c r="D162" i="6"/>
  <c r="G161" i="6"/>
  <c r="D39" i="6"/>
  <c r="E39" i="6" s="1"/>
  <c r="C40" i="6"/>
  <c r="E253" i="6" a="1"/>
  <c r="E253" i="6" s="1"/>
  <c r="D253" i="6"/>
  <c r="C253" i="6"/>
  <c r="B254" i="6"/>
  <c r="J208" i="6"/>
  <c r="H209" i="6"/>
  <c r="E111" i="6"/>
  <c r="D112" i="6"/>
  <c r="B232" i="6"/>
  <c r="K231" i="6" a="1"/>
  <c r="K231" i="6" s="1"/>
  <c r="E231" i="6" a="1"/>
  <c r="E231" i="6" s="1"/>
  <c r="D135" i="6"/>
  <c r="E134" i="6"/>
  <c r="J53" i="6"/>
  <c r="H181" i="6"/>
  <c r="J180" i="6"/>
  <c r="I180" i="6"/>
  <c r="H69" i="6"/>
  <c r="H156" i="6"/>
  <c r="I156" i="6" s="1"/>
  <c r="C180" i="6"/>
  <c r="D180" i="6"/>
  <c r="B181" i="6"/>
  <c r="H156" i="2"/>
  <c r="I156" i="2" s="1"/>
  <c r="H66" i="2"/>
  <c r="E206" i="2"/>
  <c r="C206" i="2"/>
  <c r="J206" i="2"/>
  <c r="B207" i="2"/>
  <c r="I206" i="2"/>
  <c r="D206" i="2"/>
  <c r="J53" i="2"/>
  <c r="D161" i="2"/>
  <c r="E160" i="2"/>
  <c r="G160" i="2"/>
  <c r="D111" i="2"/>
  <c r="E110" i="2"/>
  <c r="J181" i="2"/>
  <c r="I181" i="2"/>
  <c r="H182" i="2"/>
  <c r="B181" i="2"/>
  <c r="C180" i="2"/>
  <c r="D180" i="2"/>
  <c r="C37" i="2"/>
  <c r="D36" i="2"/>
  <c r="E36" i="2" s="1"/>
  <c r="K280" i="2" a="1"/>
  <c r="K280" i="2" s="1"/>
  <c r="E280" i="2" a="1"/>
  <c r="E280" i="2" s="1"/>
  <c r="B281" i="2"/>
  <c r="B232" i="2"/>
  <c r="K231" i="2"/>
  <c r="E22" i="7" l="1"/>
  <c r="K232" i="6" a="1"/>
  <c r="K232" i="6" s="1"/>
  <c r="B233" i="6"/>
  <c r="E232" i="6" a="1"/>
  <c r="E232" i="6" s="1"/>
  <c r="D163" i="6"/>
  <c r="E162" i="6"/>
  <c r="G162" i="6"/>
  <c r="H157" i="6"/>
  <c r="I157" i="6" s="1"/>
  <c r="I69" i="6"/>
  <c r="K53" i="6"/>
  <c r="D113" i="6"/>
  <c r="E112" i="6"/>
  <c r="E279" i="6" a="1"/>
  <c r="E279" i="6" s="1"/>
  <c r="B280" i="6"/>
  <c r="K279" i="6" a="1"/>
  <c r="K279" i="6" s="1"/>
  <c r="H210" i="6"/>
  <c r="J209" i="6"/>
  <c r="H182" i="6"/>
  <c r="J181" i="6"/>
  <c r="I181" i="6"/>
  <c r="B255" i="6"/>
  <c r="E254" i="6" a="1"/>
  <c r="E254" i="6" s="1"/>
  <c r="D254" i="6"/>
  <c r="C254" i="6"/>
  <c r="C181" i="6"/>
  <c r="B182" i="6"/>
  <c r="D181" i="6"/>
  <c r="D136" i="6"/>
  <c r="E135" i="6"/>
  <c r="D40" i="6"/>
  <c r="E40" i="6" s="1"/>
  <c r="C41" i="6"/>
  <c r="E207" i="6"/>
  <c r="B208" i="6"/>
  <c r="K207" i="6" a="1"/>
  <c r="K207" i="6" s="1"/>
  <c r="F207" i="6" a="1"/>
  <c r="F207" i="6" s="1"/>
  <c r="C207" i="6"/>
  <c r="I207" i="6"/>
  <c r="D207" i="6"/>
  <c r="D181" i="2"/>
  <c r="C181" i="2"/>
  <c r="B182" i="2"/>
  <c r="K232" i="2"/>
  <c r="B233" i="2"/>
  <c r="E111" i="2"/>
  <c r="D112" i="2"/>
  <c r="K53" i="2"/>
  <c r="H157" i="2"/>
  <c r="I157" i="2" s="1"/>
  <c r="I66" i="2"/>
  <c r="H183" i="2"/>
  <c r="J182" i="2"/>
  <c r="I182" i="2"/>
  <c r="B282" i="2"/>
  <c r="K281" i="2" a="1"/>
  <c r="K281" i="2" s="1"/>
  <c r="E281" i="2" a="1"/>
  <c r="E281" i="2" s="1"/>
  <c r="E207" i="2"/>
  <c r="C207" i="2"/>
  <c r="B208" i="2"/>
  <c r="J207" i="2"/>
  <c r="D207" i="2"/>
  <c r="I207" i="2"/>
  <c r="D37" i="2"/>
  <c r="E37" i="2" s="1"/>
  <c r="C38" i="2"/>
  <c r="E161" i="2"/>
  <c r="D162" i="2"/>
  <c r="G161" i="2"/>
  <c r="E23" i="7" l="1"/>
  <c r="L53" i="6"/>
  <c r="D114" i="6"/>
  <c r="E113" i="6"/>
  <c r="C42" i="6"/>
  <c r="D41" i="6"/>
  <c r="E41" i="6" s="1"/>
  <c r="D255" i="6"/>
  <c r="B256" i="6"/>
  <c r="E255" i="6" a="1"/>
  <c r="E255" i="6" s="1"/>
  <c r="C255" i="6"/>
  <c r="D137" i="6"/>
  <c r="E136" i="6"/>
  <c r="H183" i="6"/>
  <c r="J182" i="6"/>
  <c r="I182" i="6"/>
  <c r="E163" i="6"/>
  <c r="D164" i="6"/>
  <c r="G163" i="6"/>
  <c r="J69" i="6"/>
  <c r="H158" i="6"/>
  <c r="I158" i="6" s="1"/>
  <c r="B234" i="6"/>
  <c r="K233" i="6" a="1"/>
  <c r="K233" i="6" s="1"/>
  <c r="E233" i="6" a="1"/>
  <c r="E233" i="6" s="1"/>
  <c r="F208" i="6" a="1"/>
  <c r="F208" i="6" s="1"/>
  <c r="B209" i="6"/>
  <c r="K208" i="6" a="1"/>
  <c r="K208" i="6" s="1"/>
  <c r="E208" i="6"/>
  <c r="C208" i="6"/>
  <c r="D208" i="6"/>
  <c r="I208" i="6"/>
  <c r="J210" i="6"/>
  <c r="H211" i="6"/>
  <c r="C182" i="6"/>
  <c r="B183" i="6"/>
  <c r="D182" i="6"/>
  <c r="K280" i="6" a="1"/>
  <c r="K280" i="6" s="1"/>
  <c r="B281" i="6"/>
  <c r="E280" i="6" a="1"/>
  <c r="E280" i="6" s="1"/>
  <c r="C39" i="2"/>
  <c r="D38" i="2"/>
  <c r="E38" i="2" s="1"/>
  <c r="D113" i="2"/>
  <c r="E112" i="2"/>
  <c r="K233" i="2"/>
  <c r="B234" i="2"/>
  <c r="D163" i="2"/>
  <c r="E162" i="2"/>
  <c r="G162" i="2"/>
  <c r="B209" i="2"/>
  <c r="J208" i="2"/>
  <c r="C208" i="2"/>
  <c r="E208" i="2"/>
  <c r="I208" i="2"/>
  <c r="D208" i="2"/>
  <c r="D182" i="2"/>
  <c r="C182" i="2"/>
  <c r="B183" i="2"/>
  <c r="H158" i="2"/>
  <c r="I158" i="2" s="1"/>
  <c r="J66" i="2"/>
  <c r="L53" i="2"/>
  <c r="I183" i="2"/>
  <c r="H184" i="2"/>
  <c r="J183" i="2"/>
  <c r="B283" i="2"/>
  <c r="K282" i="2" a="1"/>
  <c r="K282" i="2" s="1"/>
  <c r="E282" i="2" a="1"/>
  <c r="E282" i="2" s="1"/>
  <c r="E24" i="7" l="1"/>
  <c r="J183" i="6"/>
  <c r="H184" i="6"/>
  <c r="I183" i="6"/>
  <c r="H159" i="6"/>
  <c r="I159" i="6" s="1"/>
  <c r="K69" i="6"/>
  <c r="H212" i="6"/>
  <c r="J211" i="6"/>
  <c r="B257" i="6"/>
  <c r="C256" i="6"/>
  <c r="D256" i="6"/>
  <c r="E256" i="6" a="1"/>
  <c r="E256" i="6" s="1"/>
  <c r="D138" i="6"/>
  <c r="E137" i="6"/>
  <c r="B235" i="6"/>
  <c r="K234" i="6" a="1"/>
  <c r="K234" i="6" s="1"/>
  <c r="E234" i="6" a="1"/>
  <c r="E234" i="6" s="1"/>
  <c r="D165" i="6"/>
  <c r="E164" i="6"/>
  <c r="G164" i="6"/>
  <c r="B184" i="6"/>
  <c r="D183" i="6"/>
  <c r="C183" i="6"/>
  <c r="D42" i="6"/>
  <c r="E42" i="6" s="1"/>
  <c r="C43" i="6"/>
  <c r="B282" i="6"/>
  <c r="E281" i="6" a="1"/>
  <c r="E281" i="6" s="1"/>
  <c r="K281" i="6" a="1"/>
  <c r="K281" i="6" s="1"/>
  <c r="D115" i="6"/>
  <c r="E114" i="6"/>
  <c r="M53" i="6"/>
  <c r="K209" i="6" a="1"/>
  <c r="K209" i="6" s="1"/>
  <c r="C209" i="6"/>
  <c r="B210" i="6"/>
  <c r="F209" i="6" a="1"/>
  <c r="F209" i="6" s="1"/>
  <c r="E209" i="6"/>
  <c r="D209" i="6"/>
  <c r="I209" i="6"/>
  <c r="M53" i="2"/>
  <c r="C183" i="2"/>
  <c r="B184" i="2"/>
  <c r="D183" i="2"/>
  <c r="B210" i="2"/>
  <c r="J209" i="2"/>
  <c r="E209" i="2"/>
  <c r="C209" i="2"/>
  <c r="I209" i="2"/>
  <c r="D209" i="2"/>
  <c r="B284" i="2"/>
  <c r="K283" i="2" a="1"/>
  <c r="K283" i="2" s="1"/>
  <c r="E283" i="2" a="1"/>
  <c r="E283" i="2" s="1"/>
  <c r="D114" i="2"/>
  <c r="E113" i="2"/>
  <c r="B235" i="2"/>
  <c r="K234" i="2"/>
  <c r="H159" i="2"/>
  <c r="I159" i="2" s="1"/>
  <c r="K66" i="2"/>
  <c r="J184" i="2"/>
  <c r="I184" i="2"/>
  <c r="H185" i="2"/>
  <c r="E163" i="2"/>
  <c r="D164" i="2"/>
  <c r="G163" i="2"/>
  <c r="C40" i="2"/>
  <c r="D39" i="2"/>
  <c r="E39" i="2" s="1"/>
  <c r="E25" i="7" l="1"/>
  <c r="D139" i="6"/>
  <c r="E138" i="6"/>
  <c r="C210" i="6"/>
  <c r="B211" i="6"/>
  <c r="K210" i="6" a="1"/>
  <c r="K210" i="6" s="1"/>
  <c r="F210" i="6" a="1"/>
  <c r="F210" i="6" s="1"/>
  <c r="E210" i="6"/>
  <c r="D210" i="6"/>
  <c r="I210" i="6"/>
  <c r="N53" i="6"/>
  <c r="D257" i="6"/>
  <c r="B258" i="6"/>
  <c r="E257" i="6" a="1"/>
  <c r="E257" i="6" s="1"/>
  <c r="C257" i="6"/>
  <c r="E115" i="6"/>
  <c r="D116" i="6"/>
  <c r="J212" i="6"/>
  <c r="H213" i="6"/>
  <c r="E165" i="6"/>
  <c r="D166" i="6"/>
  <c r="G165" i="6"/>
  <c r="K282" i="6" a="1"/>
  <c r="K282" i="6" s="1"/>
  <c r="E282" i="6" a="1"/>
  <c r="E282" i="6" s="1"/>
  <c r="B283" i="6"/>
  <c r="C184" i="6"/>
  <c r="B185" i="6"/>
  <c r="D184" i="6"/>
  <c r="H160" i="6"/>
  <c r="I160" i="6" s="1"/>
  <c r="L69" i="6"/>
  <c r="D43" i="6"/>
  <c r="E43" i="6" s="1"/>
  <c r="C44" i="6"/>
  <c r="B236" i="6"/>
  <c r="E235" i="6" a="1"/>
  <c r="E235" i="6" s="1"/>
  <c r="K235" i="6" a="1"/>
  <c r="K235" i="6" s="1"/>
  <c r="J184" i="6"/>
  <c r="H185" i="6"/>
  <c r="I184" i="6"/>
  <c r="E284" i="2" a="1"/>
  <c r="E284" i="2" s="1"/>
  <c r="B285" i="2"/>
  <c r="K284" i="2" a="1"/>
  <c r="K284" i="2" s="1"/>
  <c r="C41" i="2"/>
  <c r="D40" i="2"/>
  <c r="E40" i="2" s="1"/>
  <c r="B236" i="2"/>
  <c r="K235" i="2"/>
  <c r="C184" i="2"/>
  <c r="B185" i="2"/>
  <c r="D184" i="2"/>
  <c r="H160" i="2"/>
  <c r="I160" i="2" s="1"/>
  <c r="L66" i="2"/>
  <c r="J185" i="2"/>
  <c r="H186" i="2"/>
  <c r="I185" i="2"/>
  <c r="E114" i="2"/>
  <c r="D115" i="2"/>
  <c r="E164" i="2"/>
  <c r="D165" i="2"/>
  <c r="G164" i="2"/>
  <c r="E210" i="2"/>
  <c r="C210" i="2"/>
  <c r="J210" i="2"/>
  <c r="B211" i="2"/>
  <c r="D210" i="2"/>
  <c r="I210" i="2"/>
  <c r="N53" i="2"/>
  <c r="E26" i="7" l="1"/>
  <c r="E258" i="6" a="1"/>
  <c r="E258" i="6" s="1"/>
  <c r="D258" i="6"/>
  <c r="C258" i="6"/>
  <c r="B259" i="6"/>
  <c r="K236" i="6" a="1"/>
  <c r="K236" i="6" s="1"/>
  <c r="B237" i="6"/>
  <c r="E236" i="6" a="1"/>
  <c r="E236" i="6" s="1"/>
  <c r="H214" i="6"/>
  <c r="J213" i="6"/>
  <c r="O53" i="6"/>
  <c r="C45" i="6"/>
  <c r="D44" i="6"/>
  <c r="E44" i="6" s="1"/>
  <c r="D117" i="6"/>
  <c r="E116" i="6"/>
  <c r="B212" i="6"/>
  <c r="K211" i="6" a="1"/>
  <c r="K211" i="6" s="1"/>
  <c r="E211" i="6"/>
  <c r="C211" i="6"/>
  <c r="F211" i="6" a="1"/>
  <c r="F211" i="6" s="1"/>
  <c r="I211" i="6"/>
  <c r="D211" i="6"/>
  <c r="D185" i="6"/>
  <c r="C185" i="6"/>
  <c r="B186" i="6"/>
  <c r="J185" i="6"/>
  <c r="H186" i="6"/>
  <c r="I185" i="6"/>
  <c r="D167" i="6"/>
  <c r="E166" i="6"/>
  <c r="G166" i="6"/>
  <c r="H161" i="6"/>
  <c r="I161" i="6" s="1"/>
  <c r="M69" i="6"/>
  <c r="E283" i="6" a="1"/>
  <c r="E283" i="6" s="1"/>
  <c r="B284" i="6"/>
  <c r="K283" i="6" a="1"/>
  <c r="K283" i="6" s="1"/>
  <c r="D140" i="6"/>
  <c r="E139" i="6"/>
  <c r="H161" i="2"/>
  <c r="I161" i="2" s="1"/>
  <c r="M66" i="2"/>
  <c r="E165" i="2"/>
  <c r="D166" i="2"/>
  <c r="G165" i="2"/>
  <c r="J186" i="2"/>
  <c r="H187" i="2"/>
  <c r="I186" i="2"/>
  <c r="D41" i="2"/>
  <c r="E41" i="2" s="1"/>
  <c r="C42" i="2"/>
  <c r="B186" i="2"/>
  <c r="D185" i="2"/>
  <c r="C185" i="2"/>
  <c r="D116" i="2"/>
  <c r="E115" i="2"/>
  <c r="K236" i="2"/>
  <c r="B237" i="2"/>
  <c r="O53" i="2"/>
  <c r="E211" i="2"/>
  <c r="C211" i="2"/>
  <c r="B212" i="2"/>
  <c r="J211" i="2"/>
  <c r="D211" i="2"/>
  <c r="I211" i="2"/>
  <c r="E285" i="2" a="1"/>
  <c r="E285" i="2" s="1"/>
  <c r="B286" i="2"/>
  <c r="K285" i="2" a="1"/>
  <c r="K285" i="2" s="1"/>
  <c r="E27" i="7" l="1"/>
  <c r="C46" i="6"/>
  <c r="D45" i="6"/>
  <c r="E45" i="6" s="1"/>
  <c r="H215" i="6"/>
  <c r="J214" i="6"/>
  <c r="P53" i="6"/>
  <c r="B238" i="6"/>
  <c r="K237" i="6" a="1"/>
  <c r="K237" i="6" s="1"/>
  <c r="E237" i="6" a="1"/>
  <c r="E237" i="6" s="1"/>
  <c r="E167" i="6"/>
  <c r="D168" i="6"/>
  <c r="G167" i="6"/>
  <c r="D259" i="6"/>
  <c r="C259" i="6"/>
  <c r="B260" i="6"/>
  <c r="E259" i="6" a="1"/>
  <c r="E259" i="6" s="1"/>
  <c r="H187" i="6"/>
  <c r="J186" i="6"/>
  <c r="I186" i="6"/>
  <c r="C186" i="6"/>
  <c r="D186" i="6"/>
  <c r="B187" i="6"/>
  <c r="D118" i="6"/>
  <c r="E117" i="6"/>
  <c r="F212" i="6" a="1"/>
  <c r="F212" i="6" s="1"/>
  <c r="E212" i="6"/>
  <c r="C212" i="6"/>
  <c r="B213" i="6"/>
  <c r="K212" i="6" a="1"/>
  <c r="K212" i="6" s="1"/>
  <c r="D212" i="6"/>
  <c r="I212" i="6"/>
  <c r="D141" i="6"/>
  <c r="E140" i="6"/>
  <c r="E284" i="6" a="1"/>
  <c r="E284" i="6" s="1"/>
  <c r="K284" i="6" a="1"/>
  <c r="K284" i="6" s="1"/>
  <c r="B285" i="6"/>
  <c r="H162" i="6"/>
  <c r="I162" i="6" s="1"/>
  <c r="N69" i="6"/>
  <c r="N66" i="2"/>
  <c r="H162" i="2"/>
  <c r="I162" i="2" s="1"/>
  <c r="D117" i="2"/>
  <c r="E116" i="2"/>
  <c r="J187" i="2"/>
  <c r="I187" i="2"/>
  <c r="H188" i="2"/>
  <c r="E166" i="2"/>
  <c r="D167" i="2"/>
  <c r="G166" i="2"/>
  <c r="K286" i="2" a="1"/>
  <c r="K286" i="2" s="1"/>
  <c r="E286" i="2" a="1"/>
  <c r="E286" i="2" s="1"/>
  <c r="B287" i="2"/>
  <c r="B187" i="2"/>
  <c r="C186" i="2"/>
  <c r="D186" i="2"/>
  <c r="C43" i="2"/>
  <c r="D42" i="2"/>
  <c r="E42" i="2" s="1"/>
  <c r="B213" i="2"/>
  <c r="J212" i="2"/>
  <c r="C212" i="2"/>
  <c r="E212" i="2"/>
  <c r="D212" i="2"/>
  <c r="I212" i="2"/>
  <c r="P53" i="2"/>
  <c r="K237" i="2"/>
  <c r="B238" i="2"/>
  <c r="E28" i="7" l="1"/>
  <c r="C187" i="6"/>
  <c r="B188" i="6"/>
  <c r="D187" i="6"/>
  <c r="D142" i="6"/>
  <c r="E141" i="6"/>
  <c r="D169" i="6"/>
  <c r="E168" i="6"/>
  <c r="G168" i="6"/>
  <c r="H163" i="6"/>
  <c r="I163" i="6" s="1"/>
  <c r="O69" i="6"/>
  <c r="C213" i="6"/>
  <c r="B214" i="6"/>
  <c r="K213" i="6" a="1"/>
  <c r="K213" i="6" s="1"/>
  <c r="F213" i="6" a="1"/>
  <c r="F213" i="6" s="1"/>
  <c r="E213" i="6"/>
  <c r="I213" i="6"/>
  <c r="D213" i="6"/>
  <c r="K238" i="6" a="1"/>
  <c r="K238" i="6" s="1"/>
  <c r="E238" i="6" a="1"/>
  <c r="E238" i="6" s="1"/>
  <c r="B239" i="6"/>
  <c r="H188" i="6"/>
  <c r="J187" i="6"/>
  <c r="I187" i="6"/>
  <c r="Q53" i="6"/>
  <c r="H216" i="6"/>
  <c r="J215" i="6"/>
  <c r="E285" i="6" a="1"/>
  <c r="E285" i="6" s="1"/>
  <c r="B286" i="6"/>
  <c r="K285" i="6" a="1"/>
  <c r="K285" i="6" s="1"/>
  <c r="C260" i="6"/>
  <c r="B261" i="6"/>
  <c r="E260" i="6" a="1"/>
  <c r="E260" i="6" s="1"/>
  <c r="D260" i="6"/>
  <c r="D119" i="6"/>
  <c r="E118" i="6"/>
  <c r="C47" i="6"/>
  <c r="D46" i="6"/>
  <c r="E46" i="6" s="1"/>
  <c r="B239" i="2"/>
  <c r="K238" i="2"/>
  <c r="O66" i="2"/>
  <c r="H163" i="2"/>
  <c r="I163" i="2" s="1"/>
  <c r="D168" i="2"/>
  <c r="E167" i="2"/>
  <c r="G167" i="2"/>
  <c r="B214" i="2"/>
  <c r="J213" i="2"/>
  <c r="E213" i="2"/>
  <c r="C213" i="2"/>
  <c r="D213" i="2"/>
  <c r="I213" i="2"/>
  <c r="C44" i="2"/>
  <c r="D43" i="2"/>
  <c r="E43" i="2" s="1"/>
  <c r="Q53" i="2"/>
  <c r="D118" i="2"/>
  <c r="E117" i="2"/>
  <c r="H189" i="2"/>
  <c r="J188" i="2"/>
  <c r="I188" i="2"/>
  <c r="D187" i="2"/>
  <c r="C187" i="2"/>
  <c r="B188" i="2"/>
  <c r="B288" i="2"/>
  <c r="K287" i="2" a="1"/>
  <c r="K287" i="2" s="1"/>
  <c r="E287" i="2" a="1"/>
  <c r="E287" i="2" s="1"/>
  <c r="E29" i="7" l="1"/>
  <c r="E261" i="6" a="1"/>
  <c r="E261" i="6" s="1"/>
  <c r="B262" i="6"/>
  <c r="D261" i="6"/>
  <c r="C261" i="6"/>
  <c r="H189" i="6"/>
  <c r="J188" i="6"/>
  <c r="I188" i="6"/>
  <c r="K239" i="6" a="1"/>
  <c r="K239" i="6" s="1"/>
  <c r="B240" i="6"/>
  <c r="E239" i="6" a="1"/>
  <c r="E239" i="6" s="1"/>
  <c r="P69" i="6"/>
  <c r="H164" i="6"/>
  <c r="I164" i="6" s="1"/>
  <c r="E142" i="6"/>
  <c r="D143" i="6"/>
  <c r="C188" i="6"/>
  <c r="B189" i="6"/>
  <c r="D188" i="6"/>
  <c r="F214" i="6" a="1"/>
  <c r="F214" i="6" s="1"/>
  <c r="E214" i="6"/>
  <c r="B215" i="6"/>
  <c r="K214" i="6" a="1"/>
  <c r="K214" i="6" s="1"/>
  <c r="C214" i="6"/>
  <c r="D214" i="6"/>
  <c r="I214" i="6"/>
  <c r="E169" i="6"/>
  <c r="D170" i="6"/>
  <c r="G169" i="6"/>
  <c r="K286" i="6" a="1"/>
  <c r="K286" i="6" s="1"/>
  <c r="B287" i="6"/>
  <c r="E286" i="6" a="1"/>
  <c r="E286" i="6" s="1"/>
  <c r="H217" i="6"/>
  <c r="J216" i="6"/>
  <c r="R53" i="6"/>
  <c r="C48" i="6"/>
  <c r="D47" i="6"/>
  <c r="E47" i="6" s="1"/>
  <c r="D120" i="6"/>
  <c r="E119" i="6"/>
  <c r="B289" i="2"/>
  <c r="K288" i="2" a="1"/>
  <c r="K288" i="2" s="1"/>
  <c r="E288" i="2" a="1"/>
  <c r="E288" i="2" s="1"/>
  <c r="D119" i="2"/>
  <c r="E118" i="2"/>
  <c r="D188" i="2"/>
  <c r="C188" i="2"/>
  <c r="B189" i="2"/>
  <c r="R53" i="2"/>
  <c r="P66" i="2"/>
  <c r="H164" i="2"/>
  <c r="I164" i="2" s="1"/>
  <c r="E214" i="2"/>
  <c r="C214" i="2"/>
  <c r="J214" i="2"/>
  <c r="B215" i="2"/>
  <c r="D214" i="2"/>
  <c r="I214" i="2"/>
  <c r="E168" i="2"/>
  <c r="D169" i="2"/>
  <c r="G168" i="2"/>
  <c r="I189" i="2"/>
  <c r="H190" i="2"/>
  <c r="J189" i="2"/>
  <c r="C45" i="2"/>
  <c r="D44" i="2"/>
  <c r="E44" i="2" s="1"/>
  <c r="K239" i="2"/>
  <c r="B240" i="2"/>
  <c r="E30" i="7" l="1"/>
  <c r="B190" i="6"/>
  <c r="D189" i="6"/>
  <c r="C189" i="6"/>
  <c r="D171" i="6"/>
  <c r="E170" i="6"/>
  <c r="G170" i="6"/>
  <c r="J189" i="6"/>
  <c r="I189" i="6"/>
  <c r="H190" i="6"/>
  <c r="B288" i="6"/>
  <c r="K287" i="6" a="1"/>
  <c r="K287" i="6" s="1"/>
  <c r="E287" i="6" a="1"/>
  <c r="E287" i="6" s="1"/>
  <c r="D144" i="6"/>
  <c r="E143" i="6"/>
  <c r="E215" i="6"/>
  <c r="C215" i="6"/>
  <c r="F215" i="6" a="1"/>
  <c r="F215" i="6" s="1"/>
  <c r="B216" i="6"/>
  <c r="K215" i="6" a="1"/>
  <c r="K215" i="6" s="1"/>
  <c r="D215" i="6"/>
  <c r="I215" i="6"/>
  <c r="J217" i="6"/>
  <c r="H218" i="6"/>
  <c r="H165" i="6"/>
  <c r="I165" i="6" s="1"/>
  <c r="Q69" i="6"/>
  <c r="E240" i="6" a="1"/>
  <c r="E240" i="6" s="1"/>
  <c r="B241" i="6"/>
  <c r="K240" i="6" a="1"/>
  <c r="K240" i="6" s="1"/>
  <c r="D121" i="6"/>
  <c r="E120" i="6"/>
  <c r="S53" i="6"/>
  <c r="E262" i="6" a="1"/>
  <c r="E262" i="6" s="1"/>
  <c r="C262" i="6"/>
  <c r="B263" i="6"/>
  <c r="D262" i="6"/>
  <c r="C49" i="6"/>
  <c r="D48" i="6"/>
  <c r="E48" i="6" s="1"/>
  <c r="K240" i="2"/>
  <c r="B241" i="2"/>
  <c r="S53" i="2"/>
  <c r="D170" i="2"/>
  <c r="E169" i="2"/>
  <c r="G169" i="2"/>
  <c r="E119" i="2"/>
  <c r="D120" i="2"/>
  <c r="E215" i="2"/>
  <c r="C215" i="2"/>
  <c r="B216" i="2"/>
  <c r="J215" i="2"/>
  <c r="D215" i="2"/>
  <c r="I215" i="2"/>
  <c r="C189" i="2"/>
  <c r="B190" i="2"/>
  <c r="D189" i="2"/>
  <c r="D45" i="2"/>
  <c r="E45" i="2" s="1"/>
  <c r="C46" i="2"/>
  <c r="J190" i="2"/>
  <c r="I190" i="2"/>
  <c r="H191" i="2"/>
  <c r="H165" i="2"/>
  <c r="I165" i="2" s="1"/>
  <c r="Q66" i="2"/>
  <c r="E289" i="2" a="1"/>
  <c r="E289" i="2" s="1"/>
  <c r="B290" i="2"/>
  <c r="K289" i="2" a="1"/>
  <c r="K289" i="2" s="1"/>
  <c r="E31" i="7" l="1"/>
  <c r="B289" i="6"/>
  <c r="K288" i="6" a="1"/>
  <c r="K288" i="6" s="1"/>
  <c r="E288" i="6" a="1"/>
  <c r="E288" i="6" s="1"/>
  <c r="E121" i="6"/>
  <c r="D122" i="6"/>
  <c r="E216" i="6"/>
  <c r="C216" i="6"/>
  <c r="B217" i="6"/>
  <c r="F216" i="6" a="1"/>
  <c r="F216" i="6" s="1"/>
  <c r="K216" i="6" a="1"/>
  <c r="K216" i="6" s="1"/>
  <c r="I216" i="6"/>
  <c r="D216" i="6"/>
  <c r="E171" i="6"/>
  <c r="G171" i="6"/>
  <c r="I190" i="6"/>
  <c r="H191" i="6"/>
  <c r="J190" i="6"/>
  <c r="R69" i="6"/>
  <c r="H166" i="6"/>
  <c r="I166" i="6" s="1"/>
  <c r="K241" i="6" a="1"/>
  <c r="K241" i="6" s="1"/>
  <c r="E241" i="6" a="1"/>
  <c r="E241" i="6" s="1"/>
  <c r="B242" i="6"/>
  <c r="D145" i="6"/>
  <c r="E144" i="6"/>
  <c r="T53" i="6"/>
  <c r="B191" i="6"/>
  <c r="D190" i="6"/>
  <c r="C190" i="6"/>
  <c r="C50" i="6"/>
  <c r="D50" i="6" s="1"/>
  <c r="E50" i="6" s="1"/>
  <c r="D49" i="6"/>
  <c r="E49" i="6" s="1"/>
  <c r="B264" i="6"/>
  <c r="D263" i="6"/>
  <c r="C263" i="6"/>
  <c r="E263" i="6" a="1"/>
  <c r="E263" i="6" s="1"/>
  <c r="H219" i="6"/>
  <c r="J218" i="6"/>
  <c r="D190" i="2"/>
  <c r="B191" i="2"/>
  <c r="C190" i="2"/>
  <c r="T53" i="2"/>
  <c r="R66" i="2"/>
  <c r="H166" i="2"/>
  <c r="I166" i="2" s="1"/>
  <c r="J216" i="2"/>
  <c r="E216" i="2"/>
  <c r="C216" i="2"/>
  <c r="D216" i="2"/>
  <c r="B217" i="2"/>
  <c r="I216" i="2"/>
  <c r="E290" i="2" a="1"/>
  <c r="E290" i="2" s="1"/>
  <c r="B291" i="2"/>
  <c r="K290" i="2" a="1"/>
  <c r="K290" i="2" s="1"/>
  <c r="E170" i="2"/>
  <c r="D171" i="2"/>
  <c r="G170" i="2"/>
  <c r="J191" i="2"/>
  <c r="I191" i="2"/>
  <c r="H192" i="2"/>
  <c r="C47" i="2"/>
  <c r="D46" i="2"/>
  <c r="E46" i="2" s="1"/>
  <c r="E120" i="2"/>
  <c r="D121" i="2"/>
  <c r="K241" i="2"/>
  <c r="B242" i="2"/>
  <c r="E32" i="7" l="1"/>
  <c r="D146" i="6"/>
  <c r="E146" i="6" s="1"/>
  <c r="E145" i="6"/>
  <c r="E242" i="6" a="1"/>
  <c r="E242" i="6" s="1"/>
  <c r="B243" i="6"/>
  <c r="K242" i="6" a="1"/>
  <c r="K242" i="6" s="1"/>
  <c r="F217" i="6" a="1"/>
  <c r="F217" i="6" s="1"/>
  <c r="C217" i="6"/>
  <c r="B218" i="6"/>
  <c r="K217" i="6" a="1"/>
  <c r="K217" i="6" s="1"/>
  <c r="E217" i="6"/>
  <c r="I217" i="6"/>
  <c r="D217" i="6"/>
  <c r="B265" i="6"/>
  <c r="E264" i="6" a="1"/>
  <c r="E264" i="6" s="1"/>
  <c r="C264" i="6"/>
  <c r="D264" i="6"/>
  <c r="S69" i="6"/>
  <c r="H167" i="6"/>
  <c r="I167" i="6" s="1"/>
  <c r="I191" i="6"/>
  <c r="H192" i="6"/>
  <c r="J191" i="6"/>
  <c r="D123" i="6"/>
  <c r="E122" i="6"/>
  <c r="U53" i="6"/>
  <c r="B192" i="6"/>
  <c r="D191" i="6"/>
  <c r="C191" i="6"/>
  <c r="J219" i="6"/>
  <c r="H220" i="6"/>
  <c r="J220" i="6" s="1"/>
  <c r="E289" i="6" a="1"/>
  <c r="E289" i="6" s="1"/>
  <c r="B290" i="6"/>
  <c r="K289" i="6" a="1"/>
  <c r="K289" i="6" s="1"/>
  <c r="B243" i="2"/>
  <c r="K242" i="2"/>
  <c r="S66" i="2"/>
  <c r="H167" i="2"/>
  <c r="I167" i="2" s="1"/>
  <c r="B218" i="2"/>
  <c r="E217" i="2"/>
  <c r="J217" i="2"/>
  <c r="C217" i="2"/>
  <c r="I217" i="2"/>
  <c r="D217" i="2"/>
  <c r="E291" i="2" a="1"/>
  <c r="E291" i="2" s="1"/>
  <c r="B292" i="2"/>
  <c r="K291" i="2" a="1"/>
  <c r="K291" i="2" s="1"/>
  <c r="D122" i="2"/>
  <c r="E121" i="2"/>
  <c r="C48" i="2"/>
  <c r="D47" i="2"/>
  <c r="E47" i="2" s="1"/>
  <c r="I192" i="2"/>
  <c r="H193" i="2"/>
  <c r="J192" i="2"/>
  <c r="U53" i="2"/>
  <c r="E171" i="2"/>
  <c r="G171" i="2"/>
  <c r="D191" i="2"/>
  <c r="C191" i="2"/>
  <c r="B192" i="2"/>
  <c r="E33" i="7" l="1"/>
  <c r="H168" i="6"/>
  <c r="I168" i="6" s="1"/>
  <c r="T69" i="6"/>
  <c r="E290" i="6" a="1"/>
  <c r="E290" i="6" s="1"/>
  <c r="B291" i="6"/>
  <c r="K290" i="6" a="1"/>
  <c r="K290" i="6" s="1"/>
  <c r="D124" i="6"/>
  <c r="E124" i="6" s="1"/>
  <c r="E123" i="6"/>
  <c r="H193" i="6"/>
  <c r="I192" i="6"/>
  <c r="J192" i="6"/>
  <c r="E243" i="6" a="1"/>
  <c r="E243" i="6" s="1"/>
  <c r="K243" i="6" a="1"/>
  <c r="K243" i="6" s="1"/>
  <c r="B244" i="6"/>
  <c r="E218" i="6"/>
  <c r="C218" i="6"/>
  <c r="K218" i="6" a="1"/>
  <c r="K218" i="6" s="1"/>
  <c r="B219" i="6"/>
  <c r="F218" i="6" a="1"/>
  <c r="F218" i="6" s="1"/>
  <c r="D218" i="6"/>
  <c r="I218" i="6"/>
  <c r="B193" i="6"/>
  <c r="D192" i="6"/>
  <c r="C192" i="6"/>
  <c r="V53" i="6"/>
  <c r="E265" i="6" a="1"/>
  <c r="E265" i="6" s="1"/>
  <c r="D265" i="6"/>
  <c r="C265" i="6"/>
  <c r="B266" i="6"/>
  <c r="T66" i="2"/>
  <c r="H168" i="2"/>
  <c r="I168" i="2" s="1"/>
  <c r="K292" i="2" a="1"/>
  <c r="K292" i="2" s="1"/>
  <c r="E292" i="2" a="1"/>
  <c r="E292" i="2" s="1"/>
  <c r="B193" i="2"/>
  <c r="D192" i="2"/>
  <c r="C192" i="2"/>
  <c r="C218" i="2"/>
  <c r="B219" i="2"/>
  <c r="J218" i="2"/>
  <c r="E218" i="2"/>
  <c r="D218" i="2"/>
  <c r="I218" i="2"/>
  <c r="V53" i="2"/>
  <c r="C49" i="2"/>
  <c r="D48" i="2"/>
  <c r="E48" i="2" s="1"/>
  <c r="I193" i="2"/>
  <c r="J193" i="2"/>
  <c r="H194" i="2"/>
  <c r="D123" i="2"/>
  <c r="E122" i="2"/>
  <c r="B244" i="2"/>
  <c r="K244" i="2" s="1"/>
  <c r="K243" i="2"/>
  <c r="E34" i="7" l="1"/>
  <c r="U69" i="6"/>
  <c r="H169" i="6"/>
  <c r="I169" i="6" s="1"/>
  <c r="E291" i="6" a="1"/>
  <c r="E291" i="6" s="1"/>
  <c r="B292" i="6"/>
  <c r="K291" i="6" a="1"/>
  <c r="K291" i="6" s="1"/>
  <c r="D193" i="6"/>
  <c r="B194" i="6"/>
  <c r="C193" i="6"/>
  <c r="I193" i="6"/>
  <c r="H194" i="6"/>
  <c r="J193" i="6"/>
  <c r="B267" i="6"/>
  <c r="E266" i="6" a="1"/>
  <c r="E266" i="6" s="1"/>
  <c r="D266" i="6"/>
  <c r="C266" i="6"/>
  <c r="F219" i="6" a="1"/>
  <c r="F219" i="6" s="1"/>
  <c r="K219" i="6" a="1"/>
  <c r="K219" i="6" s="1"/>
  <c r="B220" i="6"/>
  <c r="E219" i="6"/>
  <c r="C219" i="6"/>
  <c r="I219" i="6"/>
  <c r="D219" i="6"/>
  <c r="W53" i="6"/>
  <c r="E244" i="6" a="1"/>
  <c r="E244" i="6" s="1"/>
  <c r="K244" i="6" a="1"/>
  <c r="K244" i="6" s="1"/>
  <c r="D49" i="2"/>
  <c r="E49" i="2" s="1"/>
  <c r="C50" i="2"/>
  <c r="D50" i="2" s="1"/>
  <c r="E50" i="2" s="1"/>
  <c r="E219" i="2"/>
  <c r="B220" i="2"/>
  <c r="C219" i="2"/>
  <c r="I219" i="2"/>
  <c r="J219" i="2"/>
  <c r="D219" i="2"/>
  <c r="H169" i="2"/>
  <c r="I169" i="2" s="1"/>
  <c r="U66" i="2"/>
  <c r="D124" i="2"/>
  <c r="E124" i="2" s="1"/>
  <c r="E123" i="2"/>
  <c r="C193" i="2"/>
  <c r="B194" i="2"/>
  <c r="D193" i="2"/>
  <c r="W53" i="2"/>
  <c r="J194" i="2"/>
  <c r="I194" i="2"/>
  <c r="E35" i="7" l="1"/>
  <c r="D194" i="6"/>
  <c r="C194" i="6"/>
  <c r="E220" i="6"/>
  <c r="K220" i="6" a="1"/>
  <c r="K220" i="6" s="1"/>
  <c r="F220" i="6" a="1"/>
  <c r="F220" i="6" s="1"/>
  <c r="C220" i="6"/>
  <c r="I220" i="6"/>
  <c r="D220" i="6"/>
  <c r="H170" i="6"/>
  <c r="I170" i="6" s="1"/>
  <c r="V69" i="6"/>
  <c r="K292" i="6" a="1"/>
  <c r="K292" i="6" s="1"/>
  <c r="E292" i="6" a="1"/>
  <c r="E292" i="6" s="1"/>
  <c r="J194" i="6"/>
  <c r="I194" i="6"/>
  <c r="D267" i="6"/>
  <c r="E267" i="6" a="1"/>
  <c r="E267" i="6" s="1"/>
  <c r="C267" i="6"/>
  <c r="J220" i="2"/>
  <c r="E220" i="2"/>
  <c r="C220" i="2"/>
  <c r="D220" i="2"/>
  <c r="I220" i="2"/>
  <c r="D194" i="2"/>
  <c r="C194" i="2"/>
  <c r="H170" i="2"/>
  <c r="I170" i="2" s="1"/>
  <c r="V66" i="2"/>
  <c r="E36" i="7" l="1"/>
  <c r="H171" i="6"/>
  <c r="I171" i="6" s="1"/>
  <c r="W69" i="6"/>
  <c r="H171" i="2"/>
  <c r="I171" i="2" s="1"/>
  <c r="W66" i="2"/>
  <c r="E37" i="7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<sst xmlns="http://schemas.openxmlformats.org/spreadsheetml/2006/main" count="1129" uniqueCount="193">
  <si>
    <r>
      <t>k</t>
    </r>
    <r>
      <rPr>
        <b/>
        <sz val="8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(J/K)</t>
    </r>
  </si>
  <si>
    <t>π</t>
  </si>
  <si>
    <t>h (Js)</t>
  </si>
  <si>
    <t>R (J/K/mol)</t>
  </si>
  <si>
    <t>m (Kg)</t>
  </si>
  <si>
    <r>
      <t>N</t>
    </r>
    <r>
      <rPr>
        <b/>
        <sz val="8"/>
        <color theme="1"/>
        <rFont val="Calibri"/>
        <family val="2"/>
        <scheme val="minor"/>
      </rPr>
      <t>AVO</t>
    </r>
    <r>
      <rPr>
        <b/>
        <sz val="11"/>
        <color theme="1"/>
        <rFont val="Calibri"/>
        <family val="2"/>
        <scheme val="minor"/>
      </rPr>
      <t xml:space="preserve"> (mol-1)</t>
    </r>
  </si>
  <si>
    <t>A</t>
  </si>
  <si>
    <r>
      <t>T</t>
    </r>
    <r>
      <rPr>
        <b/>
        <sz val="8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 xml:space="preserve"> (K)</t>
    </r>
  </si>
  <si>
    <t>c (cm/s)</t>
  </si>
  <si>
    <t>P (Pa)</t>
  </si>
  <si>
    <t>n(mol)</t>
  </si>
  <si>
    <t>N</t>
  </si>
  <si>
    <t>Ix</t>
  </si>
  <si>
    <t>Iy</t>
  </si>
  <si>
    <t>Iz</t>
  </si>
  <si>
    <t>ZPE (Hartree)</t>
  </si>
  <si>
    <t>ZPE (kcal/mol)</t>
  </si>
  <si>
    <t>ZPE (J)</t>
  </si>
  <si>
    <t>ν (Hz)</t>
  </si>
  <si>
    <t>σ</t>
  </si>
  <si>
    <r>
      <t xml:space="preserve"> Moments of inertia (uma</t>
    </r>
    <r>
      <rPr>
        <sz val="11"/>
        <color theme="1"/>
        <rFont val="Aptos Narrow"/>
        <family val="2"/>
      </rPr>
      <t>×</t>
    </r>
    <r>
      <rPr>
        <sz val="11"/>
        <color theme="1"/>
        <rFont val="Calibri"/>
        <family val="2"/>
        <scheme val="minor"/>
      </rPr>
      <t>Å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</si>
  <si>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Rotational symmetry number</t>
  </si>
  <si>
    <r>
      <t xml:space="preserve"> Moments of inertia (kg</t>
    </r>
    <r>
      <rPr>
        <sz val="11"/>
        <color theme="1"/>
        <rFont val="Aptos Narrow"/>
        <family val="2"/>
      </rPr>
      <t>×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</si>
  <si>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 </t>
  </si>
  <si>
    <t xml:space="preserve">Rotational constants (GHZ)       </t>
  </si>
  <si>
    <t xml:space="preserve"> Rotational temperatures (K)    </t>
  </si>
  <si>
    <r>
      <t xml:space="preserve">Vibrational temperatures  (Kelvin)    </t>
    </r>
    <r>
      <rPr>
        <b/>
        <sz val="11"/>
        <color theme="1"/>
        <rFont val="Aptos Narrow"/>
        <family val="2"/>
      </rPr>
      <t>ϑ</t>
    </r>
    <r>
      <rPr>
        <b/>
        <sz val="8"/>
        <color theme="1"/>
        <rFont val="Aptos Narrow"/>
        <family val="2"/>
      </rPr>
      <t>vib,i</t>
    </r>
  </si>
  <si>
    <t>Gaussian Output:</t>
  </si>
  <si>
    <t>E (Thermal)</t>
  </si>
  <si>
    <r>
      <t>C</t>
    </r>
    <r>
      <rPr>
        <b/>
        <sz val="8"/>
        <color theme="1"/>
        <rFont val="Calibri"/>
        <family val="2"/>
        <scheme val="minor"/>
      </rPr>
      <t>V</t>
    </r>
  </si>
  <si>
    <t>S</t>
  </si>
  <si>
    <t>KCal/Mol</t>
  </si>
  <si>
    <t>Cal/Mol-Kelvin</t>
  </si>
  <si>
    <t>Total</t>
  </si>
  <si>
    <t>Electronic</t>
  </si>
  <si>
    <t>Translational</t>
  </si>
  <si>
    <t>Rotational</t>
  </si>
  <si>
    <t>Vibrational</t>
  </si>
  <si>
    <t>Q</t>
  </si>
  <si>
    <t>Total Bot</t>
  </si>
  <si>
    <t>Total V=0</t>
  </si>
  <si>
    <t>Vib (Bot)</t>
  </si>
  <si>
    <t>Vib (V=0)</t>
  </si>
  <si>
    <t>freq :ν , T = 298,15K</t>
  </si>
  <si>
    <r>
      <t>Frequencies (cm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</si>
  <si>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Frequencies (Hz)</t>
  </si>
  <si>
    <t>T (K)</t>
  </si>
  <si>
    <r>
      <t>V(m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</si>
  <si>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N</t>
    </r>
    <r>
      <rPr>
        <vertAlign val="subscript"/>
        <sz val="11"/>
        <color theme="1"/>
        <rFont val="Calibri"/>
        <family val="2"/>
        <scheme val="minor"/>
      </rPr>
      <t>i,rif</t>
    </r>
  </si>
  <si>
    <r>
      <t>Q</t>
    </r>
    <r>
      <rPr>
        <b/>
        <vertAlign val="subscript"/>
        <sz val="12"/>
        <color theme="1"/>
        <rFont val="Calibri"/>
        <family val="2"/>
        <scheme val="minor"/>
      </rPr>
      <t xml:space="preserve">vib,i </t>
    </r>
  </si>
  <si>
    <t>Qvib,i (Tamb≈300K)</t>
  </si>
  <si>
    <r>
      <rPr>
        <b/>
        <sz val="11"/>
        <color rgb="FF0070C0"/>
        <rFont val="Calibri"/>
        <family val="2"/>
        <scheme val="minor"/>
      </rPr>
      <t>Frequencies (Hz)</t>
    </r>
    <r>
      <rPr>
        <b/>
        <sz val="11"/>
        <color theme="1"/>
        <rFont val="Calibri"/>
        <family val="2"/>
        <scheme val="minor"/>
      </rPr>
      <t xml:space="preserve"> /</t>
    </r>
    <r>
      <rPr>
        <b/>
        <sz val="11"/>
        <color rgb="FFFF0000"/>
        <rFont val="Calibri"/>
        <family val="2"/>
        <scheme val="minor"/>
      </rPr>
      <t xml:space="preserve"> T (K)</t>
    </r>
  </si>
  <si>
    <t>T(K)</t>
  </si>
  <si>
    <t>Qvib,tot</t>
  </si>
  <si>
    <t>N_vib</t>
  </si>
  <si>
    <r>
      <t>Q</t>
    </r>
    <r>
      <rPr>
        <b/>
        <vertAlign val="subscript"/>
        <sz val="14"/>
        <color theme="1"/>
        <rFont val="Calibri"/>
        <family val="2"/>
        <scheme val="minor"/>
      </rPr>
      <t>vib,tot</t>
    </r>
  </si>
  <si>
    <t>Gaussian:</t>
  </si>
  <si>
    <t>Variazione percentuale</t>
  </si>
  <si>
    <r>
      <t>Q</t>
    </r>
    <r>
      <rPr>
        <b/>
        <vertAlign val="subscript"/>
        <sz val="12"/>
        <color theme="1"/>
        <rFont val="Calibri"/>
        <family val="2"/>
        <scheme val="minor"/>
      </rPr>
      <t>trasl</t>
    </r>
    <r>
      <rPr>
        <b/>
        <sz val="12"/>
        <color theme="1"/>
        <rFont val="Calibri"/>
        <family val="2"/>
        <scheme val="minor"/>
      </rPr>
      <t xml:space="preserve"> </t>
    </r>
  </si>
  <si>
    <t>Confronto:</t>
  </si>
  <si>
    <t>T=298,15K</t>
  </si>
  <si>
    <t>Sperimentale</t>
  </si>
  <si>
    <t>Qtrasl</t>
  </si>
  <si>
    <t>Gaussian</t>
  </si>
  <si>
    <r>
      <t>Q</t>
    </r>
    <r>
      <rPr>
        <b/>
        <vertAlign val="subscript"/>
        <sz val="12"/>
        <color theme="1"/>
        <rFont val="Calibri"/>
        <family val="2"/>
        <scheme val="minor"/>
      </rPr>
      <t>rot</t>
    </r>
  </si>
  <si>
    <t>Qrot</t>
  </si>
  <si>
    <r>
      <t>Q</t>
    </r>
    <r>
      <rPr>
        <vertAlign val="subscript"/>
        <sz val="12"/>
        <color theme="1"/>
        <rFont val="Calibri"/>
        <family val="2"/>
        <scheme val="minor"/>
      </rPr>
      <t>el</t>
    </r>
  </si>
  <si>
    <r>
      <t>Q</t>
    </r>
    <r>
      <rPr>
        <vertAlign val="subscript"/>
        <sz val="12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 xml:space="preserve"> (Gaussian: g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)</t>
    </r>
  </si>
  <si>
    <t>Tamb:</t>
  </si>
  <si>
    <t>E_SCF [Hartree]</t>
  </si>
  <si>
    <t>E_SCF [J]</t>
  </si>
  <si>
    <t>ZPE [J]</t>
  </si>
  <si>
    <r>
      <t>E</t>
    </r>
    <r>
      <rPr>
        <vertAlign val="subscript"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scheme val="minor"/>
      </rPr>
      <t xml:space="preserve"> = E_SCF + ZPE</t>
    </r>
  </si>
  <si>
    <r>
      <t>g</t>
    </r>
    <r>
      <rPr>
        <vertAlign val="subscript"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scheme val="minor"/>
      </rPr>
      <t xml:space="preserve"> (spin multiplicity)</t>
    </r>
  </si>
  <si>
    <r>
      <t>K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*T</t>
    </r>
  </si>
  <si>
    <t>freq:  9,24E12 Hz</t>
  </si>
  <si>
    <r>
      <t>Q</t>
    </r>
    <r>
      <rPr>
        <b/>
        <vertAlign val="subscript"/>
        <sz val="14"/>
        <color theme="1"/>
        <rFont val="Calibri"/>
        <family val="2"/>
        <scheme val="minor"/>
      </rPr>
      <t>rot</t>
    </r>
  </si>
  <si>
    <r>
      <t>Q</t>
    </r>
    <r>
      <rPr>
        <vertAlign val="subscript"/>
        <sz val="14"/>
        <color theme="1"/>
        <rFont val="Calibri"/>
        <family val="2"/>
        <scheme val="minor"/>
      </rPr>
      <t>el</t>
    </r>
  </si>
  <si>
    <r>
      <t>Q</t>
    </r>
    <r>
      <rPr>
        <b/>
        <vertAlign val="subscript"/>
        <sz val="14"/>
        <color theme="1"/>
        <rFont val="Calibri"/>
        <family val="2"/>
        <scheme val="minor"/>
      </rPr>
      <t>trasl</t>
    </r>
    <r>
      <rPr>
        <b/>
        <sz val="14"/>
        <color theme="1"/>
        <rFont val="Calibri"/>
        <family val="2"/>
        <scheme val="minor"/>
      </rPr>
      <t xml:space="preserve"> </t>
    </r>
  </si>
  <si>
    <r>
      <t>Q</t>
    </r>
    <r>
      <rPr>
        <b/>
        <vertAlign val="subscript"/>
        <sz val="14"/>
        <color theme="1"/>
        <rFont val="Calibri"/>
        <family val="2"/>
        <scheme val="minor"/>
      </rPr>
      <t>vib</t>
    </r>
  </si>
  <si>
    <r>
      <t>Q</t>
    </r>
    <r>
      <rPr>
        <b/>
        <vertAlign val="subscript"/>
        <sz val="14"/>
        <color theme="1"/>
        <rFont val="Calibri"/>
        <family val="2"/>
        <scheme val="minor"/>
      </rPr>
      <t>tot</t>
    </r>
  </si>
  <si>
    <t>Confronto con Gaussian:</t>
  </si>
  <si>
    <t>Qtot</t>
  </si>
  <si>
    <t>Fattore che balla:</t>
  </si>
  <si>
    <t>Estimated Internal Energy</t>
  </si>
  <si>
    <t>J/mol</t>
  </si>
  <si>
    <t>Kcal/mol</t>
  </si>
  <si>
    <t>[J/mol]</t>
  </si>
  <si>
    <t>Traslational</t>
  </si>
  <si>
    <t>Electronical</t>
  </si>
  <si>
    <t>Fixed T=300K</t>
  </si>
  <si>
    <t>Confronto con</t>
  </si>
  <si>
    <t>Gaussian Output</t>
  </si>
  <si>
    <t>Total from data</t>
  </si>
  <si>
    <t>ρ_el</t>
  </si>
  <si>
    <r>
      <t>ϑ</t>
    </r>
    <r>
      <rPr>
        <sz val="9.6999999999999993"/>
        <color theme="1"/>
        <rFont val="Aptos Narrow"/>
        <family val="2"/>
      </rPr>
      <t>rot</t>
    </r>
    <r>
      <rPr>
        <sz val="11"/>
        <color theme="1"/>
        <rFont val="Aptos Narrow"/>
        <family val="2"/>
      </rPr>
      <t xml:space="preserve"> [K]</t>
    </r>
  </si>
  <si>
    <r>
      <t>[kg x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</si>
  <si>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Estimated Entropy</t>
  </si>
  <si>
    <t>[J /K ]</t>
  </si>
  <si>
    <t>Cal/K mol</t>
  </si>
  <si>
    <r>
      <t>V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</si>
  <si>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Heat capacity at constant volume</t>
  </si>
  <si>
    <t>[J/K]</t>
  </si>
  <si>
    <t>Cal/mol K]</t>
  </si>
  <si>
    <t>Heat capacity at constant pressure</t>
  </si>
  <si>
    <t>/</t>
  </si>
  <si>
    <t>0.000</t>
  </si>
  <si>
    <t>[kg x m2]</t>
  </si>
  <si>
    <t>[kg]</t>
  </si>
  <si>
    <t>[m]</t>
  </si>
  <si>
    <t>Ottimizzazione NH3 + H•</t>
  </si>
  <si>
    <t>SCF</t>
  </si>
  <si>
    <t>d</t>
  </si>
  <si>
    <t>d=1.35 A è un buon guess iniziale</t>
  </si>
  <si>
    <t>Ottimizzazione del TS</t>
  </si>
  <si>
    <t xml:space="preserve">SCF Done: </t>
  </si>
  <si>
    <t>Hartree</t>
  </si>
  <si>
    <t>ZPE</t>
  </si>
  <si>
    <t>SCF Done</t>
  </si>
  <si>
    <t>kcal/mol</t>
  </si>
  <si>
    <t>Total Energy</t>
  </si>
  <si>
    <t>Freq immaginaria</t>
  </si>
  <si>
    <r>
      <t>cm</t>
    </r>
    <r>
      <rPr>
        <vertAlign val="superscript"/>
        <sz val="11"/>
        <color theme="1"/>
        <rFont val="Calibri"/>
        <family val="2"/>
        <scheme val="minor"/>
      </rPr>
      <t>-1</t>
    </r>
  </si>
  <si>
    <t xml:space="preserve">Total Bot     </t>
  </si>
  <si>
    <t xml:space="preserve">Total V=0     </t>
  </si>
  <si>
    <t xml:space="preserve">Vib (Bot)     </t>
  </si>
  <si>
    <t xml:space="preserve">Vib (V=0)     </t>
  </si>
  <si>
    <t xml:space="preserve">Electronic    </t>
  </si>
  <si>
    <t xml:space="preserve">Translational </t>
  </si>
  <si>
    <t xml:space="preserve">Rotational    </t>
  </si>
  <si>
    <t>Heltmotz Free Energy estimated</t>
  </si>
  <si>
    <t>motivo: frequenza immaginaria?</t>
  </si>
  <si>
    <t>Velocità di reazione r</t>
  </si>
  <si>
    <t>Forward direction</t>
  </si>
  <si>
    <t>Energia di attivazione</t>
  </si>
  <si>
    <t xml:space="preserve">dove </t>
  </si>
  <si>
    <t xml:space="preserve">Velocità di reazione </t>
  </si>
  <si>
    <t>(dipendente dalla temperatura)</t>
  </si>
  <si>
    <r>
      <t>Q</t>
    </r>
    <r>
      <rPr>
        <vertAlign val="superscript"/>
        <sz val="11"/>
        <color theme="1"/>
        <rFont val="Calibri"/>
        <family val="2"/>
        <scheme val="minor"/>
      </rPr>
      <t>H</t>
    </r>
  </si>
  <si>
    <r>
      <t>Q</t>
    </r>
    <r>
      <rPr>
        <vertAlign val="superscript"/>
        <sz val="11"/>
        <color theme="1"/>
        <rFont val="Calibri"/>
        <family val="2"/>
        <scheme val="minor"/>
      </rPr>
      <t>TS</t>
    </r>
  </si>
  <si>
    <t>Backward direction</t>
  </si>
  <si>
    <r>
      <t>Q</t>
    </r>
    <r>
      <rPr>
        <vertAlign val="superscript"/>
        <sz val="11"/>
        <color theme="1"/>
        <rFont val="Calibri"/>
        <family val="2"/>
        <scheme val="minor"/>
      </rPr>
      <t>H2</t>
    </r>
  </si>
  <si>
    <r>
      <t>Q</t>
    </r>
    <r>
      <rPr>
        <vertAlign val="superscript"/>
        <sz val="11"/>
        <color theme="1"/>
        <rFont val="Calibri"/>
        <family val="2"/>
        <scheme val="minor"/>
      </rPr>
      <t>NH3</t>
    </r>
  </si>
  <si>
    <r>
      <t>Q</t>
    </r>
    <r>
      <rPr>
        <vertAlign val="superscript"/>
        <sz val="11"/>
        <color theme="1"/>
        <rFont val="Calibri"/>
        <family val="2"/>
        <scheme val="minor"/>
      </rPr>
      <t>NH2</t>
    </r>
  </si>
  <si>
    <t>Question:</t>
  </si>
  <si>
    <t>How can quantum tunnelling contributions be accounted for?</t>
  </si>
  <si>
    <t>Metodo Eckart (prossimo progetto) è un metodo per tenere conto dell'effetto tunneling</t>
  </si>
  <si>
    <t>Metodo di Wigner</t>
  </si>
  <si>
    <t>Fattore correttivo</t>
  </si>
  <si>
    <t>Nuova velocità di reazione</t>
  </si>
  <si>
    <t>Frequenza immaginaria</t>
  </si>
  <si>
    <t>Hz</t>
  </si>
  <si>
    <t xml:space="preserve">κ </t>
  </si>
  <si>
    <t>(- omesso)</t>
  </si>
  <si>
    <t>Backward  direction</t>
  </si>
  <si>
    <r>
      <t>E</t>
    </r>
    <r>
      <rPr>
        <vertAlign val="subscript"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scheme val="minor"/>
      </rPr>
      <t xml:space="preserve"> = E_SCF + ZPE [J]</t>
    </r>
  </si>
  <si>
    <r>
      <t>E</t>
    </r>
    <r>
      <rPr>
        <vertAlign val="subscript"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scheme val="minor"/>
      </rPr>
      <t xml:space="preserve"> = E_SCF + ZPE </t>
    </r>
  </si>
  <si>
    <t>Hartree/mol</t>
  </si>
  <si>
    <r>
      <t>ΔE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[kcal/mol]</t>
    </r>
  </si>
  <si>
    <r>
      <t>E</t>
    </r>
    <r>
      <rPr>
        <b/>
        <vertAlign val="subscript"/>
        <sz val="12"/>
        <color theme="1"/>
        <rFont val="Calibri"/>
        <family val="2"/>
        <scheme val="minor"/>
      </rPr>
      <t>TS</t>
    </r>
    <r>
      <rPr>
        <b/>
        <sz val="12"/>
        <color theme="1"/>
        <rFont val="Calibri"/>
        <family val="2"/>
        <scheme val="minor"/>
      </rPr>
      <t xml:space="preserve"> [J]</t>
    </r>
  </si>
  <si>
    <r>
      <t>E</t>
    </r>
    <r>
      <rPr>
        <b/>
        <vertAlign val="subscript"/>
        <sz val="12"/>
        <color theme="1"/>
        <rFont val="Calibri"/>
        <family val="2"/>
        <scheme val="minor"/>
      </rPr>
      <t>NH3</t>
    </r>
    <r>
      <rPr>
        <b/>
        <sz val="12"/>
        <color theme="1"/>
        <rFont val="Calibri"/>
        <family val="2"/>
        <scheme val="minor"/>
      </rPr>
      <t xml:space="preserve"> [J]</t>
    </r>
  </si>
  <si>
    <r>
      <t>E</t>
    </r>
    <r>
      <rPr>
        <b/>
        <vertAlign val="subscript"/>
        <sz val="12"/>
        <color theme="1"/>
        <rFont val="Calibri"/>
        <family val="2"/>
        <scheme val="minor"/>
      </rPr>
      <t>H</t>
    </r>
    <r>
      <rPr>
        <b/>
        <sz val="12"/>
        <color theme="1"/>
        <rFont val="Calibri"/>
        <family val="2"/>
        <scheme val="minor"/>
      </rPr>
      <t xml:space="preserve"> [J]</t>
    </r>
  </si>
  <si>
    <r>
      <t>ΔE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[J]</t>
    </r>
  </si>
  <si>
    <r>
      <t>ΔE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[Hartree]</t>
    </r>
  </si>
  <si>
    <r>
      <t>Q</t>
    </r>
    <r>
      <rPr>
        <vertAlign val="superscript"/>
        <sz val="11"/>
        <color theme="1"/>
        <rFont val="Calibri"/>
        <family val="2"/>
        <scheme val="minor"/>
      </rPr>
      <t>≠</t>
    </r>
    <r>
      <rPr>
        <sz val="11"/>
        <color theme="1"/>
        <rFont val="Calibri"/>
        <family val="2"/>
        <scheme val="minor"/>
      </rPr>
      <t>/Q</t>
    </r>
    <r>
      <rPr>
        <vertAlign val="subscript"/>
        <sz val="11"/>
        <color theme="1"/>
        <rFont val="Calibri"/>
        <family val="2"/>
        <scheme val="minor"/>
      </rPr>
      <t>R</t>
    </r>
  </si>
  <si>
    <r>
      <t>N</t>
    </r>
    <r>
      <rPr>
        <vertAlign val="subscript"/>
        <sz val="11"/>
        <color theme="1"/>
        <rFont val="Calibri"/>
        <family val="2"/>
        <scheme val="minor"/>
      </rPr>
      <t>AVO</t>
    </r>
    <r>
      <rPr>
        <sz val="11"/>
        <color theme="1"/>
        <rFont val="Calibri"/>
        <family val="2"/>
        <scheme val="minor"/>
      </rPr>
      <t>*(k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*T)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/(p*h)</t>
    </r>
  </si>
  <si>
    <t>exp(-Ea/(KbT))</t>
  </si>
  <si>
    <t>k [m3/ (mol-1s-1)]</t>
  </si>
  <si>
    <r>
      <t>k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 (mol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)]</t>
    </r>
  </si>
  <si>
    <r>
      <t>k [cm3/ (mol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)]</t>
    </r>
  </si>
  <si>
    <r>
      <t>E</t>
    </r>
    <r>
      <rPr>
        <b/>
        <vertAlign val="subscript"/>
        <sz val="12"/>
        <color theme="1"/>
        <rFont val="Calibri"/>
        <family val="2"/>
        <scheme val="minor"/>
      </rPr>
      <t>NH2</t>
    </r>
    <r>
      <rPr>
        <b/>
        <sz val="12"/>
        <color theme="1"/>
        <rFont val="Calibri"/>
        <family val="2"/>
        <scheme val="minor"/>
      </rPr>
      <t xml:space="preserve"> [J]</t>
    </r>
  </si>
  <si>
    <r>
      <t>E</t>
    </r>
    <r>
      <rPr>
        <b/>
        <vertAlign val="subscript"/>
        <sz val="12"/>
        <color theme="1"/>
        <rFont val="Calibri"/>
        <family val="2"/>
        <scheme val="minor"/>
      </rPr>
      <t>H2</t>
    </r>
    <r>
      <rPr>
        <b/>
        <sz val="12"/>
        <color theme="1"/>
        <rFont val="Calibri"/>
        <family val="2"/>
        <scheme val="minor"/>
      </rPr>
      <t xml:space="preserve"> [J]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</si>
  <si>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E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[J</t>
    </r>
  </si>
  <si>
    <t>1.45E-18</t>
  </si>
  <si>
    <t>4.72E-17</t>
  </si>
  <si>
    <t>4.35E-16</t>
  </si>
  <si>
    <t>2.08E-15</t>
  </si>
  <si>
    <t>6.79E-15</t>
  </si>
  <si>
    <t>1.72E-14</t>
  </si>
  <si>
    <t>3.69E-14</t>
  </si>
  <si>
    <t>6.98E-14</t>
  </si>
  <si>
    <t>1.20E-13</t>
  </si>
  <si>
    <t>1.93E-13</t>
  </si>
  <si>
    <t>2.94E-13</t>
  </si>
  <si>
    <t>4.26E-13</t>
  </si>
  <si>
    <t>5.96E-13</t>
  </si>
  <si>
    <t>8.07E-13</t>
  </si>
  <si>
    <t>1.07E-12</t>
  </si>
  <si>
    <t>1.37E-12</t>
  </si>
  <si>
    <t>1.74E-12</t>
  </si>
  <si>
    <t>2.17E-12</t>
  </si>
  <si>
    <t>2.66E-12</t>
  </si>
  <si>
    <r>
      <t>k'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 (mol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</si>
</sst>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0.0000E+00"/>
    <numFmt numFmtId="165" formatCode="0.000E+00"/>
    <numFmt numFmtId="166" formatCode="#,##0.000"/>
    <numFmt numFmtId="167" formatCode="#,##0.000000"/>
    <numFmt numFmtId="168" formatCode="0.00000E+00"/>
    <numFmt numFmtId="169" formatCode="0.00000"/>
    <numFmt numFmtId="170" formatCode="0.0000"/>
    <numFmt numFmtId="171" formatCode="#,##0.00000"/>
    <numFmt numFmtId="172" formatCode="0.000"/>
    <numFmt numFmtId="173" formatCode="#,##0.0000"/>
    <numFmt numFmtId="174" formatCode="0.000%"/>
    <numFmt numFmtId="175" formatCode="#,##0.0000000"/>
    <numFmt numFmtId="176" formatCode="0.000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vertAlign val="superscript"/>
      <sz val="11"/>
      <color theme="1"/>
      <name val="Calibri"/>
      <family val="2"/>
      <scheme val="minor"/>
    </font>
    <font>
      <b/>
      <sz val="8"/>
      <color theme="1"/>
      <name val="Aptos Narrow"/>
      <family val="2"/>
    </font>
    <font>
      <b/>
      <sz val="12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4D5156"/>
      <name val="Arial"/>
      <family val="2"/>
    </font>
    <font>
      <vertAlign val="subscript"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.6999999999999993"/>
      <color theme="1"/>
      <name val="Aptos Narrow"/>
      <family val="2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ECECEC"/>
      <name val="Segoe UI"/>
      <family val="2"/>
    </font>
    <font>
      <sz val="14"/>
      <color rgb="FF000000"/>
      <name val="Times New Roman"/>
      <family val="1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2"/>
      <color rgb="FF0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2" borderId="14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68" fontId="0" fillId="0" borderId="15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13" fillId="0" borderId="13" xfId="0" applyNumberFormat="1" applyFon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13" fillId="0" borderId="4" xfId="0" applyNumberFormat="1" applyFont="1" applyBorder="1" applyAlignment="1">
      <alignment horizontal="center" vertical="center"/>
    </xf>
    <xf numFmtId="11" fontId="13" fillId="0" borderId="0" xfId="0" applyNumberFormat="1" applyFont="1" applyAlignment="1">
      <alignment horizontal="center" vertical="center"/>
    </xf>
    <xf numFmtId="11" fontId="13" fillId="0" borderId="1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69" fontId="17" fillId="0" borderId="6" xfId="0" applyNumberFormat="1" applyFont="1" applyBorder="1" applyAlignment="1">
      <alignment horizontal="center" vertical="center"/>
    </xf>
    <xf numFmtId="11" fontId="14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0" fontId="2" fillId="0" borderId="9" xfId="1" applyNumberFormat="1" applyFont="1" applyBorder="1" applyAlignment="1">
      <alignment horizontal="center" vertical="center"/>
    </xf>
    <xf numFmtId="11" fontId="1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1" fontId="18" fillId="0" borderId="3" xfId="0" applyNumberFormat="1" applyFont="1" applyBorder="1" applyAlignment="1">
      <alignment horizontal="center" vertical="center"/>
    </xf>
    <xf numFmtId="11" fontId="14" fillId="0" borderId="6" xfId="0" applyNumberFormat="1" applyFont="1" applyBorder="1" applyAlignment="1">
      <alignment horizontal="center" vertical="center"/>
    </xf>
    <xf numFmtId="11" fontId="14" fillId="0" borderId="0" xfId="0" applyNumberFormat="1" applyFont="1" applyAlignment="1">
      <alignment horizontal="center" vertical="center"/>
    </xf>
    <xf numFmtId="11" fontId="21" fillId="0" borderId="14" xfId="0" applyNumberFormat="1" applyFont="1" applyBorder="1" applyAlignment="1">
      <alignment horizontal="center" vertical="center"/>
    </xf>
    <xf numFmtId="170" fontId="0" fillId="0" borderId="1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2" fillId="0" borderId="0" xfId="0" applyFont="1"/>
    <xf numFmtId="0" fontId="21" fillId="0" borderId="0" xfId="0" applyFont="1" applyAlignment="1">
      <alignment horizontal="center" vertical="center"/>
    </xf>
    <xf numFmtId="171" fontId="21" fillId="0" borderId="0" xfId="0" applyNumberFormat="1" applyFont="1" applyAlignment="1">
      <alignment horizontal="center" vertical="center"/>
    </xf>
    <xf numFmtId="11" fontId="21" fillId="0" borderId="0" xfId="0" applyNumberFormat="1" applyFont="1" applyAlignment="1">
      <alignment horizontal="center" vertical="center"/>
    </xf>
    <xf numFmtId="11" fontId="21" fillId="0" borderId="6" xfId="0" applyNumberFormat="1" applyFont="1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65" fontId="24" fillId="0" borderId="1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21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2" fontId="2" fillId="2" borderId="15" xfId="0" applyNumberFormat="1" applyFont="1" applyFill="1" applyBorder="1" applyAlignment="1">
      <alignment horizontal="center" vertical="center"/>
    </xf>
    <xf numFmtId="172" fontId="24" fillId="2" borderId="9" xfId="0" applyNumberFormat="1" applyFont="1" applyFill="1" applyBorder="1" applyAlignment="1">
      <alignment horizontal="center" vertical="center"/>
    </xf>
    <xf numFmtId="172" fontId="26" fillId="2" borderId="12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28" fillId="0" borderId="15" xfId="0" applyNumberFormat="1" applyFont="1" applyBorder="1" applyAlignment="1">
      <alignment horizontal="center" vertical="center"/>
    </xf>
    <xf numFmtId="172" fontId="2" fillId="2" borderId="9" xfId="0" applyNumberFormat="1" applyFont="1" applyFill="1" applyBorder="1" applyAlignment="1">
      <alignment horizontal="center" vertical="center"/>
    </xf>
    <xf numFmtId="172" fontId="18" fillId="2" borderId="0" xfId="0" applyNumberFormat="1" applyFont="1" applyFill="1" applyAlignment="1">
      <alignment horizontal="center" vertical="center"/>
    </xf>
    <xf numFmtId="11" fontId="28" fillId="0" borderId="9" xfId="0" applyNumberFormat="1" applyFont="1" applyBorder="1" applyAlignment="1">
      <alignment horizontal="center" vertical="center"/>
    </xf>
    <xf numFmtId="166" fontId="2" fillId="2" borderId="14" xfId="0" applyNumberFormat="1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72" fontId="26" fillId="2" borderId="0" xfId="0" applyNumberFormat="1" applyFont="1" applyFill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2" fillId="2" borderId="9" xfId="0" applyNumberFormat="1" applyFont="1" applyFill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73" fontId="0" fillId="0" borderId="4" xfId="0" applyNumberFormat="1" applyBorder="1" applyAlignment="1">
      <alignment horizontal="center" vertical="center"/>
    </xf>
    <xf numFmtId="11" fontId="17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4" fontId="2" fillId="0" borderId="0" xfId="1" applyNumberFormat="1" applyFont="1" applyAlignment="1">
      <alignment horizontal="center" vertical="center"/>
    </xf>
    <xf numFmtId="172" fontId="18" fillId="2" borderId="1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1" fontId="2" fillId="2" borderId="14" xfId="0" applyNumberFormat="1" applyFont="1" applyFill="1" applyBorder="1" applyAlignment="1">
      <alignment horizontal="center" vertical="center"/>
    </xf>
    <xf numFmtId="11" fontId="2" fillId="2" borderId="6" xfId="0" applyNumberFormat="1" applyFont="1" applyFill="1" applyBorder="1" applyAlignment="1">
      <alignment horizontal="center" vertical="center"/>
    </xf>
    <xf numFmtId="173" fontId="0" fillId="0" borderId="13" xfId="0" applyNumberForma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1" fontId="21" fillId="0" borderId="3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172" fontId="24" fillId="2" borderId="6" xfId="0" applyNumberFormat="1" applyFont="1" applyFill="1" applyBorder="1" applyAlignment="1">
      <alignment horizontal="center" vertical="center"/>
    </xf>
    <xf numFmtId="172" fontId="2" fillId="2" borderId="13" xfId="0" applyNumberFormat="1" applyFont="1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/>
    </xf>
    <xf numFmtId="175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172" fontId="0" fillId="0" borderId="0" xfId="2" applyNumberFormat="1" applyFont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14" xfId="0" applyNumberFormat="1" applyFont="1" applyFill="1" applyBorder="1" applyAlignment="1">
      <alignment horizontal="center" vertical="center"/>
    </xf>
    <xf numFmtId="11" fontId="30" fillId="0" borderId="0" xfId="0" applyNumberFormat="1" applyFont="1"/>
    <xf numFmtId="164" fontId="2" fillId="4" borderId="6" xfId="0" applyNumberFormat="1" applyFont="1" applyFill="1" applyBorder="1" applyAlignment="1">
      <alignment horizontal="center" vertical="center"/>
    </xf>
    <xf numFmtId="165" fontId="13" fillId="0" borderId="13" xfId="0" applyNumberFormat="1" applyFont="1" applyBorder="1" applyAlignment="1">
      <alignment horizontal="center" vertical="center"/>
    </xf>
    <xf numFmtId="165" fontId="13" fillId="0" borderId="4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1" fontId="24" fillId="0" borderId="14" xfId="0" applyNumberFormat="1" applyFont="1" applyBorder="1" applyAlignment="1">
      <alignment horizontal="center" vertical="center"/>
    </xf>
    <xf numFmtId="0" fontId="28" fillId="3" borderId="9" xfId="0" applyFont="1" applyFill="1" applyBorder="1" applyAlignment="1">
      <alignment horizontal="center" vertical="center"/>
    </xf>
    <xf numFmtId="172" fontId="0" fillId="2" borderId="15" xfId="0" applyNumberFormat="1" applyFill="1" applyBorder="1" applyAlignment="1">
      <alignment horizontal="center" vertical="center"/>
    </xf>
    <xf numFmtId="172" fontId="18" fillId="5" borderId="12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172" fontId="26" fillId="5" borderId="12" xfId="0" applyNumberFormat="1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1" fillId="0" borderId="0" xfId="0" applyFont="1" applyAlignment="1">
      <alignment vertical="center" wrapText="1"/>
    </xf>
    <xf numFmtId="11" fontId="31" fillId="0" borderId="0" xfId="0" applyNumberFormat="1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horizontal="right" vertical="center" wrapText="1"/>
    </xf>
    <xf numFmtId="0" fontId="36" fillId="0" borderId="0" xfId="0" applyFont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38" fillId="0" borderId="0" xfId="0" applyFont="1" applyAlignment="1">
      <alignment vertical="center"/>
    </xf>
    <xf numFmtId="0" fontId="21" fillId="0" borderId="4" xfId="0" applyFont="1" applyBorder="1" applyAlignment="1">
      <alignment horizontal="center" vertical="center"/>
    </xf>
    <xf numFmtId="171" fontId="0" fillId="0" borderId="5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34" fillId="0" borderId="0" xfId="0" applyNumberFormat="1" applyFont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35" fillId="5" borderId="0" xfId="0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gi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gif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E6E984CA-1684-436F-9170-B83DA25BBA46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E6E984CA-1684-436F-9170-B83DA25BBA46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F06DFE83-9CEF-4D7E-B6BC-315A66CF0045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F06DFE83-9CEF-4D7E-B6BC-315A66CF0045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E37A8DE7-F6C4-4A59-B2F1-DBC779EA3F8D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E37A8DE7-F6C4-4A59-B2F1-DBC779EA3F8D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𝑄=𝑄_𝑡𝑟𝑎𝑠𝑙×𝑄_𝑒𝑙×𝑄_𝑟𝑜𝑡^2𝐷×𝑄_𝑣𝑖𝑏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41D92E63-85D3-41B9-A2CB-6D3483F62B13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41D92E63-85D3-41B9-A2CB-6D3483F62B13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254293F0-868D-443D-8BEB-A20DF3A14CD1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254293F0-868D-443D-8BEB-A20DF3A14CD1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Q_el=1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E25E4A2B-9385-441F-81A3-C7F4A3AC7900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E25E4A2B-9385-441F-81A3-C7F4A3AC7900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411FE298-C2FD-45FE-8A9F-DB7F8762CFFD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411FE298-C2FD-45FE-8A9F-DB7F8762CFFD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256DFD05-3287-469D-A577-86FAB0EBC7C7}"/>
            </a:ext>
          </a:extLst>
        </xdr:cNvPr>
        <xdr:cNvSpPr txBox="1"/>
      </xdr:nvSpPr>
      <xdr:spPr>
        <a:xfrm>
          <a:off x="6333432" y="420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9C63112A-C26F-42F4-900A-1FFDDB28ED79}"/>
            </a:ext>
          </a:extLst>
        </xdr:cNvPr>
        <xdr:cNvSpPr txBox="1"/>
      </xdr:nvSpPr>
      <xdr:spPr>
        <a:xfrm>
          <a:off x="1047750" y="4339070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B8419BA1-8F36-4C5C-AF58-FF87D5D132AE}"/>
                </a:ext>
              </a:extLst>
            </xdr:cNvPr>
            <xdr:cNvSpPr txBox="1"/>
          </xdr:nvSpPr>
          <xdr:spPr>
            <a:xfrm>
              <a:off x="839932" y="4345997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B8419BA1-8F36-4C5C-AF58-FF87D5D132AE}"/>
                </a:ext>
              </a:extLst>
            </xdr:cNvPr>
            <xdr:cNvSpPr txBox="1"/>
          </xdr:nvSpPr>
          <xdr:spPr>
            <a:xfrm>
              <a:off x="839932" y="4345997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16EC0821-950F-45E4-AA62-DDBC9072D4CF}"/>
            </a:ext>
          </a:extLst>
        </xdr:cNvPr>
        <xdr:cNvSpPr txBox="1"/>
      </xdr:nvSpPr>
      <xdr:spPr>
        <a:xfrm>
          <a:off x="4283652" y="46550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4AA2E5DF-21E3-4F18-BB49-16D0D1E2C38E}"/>
            </a:ext>
          </a:extLst>
        </xdr:cNvPr>
        <xdr:cNvSpPr txBox="1"/>
      </xdr:nvSpPr>
      <xdr:spPr>
        <a:xfrm>
          <a:off x="4283652" y="50810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9473FB12-CE70-4A0B-81E0-AF003413A7B0}"/>
            </a:ext>
          </a:extLst>
        </xdr:cNvPr>
        <xdr:cNvSpPr txBox="1"/>
      </xdr:nvSpPr>
      <xdr:spPr>
        <a:xfrm>
          <a:off x="12238932" y="420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C789AF7A-253B-4FB0-9914-960EB630C9E2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C789AF7A-253B-4FB0-9914-960EB630C9E2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0D50DA37-ECE2-44D7-9960-FB449A197DDF}"/>
            </a:ext>
          </a:extLst>
        </xdr:cNvPr>
        <xdr:cNvSpPr txBox="1"/>
      </xdr:nvSpPr>
      <xdr:spPr>
        <a:xfrm>
          <a:off x="7497732" y="3438109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95A437A4-8106-4531-915B-04E0B9716112}"/>
            </a:ext>
          </a:extLst>
        </xdr:cNvPr>
        <xdr:cNvSpPr txBox="1"/>
      </xdr:nvSpPr>
      <xdr:spPr>
        <a:xfrm>
          <a:off x="7359189" y="44296791"/>
          <a:ext cx="1428750" cy="21394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19" name="Connettore 2 18">
          <a:extLst>
            <a:ext uri="{FF2B5EF4-FFF2-40B4-BE49-F238E27FC236}">
              <a16:creationId xmlns:a16="http://schemas.microsoft.com/office/drawing/2014/main" id="{AC1D3E73-127A-46AF-BF8B-06F575A6BCA1}"/>
            </a:ext>
          </a:extLst>
        </xdr:cNvPr>
        <xdr:cNvCxnSpPr/>
      </xdr:nvCxnSpPr>
      <xdr:spPr>
        <a:xfrm>
          <a:off x="7956666" y="4350327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0" name="Connettore 2 19">
          <a:extLst>
            <a:ext uri="{FF2B5EF4-FFF2-40B4-BE49-F238E27FC236}">
              <a16:creationId xmlns:a16="http://schemas.microsoft.com/office/drawing/2014/main" id="{85C86A39-8AF7-489E-AE47-FA654288AF01}"/>
            </a:ext>
          </a:extLst>
        </xdr:cNvPr>
        <xdr:cNvCxnSpPr/>
      </xdr:nvCxnSpPr>
      <xdr:spPr>
        <a:xfrm>
          <a:off x="8034597" y="3399663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1DD3A284-1E97-4CB6-A5F6-0E4414AD7317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1DD3A284-1E97-4CB6-A5F6-0E4414AD7317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8347B83B-62EA-464F-92E1-E8B0EDBCCDCE}"/>
            </a:ext>
          </a:extLst>
        </xdr:cNvPr>
        <xdr:cNvSpPr txBox="1"/>
      </xdr:nvSpPr>
      <xdr:spPr>
        <a:xfrm>
          <a:off x="12238932" y="46550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3" name="CasellaDiTesto 22">
          <a:extLst>
            <a:ext uri="{FF2B5EF4-FFF2-40B4-BE49-F238E27FC236}">
              <a16:creationId xmlns:a16="http://schemas.microsoft.com/office/drawing/2014/main" id="{925F3C52-3E63-4116-989F-7F854A7ED36E}"/>
            </a:ext>
          </a:extLst>
        </xdr:cNvPr>
        <xdr:cNvSpPr txBox="1"/>
      </xdr:nvSpPr>
      <xdr:spPr>
        <a:xfrm>
          <a:off x="1047750" y="5235944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AAF828AA-CB06-4A6A-997C-DA9B43E81888}"/>
                </a:ext>
              </a:extLst>
            </xdr:cNvPr>
            <xdr:cNvSpPr txBox="1"/>
          </xdr:nvSpPr>
          <xdr:spPr>
            <a:xfrm>
              <a:off x="839932" y="5242871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AAF828AA-CB06-4A6A-997C-DA9B43E81888}"/>
                </a:ext>
              </a:extLst>
            </xdr:cNvPr>
            <xdr:cNvSpPr txBox="1"/>
          </xdr:nvSpPr>
          <xdr:spPr>
            <a:xfrm>
              <a:off x="839932" y="5242871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9B1C7D14-D678-4A2C-8DF6-FB5959944CA3}"/>
            </a:ext>
          </a:extLst>
        </xdr:cNvPr>
        <xdr:cNvSpPr txBox="1"/>
      </xdr:nvSpPr>
      <xdr:spPr>
        <a:xfrm>
          <a:off x="4283652" y="55443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41FBE5A6-83A9-4399-833D-AFA6D2AD495A}"/>
            </a:ext>
          </a:extLst>
        </xdr:cNvPr>
        <xdr:cNvSpPr txBox="1"/>
      </xdr:nvSpPr>
      <xdr:spPr>
        <a:xfrm>
          <a:off x="7359189" y="5321219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27" name="Connettore 2 26">
          <a:extLst>
            <a:ext uri="{FF2B5EF4-FFF2-40B4-BE49-F238E27FC236}">
              <a16:creationId xmlns:a16="http://schemas.microsoft.com/office/drawing/2014/main" id="{F0A0B02C-3725-4835-805C-5519A7F9A78D}"/>
            </a:ext>
          </a:extLst>
        </xdr:cNvPr>
        <xdr:cNvCxnSpPr/>
      </xdr:nvCxnSpPr>
      <xdr:spPr>
        <a:xfrm>
          <a:off x="7956666" y="5247201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28" name="CasellaDiTesto 27">
          <a:extLst>
            <a:ext uri="{FF2B5EF4-FFF2-40B4-BE49-F238E27FC236}">
              <a16:creationId xmlns:a16="http://schemas.microsoft.com/office/drawing/2014/main" id="{EDE783BB-148F-4E4F-BB6C-00D8056ADF0A}"/>
            </a:ext>
          </a:extLst>
        </xdr:cNvPr>
        <xdr:cNvSpPr txBox="1"/>
      </xdr:nvSpPr>
      <xdr:spPr>
        <a:xfrm>
          <a:off x="12238932" y="55443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3DF3D4FF-A555-4AEF-9290-4CCCA9E16592}"/>
                </a:ext>
              </a:extLst>
            </xdr:cNvPr>
            <xdr:cNvSpPr txBox="1"/>
          </xdr:nvSpPr>
          <xdr:spPr>
            <a:xfrm>
              <a:off x="242455" y="5350002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3DF3D4FF-A555-4AEF-9290-4CCCA9E16592}"/>
                </a:ext>
              </a:extLst>
            </xdr:cNvPr>
            <xdr:cNvSpPr txBox="1"/>
          </xdr:nvSpPr>
          <xdr:spPr>
            <a:xfrm>
              <a:off x="242455" y="5350002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0" name="CasellaDiTesto 29">
          <a:extLst>
            <a:ext uri="{FF2B5EF4-FFF2-40B4-BE49-F238E27FC236}">
              <a16:creationId xmlns:a16="http://schemas.microsoft.com/office/drawing/2014/main" id="{825B9749-3D0D-465D-A9BF-A373B8E19A03}"/>
            </a:ext>
          </a:extLst>
        </xdr:cNvPr>
        <xdr:cNvSpPr txBox="1"/>
      </xdr:nvSpPr>
      <xdr:spPr>
        <a:xfrm>
          <a:off x="0" y="5312456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8DCFCD8C-F3FB-4CA7-9C0A-9A8D90B18F32}"/>
            </a:ext>
          </a:extLst>
        </xdr:cNvPr>
        <xdr:cNvSpPr txBox="1"/>
      </xdr:nvSpPr>
      <xdr:spPr>
        <a:xfrm>
          <a:off x="3392978" y="4242296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id="{26EA3EE5-3E09-4A7F-B6A8-28990F33F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4297" y="4229308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450271</xdr:colOff>
      <xdr:row>63</xdr:row>
      <xdr:rowOff>17317</xdr:rowOff>
    </xdr:from>
    <xdr:ext cx="2764849" cy="917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D3F18CA3-75E4-45E5-85FA-0C296CBB4BAA}"/>
                </a:ext>
              </a:extLst>
            </xdr:cNvPr>
            <xdr:cNvSpPr txBox="1"/>
          </xdr:nvSpPr>
          <xdr:spPr>
            <a:xfrm>
              <a:off x="450271" y="1198833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D3F18CA3-75E4-45E5-85FA-0C296CBB4BAA}"/>
                </a:ext>
              </a:extLst>
            </xdr:cNvPr>
            <xdr:cNvSpPr txBox="1"/>
          </xdr:nvSpPr>
          <xdr:spPr>
            <a:xfrm>
              <a:off x="450271" y="1198833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Q_vib=∏_(𝑖=1)^(𝑁_𝑣𝑖𝑏)▒1/(1−exp⁡(−(ℎ𝜈_𝑖)/(𝑘_𝐵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9</xdr:col>
      <xdr:colOff>92652</xdr:colOff>
      <xdr:row>243</xdr:row>
      <xdr:rowOff>114300</xdr:rowOff>
    </xdr:from>
    <xdr:ext cx="65" cy="172227"/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B2BD042E-3040-49F7-9CC3-13F3647FCFFA}"/>
            </a:ext>
          </a:extLst>
        </xdr:cNvPr>
        <xdr:cNvSpPr txBox="1"/>
      </xdr:nvSpPr>
      <xdr:spPr>
        <a:xfrm>
          <a:off x="12238932" y="467334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243</xdr:row>
      <xdr:rowOff>114300</xdr:rowOff>
    </xdr:from>
    <xdr:ext cx="65" cy="172227"/>
    <xdr:sp macro="" textlink="">
      <xdr:nvSpPr>
        <xdr:cNvPr id="37" name="CasellaDiTesto 36">
          <a:extLst>
            <a:ext uri="{FF2B5EF4-FFF2-40B4-BE49-F238E27FC236}">
              <a16:creationId xmlns:a16="http://schemas.microsoft.com/office/drawing/2014/main" id="{D4D7B462-AF17-4683-A4C2-172A3BA34BA4}"/>
            </a:ext>
          </a:extLst>
        </xdr:cNvPr>
        <xdr:cNvSpPr txBox="1"/>
      </xdr:nvSpPr>
      <xdr:spPr>
        <a:xfrm>
          <a:off x="12238932" y="467334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0</xdr:colOff>
      <xdr:row>106</xdr:row>
      <xdr:rowOff>0</xdr:rowOff>
    </xdr:from>
    <xdr:ext cx="4141643" cy="594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8E7BDEB9-4E38-44B0-BD7F-EC6FDD83D748}"/>
                </a:ext>
              </a:extLst>
            </xdr:cNvPr>
            <xdr:cNvSpPr txBox="1"/>
          </xdr:nvSpPr>
          <xdr:spPr>
            <a:xfrm>
              <a:off x="0" y="20147280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8E7BDEB9-4E38-44B0-BD7F-EC6FDD83D748}"/>
                </a:ext>
              </a:extLst>
            </xdr:cNvPr>
            <xdr:cNvSpPr txBox="1"/>
          </xdr:nvSpPr>
          <xdr:spPr>
            <a:xfrm>
              <a:off x="0" y="20147280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𝑄_𝑟𝑜𝑡^3𝐷=(8𝜋^2 〖(2𝜋𝑘〗_𝐵 〖𝑇)〗^(3/2) √(𝐼_𝑥 𝐼_𝑦 𝐼_𝑧 ))/(𝜎ℎ^3 )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582757</xdr:colOff>
      <xdr:row>110</xdr:row>
      <xdr:rowOff>164868</xdr:rowOff>
    </xdr:from>
    <xdr:to>
      <xdr:col>2</xdr:col>
      <xdr:colOff>80530</xdr:colOff>
      <xdr:row>113</xdr:row>
      <xdr:rowOff>18010</xdr:rowOff>
    </xdr:to>
    <xdr:sp macro="" textlink="">
      <xdr:nvSpPr>
        <xdr:cNvPr id="41" name="CasellaDiTesto 40">
          <a:extLst>
            <a:ext uri="{FF2B5EF4-FFF2-40B4-BE49-F238E27FC236}">
              <a16:creationId xmlns:a16="http://schemas.microsoft.com/office/drawing/2014/main" id="{8B9A4F32-EA89-4E30-AEA6-4109E6D4F262}"/>
            </a:ext>
          </a:extLst>
        </xdr:cNvPr>
        <xdr:cNvSpPr txBox="1"/>
      </xdr:nvSpPr>
      <xdr:spPr>
        <a:xfrm>
          <a:off x="582757" y="21104628"/>
          <a:ext cx="2682933" cy="40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utilizzato però questa</a:t>
          </a:r>
          <a:r>
            <a:rPr lang="it-IT" sz="1100" baseline="0"/>
            <a:t> riscrittura:</a:t>
          </a:r>
          <a:endParaRPr lang="it-IT" sz="1100"/>
        </a:p>
      </xdr:txBody>
    </xdr:sp>
    <xdr:clientData/>
  </xdr:twoCellAnchor>
  <xdr:oneCellAnchor>
    <xdr:from>
      <xdr:col>0</xdr:col>
      <xdr:colOff>606134</xdr:colOff>
      <xdr:row>112</xdr:row>
      <xdr:rowOff>150668</xdr:rowOff>
    </xdr:from>
    <xdr:ext cx="2816804" cy="62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asellaDiTesto 41">
              <a:extLst>
                <a:ext uri="{FF2B5EF4-FFF2-40B4-BE49-F238E27FC236}">
                  <a16:creationId xmlns:a16="http://schemas.microsoft.com/office/drawing/2014/main" id="{B51D38BF-3F1C-4E89-88CD-498365C11778}"/>
                </a:ext>
              </a:extLst>
            </xdr:cNvPr>
            <xdr:cNvSpPr txBox="1"/>
          </xdr:nvSpPr>
          <xdr:spPr>
            <a:xfrm>
              <a:off x="606134" y="21463808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</m:t>
                      </m:r>
                    </m:e>
                    <m:sub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rot</m:t>
                      </m:r>
                    </m:sub>
                    <m:sup>
                      <m: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sup>
                  </m:sSubSup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f>
                    <m:f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sty m:val="p"/>
                            </m:rP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π</m:t>
                          </m:r>
                        </m:e>
                      </m:rad>
                    </m:num>
                    <m:den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σ</m:t>
                      </m:r>
                    </m:den>
                  </m:f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rad>
                    <m:radPr>
                      <m:degHide m:val="on"/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T</m:t>
                              </m:r>
                            </m:e>
                            <m:sup>
                              <m: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x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y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z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42" name="CasellaDiTesto 41">
              <a:extLst>
                <a:ext uri="{FF2B5EF4-FFF2-40B4-BE49-F238E27FC236}">
                  <a16:creationId xmlns:a16="http://schemas.microsoft.com/office/drawing/2014/main" id="{B51D38BF-3F1C-4E89-88CD-498365C11778}"/>
                </a:ext>
              </a:extLst>
            </xdr:cNvPr>
            <xdr:cNvSpPr txBox="1"/>
          </xdr:nvSpPr>
          <xdr:spPr>
            <a:xfrm>
              <a:off x="606134" y="21463808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Q_rot^3D=  √π/σ⋅√(T^3/(θ_x⋅θ_y⋅θ_z ))</a:t>
              </a:r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539461</xdr:colOff>
      <xdr:row>117</xdr:row>
      <xdr:rowOff>113260</xdr:rowOff>
    </xdr:from>
    <xdr:to>
      <xdr:col>1</xdr:col>
      <xdr:colOff>1120660</xdr:colOff>
      <xdr:row>121</xdr:row>
      <xdr:rowOff>173873</xdr:rowOff>
    </xdr:to>
    <xdr:sp macro="" textlink="">
      <xdr:nvSpPr>
        <xdr:cNvPr id="43" name="CasellaDiTesto 42">
          <a:extLst>
            <a:ext uri="{FF2B5EF4-FFF2-40B4-BE49-F238E27FC236}">
              <a16:creationId xmlns:a16="http://schemas.microsoft.com/office/drawing/2014/main" id="{0B2F5975-BF12-4D29-ADA3-D486BA37FB17}"/>
            </a:ext>
          </a:extLst>
        </xdr:cNvPr>
        <xdr:cNvSpPr txBox="1"/>
      </xdr:nvSpPr>
      <xdr:spPr>
        <a:xfrm>
          <a:off x="539461" y="22340800"/>
          <a:ext cx="2630979" cy="79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dove le </a:t>
          </a:r>
          <a:r>
            <a:rPr lang="el-GR" sz="1100"/>
            <a:t>ϑ</a:t>
          </a:r>
          <a:r>
            <a:rPr lang="it-IT" sz="1100"/>
            <a:t> rappresentano le temperature rotazionali rispetto agli assi x, y e z</a:t>
          </a:r>
        </a:p>
      </xdr:txBody>
    </xdr:sp>
    <xdr:clientData/>
  </xdr:twoCellAnchor>
  <xdr:oneCellAnchor>
    <xdr:from>
      <xdr:col>5</xdr:col>
      <xdr:colOff>1264920</xdr:colOff>
      <xdr:row>196</xdr:row>
      <xdr:rowOff>83820</xdr:rowOff>
    </xdr:from>
    <xdr:ext cx="2184689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A3D71CC-3073-46F8-AD48-C9769F06B971}"/>
                </a:ext>
              </a:extLst>
            </xdr:cNvPr>
            <xdr:cNvSpPr txBox="1"/>
          </xdr:nvSpPr>
          <xdr:spPr>
            <a:xfrm>
              <a:off x="8511540" y="37734240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rad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A3D71CC-3073-46F8-AD48-C9769F06B971}"/>
                </a:ext>
              </a:extLst>
            </xdr:cNvPr>
            <xdr:cNvSpPr txBox="1"/>
          </xdr:nvSpPr>
          <xdr:spPr>
            <a:xfrm>
              <a:off x="8511540" y="37734240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𝐼=√(𝐼_𝑥^2+𝐼_𝑦^2+𝐼_𝑧^2 )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twoCellAnchor editAs="oneCell">
    <xdr:from>
      <xdr:col>8</xdr:col>
      <xdr:colOff>350520</xdr:colOff>
      <xdr:row>6</xdr:row>
      <xdr:rowOff>39402</xdr:rowOff>
    </xdr:from>
    <xdr:to>
      <xdr:col>9</xdr:col>
      <xdr:colOff>1135774</xdr:colOff>
      <xdr:row>15</xdr:row>
      <xdr:rowOff>137560</xdr:rowOff>
    </xdr:to>
    <xdr:pic>
      <xdr:nvPicPr>
        <xdr:cNvPr id="36" name="Immagine 35">
          <a:extLst>
            <a:ext uri="{FF2B5EF4-FFF2-40B4-BE49-F238E27FC236}">
              <a16:creationId xmlns:a16="http://schemas.microsoft.com/office/drawing/2014/main" id="{77A0414D-787B-1AF1-6F60-1E0C9D427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46180" y="1220502"/>
          <a:ext cx="1935874" cy="19650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0331A45C-D83B-4C23-A506-EBD0B52F6DA5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0331A45C-D83B-4C23-A506-EBD0B52F6DA5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DA4F564-BAC1-4A2F-B3CE-3D5A30BB427B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DA4F564-BAC1-4A2F-B3CE-3D5A30BB427B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63EEA00B-57F7-4BE8-B0BB-BF3FE7697805}"/>
                </a:ext>
              </a:extLst>
            </xdr:cNvPr>
            <xdr:cNvSpPr txBox="1"/>
          </xdr:nvSpPr>
          <xdr:spPr>
            <a:xfrm>
              <a:off x="216478" y="2945891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63EEA00B-57F7-4BE8-B0BB-BF3FE7697805}"/>
                </a:ext>
              </a:extLst>
            </xdr:cNvPr>
            <xdr:cNvSpPr txBox="1"/>
          </xdr:nvSpPr>
          <xdr:spPr>
            <a:xfrm>
              <a:off x="216478" y="2945891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𝑄=𝑄_𝑡𝑟𝑎𝑠𝑙×𝑄_𝑒𝑙×𝑄_𝑟𝑜𝑡^2𝐷×𝑄_𝑣𝑖𝑏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4722F0E-D105-4B6A-A65D-8279AFF389A9}"/>
                </a:ext>
              </a:extLst>
            </xdr:cNvPr>
            <xdr:cNvSpPr txBox="1"/>
          </xdr:nvSpPr>
          <xdr:spPr>
            <a:xfrm>
              <a:off x="0" y="2676906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4722F0E-D105-4B6A-A65D-8279AFF389A9}"/>
                </a:ext>
              </a:extLst>
            </xdr:cNvPr>
            <xdr:cNvSpPr txBox="1"/>
          </xdr:nvSpPr>
          <xdr:spPr>
            <a:xfrm>
              <a:off x="0" y="2676906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167EDA3-8A57-446A-8D65-66BB9ED5E43E}"/>
                </a:ext>
              </a:extLst>
            </xdr:cNvPr>
            <xdr:cNvSpPr txBox="1"/>
          </xdr:nvSpPr>
          <xdr:spPr>
            <a:xfrm>
              <a:off x="0" y="2710572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167EDA3-8A57-446A-8D65-66BB9ED5E43E}"/>
                </a:ext>
              </a:extLst>
            </xdr:cNvPr>
            <xdr:cNvSpPr txBox="1"/>
          </xdr:nvSpPr>
          <xdr:spPr>
            <a:xfrm>
              <a:off x="0" y="2710572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Q_el=2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BC7086F4-7345-496C-9F54-A72706959574}"/>
                </a:ext>
              </a:extLst>
            </xdr:cNvPr>
            <xdr:cNvSpPr txBox="1"/>
          </xdr:nvSpPr>
          <xdr:spPr>
            <a:xfrm>
              <a:off x="993198" y="3386639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BC7086F4-7345-496C-9F54-A72706959574}"/>
                </a:ext>
              </a:extLst>
            </xdr:cNvPr>
            <xdr:cNvSpPr txBox="1"/>
          </xdr:nvSpPr>
          <xdr:spPr>
            <a:xfrm>
              <a:off x="993198" y="3386639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526AA69F-62D0-4234-BDC3-FB2F5D45DAF1}"/>
                </a:ext>
              </a:extLst>
            </xdr:cNvPr>
            <xdr:cNvSpPr txBox="1"/>
          </xdr:nvSpPr>
          <xdr:spPr>
            <a:xfrm>
              <a:off x="857250" y="3885230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526AA69F-62D0-4234-BDC3-FB2F5D45DAF1}"/>
                </a:ext>
              </a:extLst>
            </xdr:cNvPr>
            <xdr:cNvSpPr txBox="1"/>
          </xdr:nvSpPr>
          <xdr:spPr>
            <a:xfrm>
              <a:off x="857250" y="3885230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09AF35C-C863-4F00-9797-E797EE63F10A}"/>
            </a:ext>
          </a:extLst>
        </xdr:cNvPr>
        <xdr:cNvSpPr txBox="1"/>
      </xdr:nvSpPr>
      <xdr:spPr>
        <a:xfrm>
          <a:off x="6333432" y="42031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8F8587BE-47F7-43CE-9DDA-81F66F282C89}"/>
            </a:ext>
          </a:extLst>
        </xdr:cNvPr>
        <xdr:cNvSpPr txBox="1"/>
      </xdr:nvSpPr>
      <xdr:spPr>
        <a:xfrm>
          <a:off x="1047750" y="4340594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3755A30D-ACEF-40FB-A66B-CBAF2E34B966}"/>
                </a:ext>
              </a:extLst>
            </xdr:cNvPr>
            <xdr:cNvSpPr txBox="1"/>
          </xdr:nvSpPr>
          <xdr:spPr>
            <a:xfrm>
              <a:off x="839932" y="4347521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3755A30D-ACEF-40FB-A66B-CBAF2E34B966}"/>
                </a:ext>
              </a:extLst>
            </xdr:cNvPr>
            <xdr:cNvSpPr txBox="1"/>
          </xdr:nvSpPr>
          <xdr:spPr>
            <a:xfrm>
              <a:off x="839932" y="4347521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96765C4A-7273-4142-8000-618C37DC20D8}"/>
            </a:ext>
          </a:extLst>
        </xdr:cNvPr>
        <xdr:cNvSpPr txBox="1"/>
      </xdr:nvSpPr>
      <xdr:spPr>
        <a:xfrm>
          <a:off x="4283652" y="46565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8C88BA19-8355-4BD6-99EA-37A41A90DB91}"/>
            </a:ext>
          </a:extLst>
        </xdr:cNvPr>
        <xdr:cNvSpPr txBox="1"/>
      </xdr:nvSpPr>
      <xdr:spPr>
        <a:xfrm>
          <a:off x="4283652" y="5082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79ACB918-4CA4-4F97-9171-53E2238BA0A1}"/>
            </a:ext>
          </a:extLst>
        </xdr:cNvPr>
        <xdr:cNvSpPr txBox="1"/>
      </xdr:nvSpPr>
      <xdr:spPr>
        <a:xfrm>
          <a:off x="12238932" y="42031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CF43DBC8-8DAA-433C-97BE-E7B3B0A14B61}"/>
                </a:ext>
              </a:extLst>
            </xdr:cNvPr>
            <xdr:cNvSpPr txBox="1"/>
          </xdr:nvSpPr>
          <xdr:spPr>
            <a:xfrm>
              <a:off x="144605" y="2651309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CF43DBC8-8DAA-433C-97BE-E7B3B0A14B61}"/>
                </a:ext>
              </a:extLst>
            </xdr:cNvPr>
            <xdr:cNvSpPr txBox="1"/>
          </xdr:nvSpPr>
          <xdr:spPr>
            <a:xfrm>
              <a:off x="144605" y="2651309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2F9A8B62-334A-422C-A544-AA358D065092}"/>
            </a:ext>
          </a:extLst>
        </xdr:cNvPr>
        <xdr:cNvSpPr txBox="1"/>
      </xdr:nvSpPr>
      <xdr:spPr>
        <a:xfrm>
          <a:off x="7497732" y="3439633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EF05FF56-57FD-4F9F-B152-B507A9C07CEE}"/>
            </a:ext>
          </a:extLst>
        </xdr:cNvPr>
        <xdr:cNvSpPr txBox="1"/>
      </xdr:nvSpPr>
      <xdr:spPr>
        <a:xfrm>
          <a:off x="7359189" y="44312031"/>
          <a:ext cx="1428750" cy="21394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7627202B-A800-4DBE-B520-C82C744A4769}"/>
            </a:ext>
          </a:extLst>
        </xdr:cNvPr>
        <xdr:cNvCxnSpPr/>
      </xdr:nvCxnSpPr>
      <xdr:spPr>
        <a:xfrm>
          <a:off x="7956666" y="4351851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19" name="Connettore 2 18">
          <a:extLst>
            <a:ext uri="{FF2B5EF4-FFF2-40B4-BE49-F238E27FC236}">
              <a16:creationId xmlns:a16="http://schemas.microsoft.com/office/drawing/2014/main" id="{E1D82175-6E26-48CD-96C3-91B1ECC6252F}"/>
            </a:ext>
          </a:extLst>
        </xdr:cNvPr>
        <xdr:cNvCxnSpPr/>
      </xdr:nvCxnSpPr>
      <xdr:spPr>
        <a:xfrm>
          <a:off x="8034597" y="3401187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37011981-4DEC-407A-8C20-02184BCB1F3E}"/>
                </a:ext>
              </a:extLst>
            </xdr:cNvPr>
            <xdr:cNvSpPr txBox="1"/>
          </xdr:nvSpPr>
          <xdr:spPr>
            <a:xfrm>
              <a:off x="2993620" y="3810415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37011981-4DEC-407A-8C20-02184BCB1F3E}"/>
                </a:ext>
              </a:extLst>
            </xdr:cNvPr>
            <xdr:cNvSpPr txBox="1"/>
          </xdr:nvSpPr>
          <xdr:spPr>
            <a:xfrm>
              <a:off x="2993620" y="3810415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1" name="CasellaDiTesto 20">
          <a:extLst>
            <a:ext uri="{FF2B5EF4-FFF2-40B4-BE49-F238E27FC236}">
              <a16:creationId xmlns:a16="http://schemas.microsoft.com/office/drawing/2014/main" id="{167A90E9-C10A-4723-8CA0-317D5945A105}"/>
            </a:ext>
          </a:extLst>
        </xdr:cNvPr>
        <xdr:cNvSpPr txBox="1"/>
      </xdr:nvSpPr>
      <xdr:spPr>
        <a:xfrm>
          <a:off x="12238932" y="46565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9AEF6B91-9994-44F4-8F3E-EFCE24A38066}"/>
            </a:ext>
          </a:extLst>
        </xdr:cNvPr>
        <xdr:cNvSpPr txBox="1"/>
      </xdr:nvSpPr>
      <xdr:spPr>
        <a:xfrm>
          <a:off x="1047750" y="5237468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26E738D7-972B-4601-B75C-43B5FFE83248}"/>
                </a:ext>
              </a:extLst>
            </xdr:cNvPr>
            <xdr:cNvSpPr txBox="1"/>
          </xdr:nvSpPr>
          <xdr:spPr>
            <a:xfrm>
              <a:off x="839932" y="5244395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26E738D7-972B-4601-B75C-43B5FFE83248}"/>
                </a:ext>
              </a:extLst>
            </xdr:cNvPr>
            <xdr:cNvSpPr txBox="1"/>
          </xdr:nvSpPr>
          <xdr:spPr>
            <a:xfrm>
              <a:off x="839932" y="5244395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367FD07B-CFE6-47C8-AF5A-FB1F9F3EBBF6}"/>
            </a:ext>
          </a:extLst>
        </xdr:cNvPr>
        <xdr:cNvSpPr txBox="1"/>
      </xdr:nvSpPr>
      <xdr:spPr>
        <a:xfrm>
          <a:off x="4283652" y="55458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29EED08D-3A5A-4295-87C8-EBB6C29F4E84}"/>
            </a:ext>
          </a:extLst>
        </xdr:cNvPr>
        <xdr:cNvSpPr txBox="1"/>
      </xdr:nvSpPr>
      <xdr:spPr>
        <a:xfrm>
          <a:off x="7359189" y="5322743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26" name="Connettore 2 25">
          <a:extLst>
            <a:ext uri="{FF2B5EF4-FFF2-40B4-BE49-F238E27FC236}">
              <a16:creationId xmlns:a16="http://schemas.microsoft.com/office/drawing/2014/main" id="{ACA2FC3F-C766-4D01-8573-71580CAD9443}"/>
            </a:ext>
          </a:extLst>
        </xdr:cNvPr>
        <xdr:cNvCxnSpPr/>
      </xdr:nvCxnSpPr>
      <xdr:spPr>
        <a:xfrm>
          <a:off x="7956666" y="5248725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27" name="CasellaDiTesto 26">
          <a:extLst>
            <a:ext uri="{FF2B5EF4-FFF2-40B4-BE49-F238E27FC236}">
              <a16:creationId xmlns:a16="http://schemas.microsoft.com/office/drawing/2014/main" id="{6DA9511C-77CC-4C22-A366-2F973BDC1C4F}"/>
            </a:ext>
          </a:extLst>
        </xdr:cNvPr>
        <xdr:cNvSpPr txBox="1"/>
      </xdr:nvSpPr>
      <xdr:spPr>
        <a:xfrm>
          <a:off x="12238932" y="55458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asellaDiTesto 27">
              <a:extLst>
                <a:ext uri="{FF2B5EF4-FFF2-40B4-BE49-F238E27FC236}">
                  <a16:creationId xmlns:a16="http://schemas.microsoft.com/office/drawing/2014/main" id="{0E46E67F-FE30-42FD-ABC5-37031DC4918D}"/>
                </a:ext>
              </a:extLst>
            </xdr:cNvPr>
            <xdr:cNvSpPr txBox="1"/>
          </xdr:nvSpPr>
          <xdr:spPr>
            <a:xfrm>
              <a:off x="242455" y="5351526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8" name="CasellaDiTesto 27">
              <a:extLst>
                <a:ext uri="{FF2B5EF4-FFF2-40B4-BE49-F238E27FC236}">
                  <a16:creationId xmlns:a16="http://schemas.microsoft.com/office/drawing/2014/main" id="{0E46E67F-FE30-42FD-ABC5-37031DC4918D}"/>
                </a:ext>
              </a:extLst>
            </xdr:cNvPr>
            <xdr:cNvSpPr txBox="1"/>
          </xdr:nvSpPr>
          <xdr:spPr>
            <a:xfrm>
              <a:off x="242455" y="5351526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29" name="CasellaDiTesto 28">
          <a:extLst>
            <a:ext uri="{FF2B5EF4-FFF2-40B4-BE49-F238E27FC236}">
              <a16:creationId xmlns:a16="http://schemas.microsoft.com/office/drawing/2014/main" id="{828C502E-4728-4D6C-BE53-1B6D13363252}"/>
            </a:ext>
          </a:extLst>
        </xdr:cNvPr>
        <xdr:cNvSpPr txBox="1"/>
      </xdr:nvSpPr>
      <xdr:spPr>
        <a:xfrm>
          <a:off x="0" y="5313980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0" name="CasellaDiTesto 29">
          <a:extLst>
            <a:ext uri="{FF2B5EF4-FFF2-40B4-BE49-F238E27FC236}">
              <a16:creationId xmlns:a16="http://schemas.microsoft.com/office/drawing/2014/main" id="{A48647FF-9A4E-4DAE-9101-B5E6AD7E6CAC}"/>
            </a:ext>
          </a:extLst>
        </xdr:cNvPr>
        <xdr:cNvSpPr txBox="1"/>
      </xdr:nvSpPr>
      <xdr:spPr>
        <a:xfrm>
          <a:off x="3392978" y="4243820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1" name="Immagine 30">
          <a:extLst>
            <a:ext uri="{FF2B5EF4-FFF2-40B4-BE49-F238E27FC236}">
              <a16:creationId xmlns:a16="http://schemas.microsoft.com/office/drawing/2014/main" id="{93C146D3-D5A6-41E2-A367-C18A4DEF1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4297" y="4230832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450271</xdr:colOff>
      <xdr:row>63</xdr:row>
      <xdr:rowOff>17317</xdr:rowOff>
    </xdr:from>
    <xdr:ext cx="2764849" cy="917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D8BB9AEC-9B17-4EFB-A396-BDC20D0EE237}"/>
                </a:ext>
              </a:extLst>
            </xdr:cNvPr>
            <xdr:cNvSpPr txBox="1"/>
          </xdr:nvSpPr>
          <xdr:spPr>
            <a:xfrm>
              <a:off x="450271" y="1198833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D8BB9AEC-9B17-4EFB-A396-BDC20D0EE237}"/>
                </a:ext>
              </a:extLst>
            </xdr:cNvPr>
            <xdr:cNvSpPr txBox="1"/>
          </xdr:nvSpPr>
          <xdr:spPr>
            <a:xfrm>
              <a:off x="450271" y="1198833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Q_vib=∏_(𝑖=1)^(𝑁_𝑣𝑖𝑏)▒1/(1−exp⁡(−(ℎ𝜈_𝑖)/(𝑘_𝐵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9</xdr:col>
      <xdr:colOff>92652</xdr:colOff>
      <xdr:row>243</xdr:row>
      <xdr:rowOff>114300</xdr:rowOff>
    </xdr:from>
    <xdr:ext cx="65" cy="172227"/>
    <xdr:sp macro="" textlink="">
      <xdr:nvSpPr>
        <xdr:cNvPr id="33" name="CasellaDiTesto 32">
          <a:extLst>
            <a:ext uri="{FF2B5EF4-FFF2-40B4-BE49-F238E27FC236}">
              <a16:creationId xmlns:a16="http://schemas.microsoft.com/office/drawing/2014/main" id="{2C15BF36-BDE9-4907-8581-955E65BBAF30}"/>
            </a:ext>
          </a:extLst>
        </xdr:cNvPr>
        <xdr:cNvSpPr txBox="1"/>
      </xdr:nvSpPr>
      <xdr:spPr>
        <a:xfrm>
          <a:off x="12238932" y="4674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243</xdr:row>
      <xdr:rowOff>114300</xdr:rowOff>
    </xdr:from>
    <xdr:ext cx="65" cy="172227"/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2D7B0A4D-570C-4976-84A8-32F95FC3B022}"/>
            </a:ext>
          </a:extLst>
        </xdr:cNvPr>
        <xdr:cNvSpPr txBox="1"/>
      </xdr:nvSpPr>
      <xdr:spPr>
        <a:xfrm>
          <a:off x="12238932" y="4674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0</xdr:colOff>
      <xdr:row>106</xdr:row>
      <xdr:rowOff>0</xdr:rowOff>
    </xdr:from>
    <xdr:ext cx="4141643" cy="594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5B399697-4A93-413E-AE01-B793B504D5EA}"/>
                </a:ext>
              </a:extLst>
            </xdr:cNvPr>
            <xdr:cNvSpPr txBox="1"/>
          </xdr:nvSpPr>
          <xdr:spPr>
            <a:xfrm>
              <a:off x="0" y="20147280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5B399697-4A93-413E-AE01-B793B504D5EA}"/>
                </a:ext>
              </a:extLst>
            </xdr:cNvPr>
            <xdr:cNvSpPr txBox="1"/>
          </xdr:nvSpPr>
          <xdr:spPr>
            <a:xfrm>
              <a:off x="0" y="20147280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𝑄_𝑟𝑜𝑡^3𝐷=(8𝜋^2 〖(2𝜋𝑘〗_𝐵 〖𝑇)〗^(3/2) √(𝐼_𝑥 𝐼_𝑦 𝐼_𝑧 ))/(𝜎ℎ^3 )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582757</xdr:colOff>
      <xdr:row>110</xdr:row>
      <xdr:rowOff>164868</xdr:rowOff>
    </xdr:from>
    <xdr:to>
      <xdr:col>2</xdr:col>
      <xdr:colOff>80530</xdr:colOff>
      <xdr:row>113</xdr:row>
      <xdr:rowOff>18010</xdr:rowOff>
    </xdr:to>
    <xdr:sp macro="" textlink="">
      <xdr:nvSpPr>
        <xdr:cNvPr id="36" name="CasellaDiTesto 35">
          <a:extLst>
            <a:ext uri="{FF2B5EF4-FFF2-40B4-BE49-F238E27FC236}">
              <a16:creationId xmlns:a16="http://schemas.microsoft.com/office/drawing/2014/main" id="{ACF94DBF-25D2-4D2F-8127-D71CB2892687}"/>
            </a:ext>
          </a:extLst>
        </xdr:cNvPr>
        <xdr:cNvSpPr txBox="1"/>
      </xdr:nvSpPr>
      <xdr:spPr>
        <a:xfrm>
          <a:off x="582757" y="21104628"/>
          <a:ext cx="2682933" cy="40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utilizzato però questa</a:t>
          </a:r>
          <a:r>
            <a:rPr lang="it-IT" sz="1100" baseline="0"/>
            <a:t> riscrittura:</a:t>
          </a:r>
          <a:endParaRPr lang="it-IT" sz="1100"/>
        </a:p>
      </xdr:txBody>
    </xdr:sp>
    <xdr:clientData/>
  </xdr:twoCellAnchor>
  <xdr:oneCellAnchor>
    <xdr:from>
      <xdr:col>0</xdr:col>
      <xdr:colOff>606134</xdr:colOff>
      <xdr:row>112</xdr:row>
      <xdr:rowOff>150668</xdr:rowOff>
    </xdr:from>
    <xdr:ext cx="2816804" cy="62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D8595049-1084-41F8-A073-1165D1C6F033}"/>
                </a:ext>
              </a:extLst>
            </xdr:cNvPr>
            <xdr:cNvSpPr txBox="1"/>
          </xdr:nvSpPr>
          <xdr:spPr>
            <a:xfrm>
              <a:off x="606134" y="21463808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</m:t>
                      </m:r>
                    </m:e>
                    <m:sub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rot</m:t>
                      </m:r>
                    </m:sub>
                    <m:sup>
                      <m: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sup>
                  </m:sSubSup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f>
                    <m:f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sty m:val="p"/>
                            </m:rP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π</m:t>
                          </m:r>
                        </m:e>
                      </m:rad>
                    </m:num>
                    <m:den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σ</m:t>
                      </m:r>
                    </m:den>
                  </m:f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rad>
                    <m:radPr>
                      <m:degHide m:val="on"/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T</m:t>
                              </m:r>
                            </m:e>
                            <m:sup>
                              <m: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x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y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z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D8595049-1084-41F8-A073-1165D1C6F033}"/>
                </a:ext>
              </a:extLst>
            </xdr:cNvPr>
            <xdr:cNvSpPr txBox="1"/>
          </xdr:nvSpPr>
          <xdr:spPr>
            <a:xfrm>
              <a:off x="606134" y="21463808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Q_rot^3D=  √π/σ⋅√(T^3/(θ_x⋅θ_y⋅θ_z ))</a:t>
              </a:r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539461</xdr:colOff>
      <xdr:row>117</xdr:row>
      <xdr:rowOff>113260</xdr:rowOff>
    </xdr:from>
    <xdr:to>
      <xdr:col>1</xdr:col>
      <xdr:colOff>1120660</xdr:colOff>
      <xdr:row>121</xdr:row>
      <xdr:rowOff>173873</xdr:rowOff>
    </xdr:to>
    <xdr:sp macro="" textlink="">
      <xdr:nvSpPr>
        <xdr:cNvPr id="38" name="CasellaDiTesto 37">
          <a:extLst>
            <a:ext uri="{FF2B5EF4-FFF2-40B4-BE49-F238E27FC236}">
              <a16:creationId xmlns:a16="http://schemas.microsoft.com/office/drawing/2014/main" id="{6B03FE61-1EDD-4A8A-9C61-8643660EFB3A}"/>
            </a:ext>
          </a:extLst>
        </xdr:cNvPr>
        <xdr:cNvSpPr txBox="1"/>
      </xdr:nvSpPr>
      <xdr:spPr>
        <a:xfrm>
          <a:off x="539461" y="22340800"/>
          <a:ext cx="2630979" cy="79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dove le </a:t>
          </a:r>
          <a:r>
            <a:rPr lang="el-GR" sz="1100"/>
            <a:t>ϑ</a:t>
          </a:r>
          <a:r>
            <a:rPr lang="it-IT" sz="1100"/>
            <a:t> rappresentano le temperature rotazionali rispetto agli assi x, y e z</a:t>
          </a:r>
        </a:p>
      </xdr:txBody>
    </xdr:sp>
    <xdr:clientData/>
  </xdr:twoCellAnchor>
  <xdr:oneCellAnchor>
    <xdr:from>
      <xdr:col>5</xdr:col>
      <xdr:colOff>1264920</xdr:colOff>
      <xdr:row>196</xdr:row>
      <xdr:rowOff>83820</xdr:rowOff>
    </xdr:from>
    <xdr:ext cx="2184689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2632EA9C-7BC5-44C6-886D-1FB04C4A62E6}"/>
                </a:ext>
              </a:extLst>
            </xdr:cNvPr>
            <xdr:cNvSpPr txBox="1"/>
          </xdr:nvSpPr>
          <xdr:spPr>
            <a:xfrm>
              <a:off x="8511540" y="37749480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rad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2632EA9C-7BC5-44C6-886D-1FB04C4A62E6}"/>
                </a:ext>
              </a:extLst>
            </xdr:cNvPr>
            <xdr:cNvSpPr txBox="1"/>
          </xdr:nvSpPr>
          <xdr:spPr>
            <a:xfrm>
              <a:off x="8511540" y="37749480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𝐼=√(𝐼_𝑥^2+𝐼_𝑦^2+𝐼_𝑧^2 )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twoCellAnchor editAs="oneCell">
    <xdr:from>
      <xdr:col>8</xdr:col>
      <xdr:colOff>266700</xdr:colOff>
      <xdr:row>6</xdr:row>
      <xdr:rowOff>67042</xdr:rowOff>
    </xdr:from>
    <xdr:to>
      <xdr:col>9</xdr:col>
      <xdr:colOff>1082400</xdr:colOff>
      <xdr:row>16</xdr:row>
      <xdr:rowOff>91820</xdr:rowOff>
    </xdr:to>
    <xdr:pic>
      <xdr:nvPicPr>
        <xdr:cNvPr id="40" name="Immagine 39">
          <a:extLst>
            <a:ext uri="{FF2B5EF4-FFF2-40B4-BE49-F238E27FC236}">
              <a16:creationId xmlns:a16="http://schemas.microsoft.com/office/drawing/2014/main" id="{A5A91452-5C39-AD22-D3C0-1AEF0BA49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2360" y="1248142"/>
          <a:ext cx="1966320" cy="20745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9D48A1F-F0CD-47D2-BEA5-9C643195B89E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9D48A1F-F0CD-47D2-BEA5-9C643195B89E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127289</xdr:colOff>
      <xdr:row>103</xdr:row>
      <xdr:rowOff>157596</xdr:rowOff>
    </xdr:from>
    <xdr:ext cx="4141643" cy="594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BE485BA-B1A6-43B6-9242-420A00971D5C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BE485BA-B1A6-43B6-9242-420A00971D5C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𝑄_𝑟𝑜𝑡^3𝐷=(8𝜋^2 〖(2𝜋𝑘〗_𝐵 〖𝑇)〗^(3/2) √(𝐼_𝑥 𝐼_𝑦 𝐼_𝑧 ))/(𝜎ℎ^3 )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DB386937-A0EF-4615-85E8-FC3FA48EB529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DB386937-A0EF-4615-85E8-FC3FA48EB529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59AB6540-95CA-4CE2-B9AF-B72CFE4B8B3E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59AB6540-95CA-4CE2-B9AF-B72CFE4B8B3E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𝑄=𝑄_𝑡𝑟𝑎𝑠𝑙×𝑄_𝑒𝑙×𝑄_𝑟𝑜𝑡^3𝐷×𝑄_𝑣𝑖𝑏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DBF3053-A6E3-4C9F-ABAD-77C3C87FDCB9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DBF3053-A6E3-4C9F-ABAD-77C3C87FDCB9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EB154E09-CCED-4FDD-9246-69DF35659FB3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EB154E09-CCED-4FDD-9246-69DF35659FB3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Q_el=2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425520F5-4E44-48CC-B56A-D009239499E6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425520F5-4E44-48CC-B56A-D009239499E6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73DD627D-7DAE-41B7-8038-0C1F8BF2E73C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73DD627D-7DAE-41B7-8038-0C1F8BF2E73C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EA622F77-C026-4459-8CD4-AFF8F58A0B3F}"/>
            </a:ext>
          </a:extLst>
        </xdr:cNvPr>
        <xdr:cNvSpPr txBox="1"/>
      </xdr:nvSpPr>
      <xdr:spPr>
        <a:xfrm>
          <a:off x="633343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2AEC0D82-6FAC-404D-AE3C-AAA73CECFEDA}"/>
            </a:ext>
          </a:extLst>
        </xdr:cNvPr>
        <xdr:cNvSpPr txBox="1"/>
      </xdr:nvSpPr>
      <xdr:spPr>
        <a:xfrm>
          <a:off x="1047750" y="433754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4CBA0DD9-5B47-4F6E-AB1C-92C511D19016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4CBA0DD9-5B47-4F6E-AB1C-92C511D19016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124225D6-7CC6-43CB-9125-3753632366B7}"/>
            </a:ext>
          </a:extLst>
        </xdr:cNvPr>
        <xdr:cNvSpPr txBox="1"/>
      </xdr:nvSpPr>
      <xdr:spPr>
        <a:xfrm>
          <a:off x="428365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5</xdr:col>
      <xdr:colOff>1235651</xdr:colOff>
      <xdr:row>196</xdr:row>
      <xdr:rowOff>71005</xdr:rowOff>
    </xdr:from>
    <xdr:ext cx="2184689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12457F02-7603-450E-8247-DF990594904D}"/>
                </a:ext>
              </a:extLst>
            </xdr:cNvPr>
            <xdr:cNvSpPr txBox="1"/>
          </xdr:nvSpPr>
          <xdr:spPr>
            <a:xfrm>
              <a:off x="848227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rad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12457F02-7603-450E-8247-DF990594904D}"/>
                </a:ext>
              </a:extLst>
            </xdr:cNvPr>
            <xdr:cNvSpPr txBox="1"/>
          </xdr:nvSpPr>
          <xdr:spPr>
            <a:xfrm>
              <a:off x="848227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𝐼=√(𝐼_𝑥^2+𝐼_𝑦^2+𝐼_𝑧^2 )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A79687C9-89F2-4E9B-831A-3D85E46D1C78}"/>
            </a:ext>
          </a:extLst>
        </xdr:cNvPr>
        <xdr:cNvSpPr txBox="1"/>
      </xdr:nvSpPr>
      <xdr:spPr>
        <a:xfrm>
          <a:off x="4283652" y="50779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37E49BC7-0ABD-469A-8B8C-3285B4619C9E}"/>
            </a:ext>
          </a:extLst>
        </xdr:cNvPr>
        <xdr:cNvSpPr txBox="1"/>
      </xdr:nvSpPr>
      <xdr:spPr>
        <a:xfrm>
          <a:off x="1223893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577926DD-F400-43BB-8374-B9032B3F300D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577926DD-F400-43BB-8374-B9032B3F300D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5800D8DF-14F0-42D4-9BF3-70F8104716E7}"/>
            </a:ext>
          </a:extLst>
        </xdr:cNvPr>
        <xdr:cNvSpPr txBox="1"/>
      </xdr:nvSpPr>
      <xdr:spPr>
        <a:xfrm>
          <a:off x="7497732" y="3438109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749E40AC-9FFF-4BEC-B021-63F8C362DDDB}"/>
            </a:ext>
          </a:extLst>
        </xdr:cNvPr>
        <xdr:cNvSpPr txBox="1"/>
      </xdr:nvSpPr>
      <xdr:spPr>
        <a:xfrm>
          <a:off x="7359189" y="44281551"/>
          <a:ext cx="1428750" cy="21242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20" name="Connettore 2 19">
          <a:extLst>
            <a:ext uri="{FF2B5EF4-FFF2-40B4-BE49-F238E27FC236}">
              <a16:creationId xmlns:a16="http://schemas.microsoft.com/office/drawing/2014/main" id="{2B1B76E2-2927-4F07-906B-2BBBEE82137C}"/>
            </a:ext>
          </a:extLst>
        </xdr:cNvPr>
        <xdr:cNvCxnSpPr/>
      </xdr:nvCxnSpPr>
      <xdr:spPr>
        <a:xfrm>
          <a:off x="7956666" y="4348803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1" name="Connettore 2 20">
          <a:extLst>
            <a:ext uri="{FF2B5EF4-FFF2-40B4-BE49-F238E27FC236}">
              <a16:creationId xmlns:a16="http://schemas.microsoft.com/office/drawing/2014/main" id="{E008EA6F-8A8C-48FE-B3D5-97E5DC7A4FD0}"/>
            </a:ext>
          </a:extLst>
        </xdr:cNvPr>
        <xdr:cNvCxnSpPr/>
      </xdr:nvCxnSpPr>
      <xdr:spPr>
        <a:xfrm>
          <a:off x="8034597" y="3399663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8BB25783-B907-43F1-A704-2126D49959DE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8BB25783-B907-43F1-A704-2126D49959DE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3" name="CasellaDiTesto 22">
          <a:extLst>
            <a:ext uri="{FF2B5EF4-FFF2-40B4-BE49-F238E27FC236}">
              <a16:creationId xmlns:a16="http://schemas.microsoft.com/office/drawing/2014/main" id="{FE7594E8-360B-497F-AC58-924DD529DA23}"/>
            </a:ext>
          </a:extLst>
        </xdr:cNvPr>
        <xdr:cNvSpPr txBox="1"/>
      </xdr:nvSpPr>
      <xdr:spPr>
        <a:xfrm>
          <a:off x="1223893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4" name="CasellaDiTesto 23">
          <a:extLst>
            <a:ext uri="{FF2B5EF4-FFF2-40B4-BE49-F238E27FC236}">
              <a16:creationId xmlns:a16="http://schemas.microsoft.com/office/drawing/2014/main" id="{DE24D1AE-1F1A-4AC4-96F1-9DBCBF3EAB8C}"/>
            </a:ext>
          </a:extLst>
        </xdr:cNvPr>
        <xdr:cNvSpPr txBox="1"/>
      </xdr:nvSpPr>
      <xdr:spPr>
        <a:xfrm>
          <a:off x="1047750" y="523289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sellaDiTesto 24">
              <a:extLst>
                <a:ext uri="{FF2B5EF4-FFF2-40B4-BE49-F238E27FC236}">
                  <a16:creationId xmlns:a16="http://schemas.microsoft.com/office/drawing/2014/main" id="{E5B54C20-1DC2-4D0A-9385-0F882A0AD6FA}"/>
                </a:ext>
              </a:extLst>
            </xdr:cNvPr>
            <xdr:cNvSpPr txBox="1"/>
          </xdr:nvSpPr>
          <xdr:spPr>
            <a:xfrm>
              <a:off x="839932" y="523982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5" name="CasellaDiTesto 24">
              <a:extLst>
                <a:ext uri="{FF2B5EF4-FFF2-40B4-BE49-F238E27FC236}">
                  <a16:creationId xmlns:a16="http://schemas.microsoft.com/office/drawing/2014/main" id="{E5B54C20-1DC2-4D0A-9385-0F882A0AD6FA}"/>
                </a:ext>
              </a:extLst>
            </xdr:cNvPr>
            <xdr:cNvSpPr txBox="1"/>
          </xdr:nvSpPr>
          <xdr:spPr>
            <a:xfrm>
              <a:off x="839932" y="523982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CCC1490D-86C7-4755-A284-C58F05CF2113}"/>
            </a:ext>
          </a:extLst>
        </xdr:cNvPr>
        <xdr:cNvSpPr txBox="1"/>
      </xdr:nvSpPr>
      <xdr:spPr>
        <a:xfrm>
          <a:off x="4283652" y="55412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7" name="CasellaDiTesto 26">
          <a:extLst>
            <a:ext uri="{FF2B5EF4-FFF2-40B4-BE49-F238E27FC236}">
              <a16:creationId xmlns:a16="http://schemas.microsoft.com/office/drawing/2014/main" id="{AE7C1680-F2A1-4F69-AA2A-F879AB54DCF5}"/>
            </a:ext>
          </a:extLst>
        </xdr:cNvPr>
        <xdr:cNvSpPr txBox="1"/>
      </xdr:nvSpPr>
      <xdr:spPr>
        <a:xfrm>
          <a:off x="7359189" y="5318171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28" name="Connettore 2 27">
          <a:extLst>
            <a:ext uri="{FF2B5EF4-FFF2-40B4-BE49-F238E27FC236}">
              <a16:creationId xmlns:a16="http://schemas.microsoft.com/office/drawing/2014/main" id="{40152179-515C-459D-AAD7-FCE3D23BA389}"/>
            </a:ext>
          </a:extLst>
        </xdr:cNvPr>
        <xdr:cNvCxnSpPr/>
      </xdr:nvCxnSpPr>
      <xdr:spPr>
        <a:xfrm>
          <a:off x="7956666" y="5244153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29" name="CasellaDiTesto 28">
          <a:extLst>
            <a:ext uri="{FF2B5EF4-FFF2-40B4-BE49-F238E27FC236}">
              <a16:creationId xmlns:a16="http://schemas.microsoft.com/office/drawing/2014/main" id="{DB255290-6227-4925-A4FF-EDE4510E7D20}"/>
            </a:ext>
          </a:extLst>
        </xdr:cNvPr>
        <xdr:cNvSpPr txBox="1"/>
      </xdr:nvSpPr>
      <xdr:spPr>
        <a:xfrm>
          <a:off x="12238932" y="55412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D3EE517A-0DD0-4F18-B5D8-AD0CD591A321}"/>
                </a:ext>
              </a:extLst>
            </xdr:cNvPr>
            <xdr:cNvSpPr txBox="1"/>
          </xdr:nvSpPr>
          <xdr:spPr>
            <a:xfrm>
              <a:off x="242455" y="534695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D3EE517A-0DD0-4F18-B5D8-AD0CD591A321}"/>
                </a:ext>
              </a:extLst>
            </xdr:cNvPr>
            <xdr:cNvSpPr txBox="1"/>
          </xdr:nvSpPr>
          <xdr:spPr>
            <a:xfrm>
              <a:off x="242455" y="534695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FDD2489A-56D8-48B9-A282-E574DBC4D84B}"/>
            </a:ext>
          </a:extLst>
        </xdr:cNvPr>
        <xdr:cNvSpPr txBox="1"/>
      </xdr:nvSpPr>
      <xdr:spPr>
        <a:xfrm>
          <a:off x="0" y="5309408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0</xdr:col>
      <xdr:colOff>710046</xdr:colOff>
      <xdr:row>108</xdr:row>
      <xdr:rowOff>147204</xdr:rowOff>
    </xdr:from>
    <xdr:to>
      <xdr:col>2</xdr:col>
      <xdr:colOff>207819</xdr:colOff>
      <xdr:row>110</xdr:row>
      <xdr:rowOff>129886</xdr:rowOff>
    </xdr:to>
    <xdr:sp macro="" textlink="">
      <xdr:nvSpPr>
        <xdr:cNvPr id="32" name="CasellaDiTesto 31">
          <a:extLst>
            <a:ext uri="{FF2B5EF4-FFF2-40B4-BE49-F238E27FC236}">
              <a16:creationId xmlns:a16="http://schemas.microsoft.com/office/drawing/2014/main" id="{546700FB-1EA7-4531-9CA4-932C4C15AD70}"/>
            </a:ext>
          </a:extLst>
        </xdr:cNvPr>
        <xdr:cNvSpPr txBox="1"/>
      </xdr:nvSpPr>
      <xdr:spPr>
        <a:xfrm>
          <a:off x="710046" y="20660244"/>
          <a:ext cx="2682933" cy="40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utilizzato però questa</a:t>
          </a:r>
          <a:r>
            <a:rPr lang="it-IT" sz="1100" baseline="0"/>
            <a:t> riscrittura:</a:t>
          </a:r>
          <a:endParaRPr lang="it-IT" sz="1100"/>
        </a:p>
      </xdr:txBody>
    </xdr:sp>
    <xdr:clientData/>
  </xdr:twoCellAnchor>
  <xdr:oneCellAnchor>
    <xdr:from>
      <xdr:col>0</xdr:col>
      <xdr:colOff>733423</xdr:colOff>
      <xdr:row>110</xdr:row>
      <xdr:rowOff>79664</xdr:rowOff>
    </xdr:from>
    <xdr:ext cx="2816804" cy="62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1CC0FAE5-5826-4A9F-83AA-5697B38C9541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</m:t>
                      </m:r>
                    </m:e>
                    <m:sub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rot</m:t>
                      </m:r>
                    </m:sub>
                    <m:sup>
                      <m: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sup>
                  </m:sSubSup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f>
                    <m:f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sty m:val="p"/>
                            </m:rP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π</m:t>
                          </m:r>
                        </m:e>
                      </m:rad>
                    </m:num>
                    <m:den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σ</m:t>
                      </m:r>
                    </m:den>
                  </m:f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rad>
                    <m:radPr>
                      <m:degHide m:val="on"/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T</m:t>
                              </m:r>
                            </m:e>
                            <m:sup>
                              <m: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x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y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z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1CC0FAE5-5826-4A9F-83AA-5697B38C9541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Q_rot^3D=  √π/σ⋅√(T^3/(θ_x⋅θ_y⋅θ_z ))</a:t>
              </a:r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666750</xdr:colOff>
      <xdr:row>115</xdr:row>
      <xdr:rowOff>34636</xdr:rowOff>
    </xdr:from>
    <xdr:to>
      <xdr:col>2</xdr:col>
      <xdr:colOff>112569</xdr:colOff>
      <xdr:row>119</xdr:row>
      <xdr:rowOff>95249</xdr:rowOff>
    </xdr:to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378E4858-1C72-497D-8367-DE98A7C9E304}"/>
            </a:ext>
          </a:extLst>
        </xdr:cNvPr>
        <xdr:cNvSpPr txBox="1"/>
      </xdr:nvSpPr>
      <xdr:spPr>
        <a:xfrm>
          <a:off x="666750" y="21896416"/>
          <a:ext cx="2630979" cy="79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dove le </a:t>
          </a:r>
          <a:r>
            <a:rPr lang="el-GR" sz="1100"/>
            <a:t>ϑ</a:t>
          </a:r>
          <a:r>
            <a:rPr lang="it-IT" sz="1100"/>
            <a:t> rappresentano le temperature rotazionali rispetto agli assi x, y e z</a:t>
          </a:r>
        </a:p>
      </xdr:txBody>
    </xdr:sp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5" name="CasellaDiTesto 34">
          <a:extLst>
            <a:ext uri="{FF2B5EF4-FFF2-40B4-BE49-F238E27FC236}">
              <a16:creationId xmlns:a16="http://schemas.microsoft.com/office/drawing/2014/main" id="{00BB9F3B-F1C7-44AB-84C3-A24DF4BC2B04}"/>
            </a:ext>
          </a:extLst>
        </xdr:cNvPr>
        <xdr:cNvSpPr txBox="1"/>
      </xdr:nvSpPr>
      <xdr:spPr>
        <a:xfrm>
          <a:off x="3392978" y="4240772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6" name="Immagine 35">
          <a:extLst>
            <a:ext uri="{FF2B5EF4-FFF2-40B4-BE49-F238E27FC236}">
              <a16:creationId xmlns:a16="http://schemas.microsoft.com/office/drawing/2014/main" id="{DA2693C6-981B-4D08-8F33-B147910AC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4297" y="4227784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450271</xdr:colOff>
      <xdr:row>63</xdr:row>
      <xdr:rowOff>17317</xdr:rowOff>
    </xdr:from>
    <xdr:ext cx="2764849" cy="10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6B5C0312-BE26-4BF4-BC89-2636A927E1D0}"/>
                </a:ext>
              </a:extLst>
            </xdr:cNvPr>
            <xdr:cNvSpPr txBox="1"/>
          </xdr:nvSpPr>
          <xdr:spPr>
            <a:xfrm>
              <a:off x="450271" y="1198833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 )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6B5C0312-BE26-4BF4-BC89-2636A927E1D0}"/>
                </a:ext>
              </a:extLst>
            </xdr:cNvPr>
            <xdr:cNvSpPr txBox="1"/>
          </xdr:nvSpPr>
          <xdr:spPr>
            <a:xfrm>
              <a:off x="450271" y="1198833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Q_vib=∏_(𝑖=1)^(𝑁_𝑣𝑖𝑏)▒(exp⁡(−(ℎ𝜈_𝑖)/(</a:t>
              </a:r>
              <a:r>
                <a:rPr lang="it-I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〖2𝑘〗_𝐵 𝑇) </a:t>
              </a:r>
              <a:r>
                <a:rPr lang="it-IT" sz="1800" b="0" i="0">
                  <a:latin typeface="Cambria Math" panose="02040503050406030204" pitchFamily="18" charset="0"/>
                </a:rPr>
                <a:t> ))/(1−exp⁡(−(ℎ𝜈_𝑖)/(𝑘_𝐵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9</xdr:col>
      <xdr:colOff>92652</xdr:colOff>
      <xdr:row>243</xdr:row>
      <xdr:rowOff>114300</xdr:rowOff>
    </xdr:from>
    <xdr:ext cx="65" cy="172227"/>
    <xdr:sp macro="" textlink="">
      <xdr:nvSpPr>
        <xdr:cNvPr id="38" name="CasellaDiTesto 37">
          <a:extLst>
            <a:ext uri="{FF2B5EF4-FFF2-40B4-BE49-F238E27FC236}">
              <a16:creationId xmlns:a16="http://schemas.microsoft.com/office/drawing/2014/main" id="{B3B372F4-C6EF-4E41-9579-64AC5C6BDF74}"/>
            </a:ext>
          </a:extLst>
        </xdr:cNvPr>
        <xdr:cNvSpPr txBox="1"/>
      </xdr:nvSpPr>
      <xdr:spPr>
        <a:xfrm>
          <a:off x="12238932" y="467029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27483FB-76D9-42D0-A526-5977A43A752A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27483FB-76D9-42D0-A526-5977A43A752A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103</xdr:row>
      <xdr:rowOff>43296</xdr:rowOff>
    </xdr:from>
    <xdr:ext cx="4141643" cy="5727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5593356-118E-4641-8AC6-6E4B9A077D0E}"/>
                </a:ext>
              </a:extLst>
            </xdr:cNvPr>
            <xdr:cNvSpPr txBox="1"/>
          </xdr:nvSpPr>
          <xdr:spPr>
            <a:xfrm>
              <a:off x="0" y="19588596"/>
              <a:ext cx="4141643" cy="572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𝑇𝐼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5593356-118E-4641-8AC6-6E4B9A077D0E}"/>
                </a:ext>
              </a:extLst>
            </xdr:cNvPr>
            <xdr:cNvSpPr txBox="1"/>
          </xdr:nvSpPr>
          <xdr:spPr>
            <a:xfrm>
              <a:off x="0" y="19588596"/>
              <a:ext cx="4141643" cy="572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𝑄_𝑟𝑜𝑡^2𝐷=(8𝜋^2 𝑘_𝐵 𝑇𝐼)/(𝜎ℎ^2 )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36BD55F2-E3BC-4D85-B73C-1EDCFBB2550D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36BD55F2-E3BC-4D85-B73C-1EDCFBB2550D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673F1D92-F308-4B5F-A38A-F9DB8B3EFF36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673F1D92-F308-4B5F-A38A-F9DB8B3EFF36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𝑄=𝑄_𝑡𝑟𝑎𝑠𝑙×𝑄_𝑒𝑙×𝑄_𝑟𝑜𝑡^2𝐷×𝑄_𝑣𝑖𝑏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843BAEB-14D9-43ED-87C4-FA9C87EA8B06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843BAEB-14D9-43ED-87C4-FA9C87EA8B06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899B6FEB-167E-47B6-A39D-B13D0C152AB8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899B6FEB-167E-47B6-A39D-B13D0C152AB8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Q_el=1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5EE7C98-18A4-404B-AE04-F43BCE34FE1F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5EE7C98-18A4-404B-AE04-F43BCE34FE1F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2E078002-9E3E-4A7A-A46A-6F42E496F2CD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2E078002-9E3E-4A7A-A46A-6F42E496F2CD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64F675F3-8196-41F2-851C-5D19752387CC}"/>
            </a:ext>
          </a:extLst>
        </xdr:cNvPr>
        <xdr:cNvSpPr txBox="1"/>
      </xdr:nvSpPr>
      <xdr:spPr>
        <a:xfrm>
          <a:off x="6333432" y="420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ED720016-9545-4B0D-BD94-EF13A91C658B}"/>
            </a:ext>
          </a:extLst>
        </xdr:cNvPr>
        <xdr:cNvSpPr txBox="1"/>
      </xdr:nvSpPr>
      <xdr:spPr>
        <a:xfrm>
          <a:off x="1047750" y="4339070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D7E4935F-A64F-4284-892B-E21269D6CCB2}"/>
                </a:ext>
              </a:extLst>
            </xdr:cNvPr>
            <xdr:cNvSpPr txBox="1"/>
          </xdr:nvSpPr>
          <xdr:spPr>
            <a:xfrm>
              <a:off x="839932" y="4345997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D7E4935F-A64F-4284-892B-E21269D6CCB2}"/>
                </a:ext>
              </a:extLst>
            </xdr:cNvPr>
            <xdr:cNvSpPr txBox="1"/>
          </xdr:nvSpPr>
          <xdr:spPr>
            <a:xfrm>
              <a:off x="839932" y="4345997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E246A4A5-B978-4190-BB3E-C1A847B1B3F5}"/>
            </a:ext>
          </a:extLst>
        </xdr:cNvPr>
        <xdr:cNvSpPr txBox="1"/>
      </xdr:nvSpPr>
      <xdr:spPr>
        <a:xfrm>
          <a:off x="4283652" y="46550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6BDE9010-90E5-4BC8-9A75-830CD62AED25}"/>
            </a:ext>
          </a:extLst>
        </xdr:cNvPr>
        <xdr:cNvSpPr txBox="1"/>
      </xdr:nvSpPr>
      <xdr:spPr>
        <a:xfrm>
          <a:off x="4283652" y="50810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4CDE39BF-6217-4344-8CD9-91227D5D2707}"/>
            </a:ext>
          </a:extLst>
        </xdr:cNvPr>
        <xdr:cNvSpPr txBox="1"/>
      </xdr:nvSpPr>
      <xdr:spPr>
        <a:xfrm>
          <a:off x="12238932" y="420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1E27A6EA-40D4-4164-ACE8-5407F47103E6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1E27A6EA-40D4-4164-ACE8-5407F47103E6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6545F8A5-6C82-4AE9-9E92-33FFAA807773}"/>
            </a:ext>
          </a:extLst>
        </xdr:cNvPr>
        <xdr:cNvSpPr txBox="1"/>
      </xdr:nvSpPr>
      <xdr:spPr>
        <a:xfrm>
          <a:off x="7497732" y="3438109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6CADA048-3BFE-45C9-857A-A2FA76758458}"/>
            </a:ext>
          </a:extLst>
        </xdr:cNvPr>
        <xdr:cNvSpPr txBox="1"/>
      </xdr:nvSpPr>
      <xdr:spPr>
        <a:xfrm>
          <a:off x="7359189" y="44296791"/>
          <a:ext cx="1428750" cy="21394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19" name="Connettore 2 18">
          <a:extLst>
            <a:ext uri="{FF2B5EF4-FFF2-40B4-BE49-F238E27FC236}">
              <a16:creationId xmlns:a16="http://schemas.microsoft.com/office/drawing/2014/main" id="{309DA690-5D91-40F2-B7EC-B43D211569F8}"/>
            </a:ext>
          </a:extLst>
        </xdr:cNvPr>
        <xdr:cNvCxnSpPr/>
      </xdr:nvCxnSpPr>
      <xdr:spPr>
        <a:xfrm>
          <a:off x="7956666" y="4350327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0" name="Connettore 2 19">
          <a:extLst>
            <a:ext uri="{FF2B5EF4-FFF2-40B4-BE49-F238E27FC236}">
              <a16:creationId xmlns:a16="http://schemas.microsoft.com/office/drawing/2014/main" id="{A25DDCC0-2B2B-477D-A0A3-68BC21487123}"/>
            </a:ext>
          </a:extLst>
        </xdr:cNvPr>
        <xdr:cNvCxnSpPr/>
      </xdr:nvCxnSpPr>
      <xdr:spPr>
        <a:xfrm>
          <a:off x="8034597" y="3399663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ECAE7B43-338C-4C62-A911-6B187D0ADE20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ECAE7B43-338C-4C62-A911-6B187D0ADE20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042ABBE2-29E0-40B5-9399-DE2CD0BFF009}"/>
            </a:ext>
          </a:extLst>
        </xdr:cNvPr>
        <xdr:cNvSpPr txBox="1"/>
      </xdr:nvSpPr>
      <xdr:spPr>
        <a:xfrm>
          <a:off x="12238932" y="46550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3" name="CasellaDiTesto 22">
          <a:extLst>
            <a:ext uri="{FF2B5EF4-FFF2-40B4-BE49-F238E27FC236}">
              <a16:creationId xmlns:a16="http://schemas.microsoft.com/office/drawing/2014/main" id="{ADE0E697-CC8D-40E1-B6CE-34ED563BF26C}"/>
            </a:ext>
          </a:extLst>
        </xdr:cNvPr>
        <xdr:cNvSpPr txBox="1"/>
      </xdr:nvSpPr>
      <xdr:spPr>
        <a:xfrm>
          <a:off x="1047750" y="5235944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A867EAC0-187F-4BBE-824E-C27E99E4F8C6}"/>
                </a:ext>
              </a:extLst>
            </xdr:cNvPr>
            <xdr:cNvSpPr txBox="1"/>
          </xdr:nvSpPr>
          <xdr:spPr>
            <a:xfrm>
              <a:off x="839932" y="5242871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A867EAC0-187F-4BBE-824E-C27E99E4F8C6}"/>
                </a:ext>
              </a:extLst>
            </xdr:cNvPr>
            <xdr:cNvSpPr txBox="1"/>
          </xdr:nvSpPr>
          <xdr:spPr>
            <a:xfrm>
              <a:off x="839932" y="5242871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F4189B46-D27B-4AA6-85AC-C54D88882F3D}"/>
            </a:ext>
          </a:extLst>
        </xdr:cNvPr>
        <xdr:cNvSpPr txBox="1"/>
      </xdr:nvSpPr>
      <xdr:spPr>
        <a:xfrm>
          <a:off x="4283652" y="55443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3BF4A9E2-3B25-4A82-90C0-1E38AA192F03}"/>
            </a:ext>
          </a:extLst>
        </xdr:cNvPr>
        <xdr:cNvSpPr txBox="1"/>
      </xdr:nvSpPr>
      <xdr:spPr>
        <a:xfrm>
          <a:off x="7359189" y="5321219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27" name="Connettore 2 26">
          <a:extLst>
            <a:ext uri="{FF2B5EF4-FFF2-40B4-BE49-F238E27FC236}">
              <a16:creationId xmlns:a16="http://schemas.microsoft.com/office/drawing/2014/main" id="{28D3D2F9-18B4-490F-81A1-2543712ED41C}"/>
            </a:ext>
          </a:extLst>
        </xdr:cNvPr>
        <xdr:cNvCxnSpPr/>
      </xdr:nvCxnSpPr>
      <xdr:spPr>
        <a:xfrm>
          <a:off x="7956666" y="5247201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28" name="CasellaDiTesto 27">
          <a:extLst>
            <a:ext uri="{FF2B5EF4-FFF2-40B4-BE49-F238E27FC236}">
              <a16:creationId xmlns:a16="http://schemas.microsoft.com/office/drawing/2014/main" id="{FF152F1E-85A8-44E7-A70A-07EB10D1586B}"/>
            </a:ext>
          </a:extLst>
        </xdr:cNvPr>
        <xdr:cNvSpPr txBox="1"/>
      </xdr:nvSpPr>
      <xdr:spPr>
        <a:xfrm>
          <a:off x="12238932" y="55443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900BE7A0-48B9-46AB-94FE-7ECE43D19C93}"/>
                </a:ext>
              </a:extLst>
            </xdr:cNvPr>
            <xdr:cNvSpPr txBox="1"/>
          </xdr:nvSpPr>
          <xdr:spPr>
            <a:xfrm>
              <a:off x="242455" y="5350002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900BE7A0-48B9-46AB-94FE-7ECE43D19C93}"/>
                </a:ext>
              </a:extLst>
            </xdr:cNvPr>
            <xdr:cNvSpPr txBox="1"/>
          </xdr:nvSpPr>
          <xdr:spPr>
            <a:xfrm>
              <a:off x="242455" y="5350002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0" name="CasellaDiTesto 29">
          <a:extLst>
            <a:ext uri="{FF2B5EF4-FFF2-40B4-BE49-F238E27FC236}">
              <a16:creationId xmlns:a16="http://schemas.microsoft.com/office/drawing/2014/main" id="{5995F023-3CB9-4E74-9CFD-42D329FA0FDD}"/>
            </a:ext>
          </a:extLst>
        </xdr:cNvPr>
        <xdr:cNvSpPr txBox="1"/>
      </xdr:nvSpPr>
      <xdr:spPr>
        <a:xfrm>
          <a:off x="0" y="5312456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49458C39-4EB1-4DD5-B67F-D74A6F55BBF4}"/>
            </a:ext>
          </a:extLst>
        </xdr:cNvPr>
        <xdr:cNvSpPr txBox="1"/>
      </xdr:nvSpPr>
      <xdr:spPr>
        <a:xfrm>
          <a:off x="3392978" y="4242296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id="{F79DF8EA-D590-4ADE-9B7C-75EF3C2B7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4297" y="4229308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450271</xdr:colOff>
      <xdr:row>63</xdr:row>
      <xdr:rowOff>17317</xdr:rowOff>
    </xdr:from>
    <xdr:ext cx="2764849" cy="10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70A84380-FB9F-40DE-94E9-6E12D402F921}"/>
                </a:ext>
              </a:extLst>
            </xdr:cNvPr>
            <xdr:cNvSpPr txBox="1"/>
          </xdr:nvSpPr>
          <xdr:spPr>
            <a:xfrm>
              <a:off x="450271" y="1198833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 )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70A84380-FB9F-40DE-94E9-6E12D402F921}"/>
                </a:ext>
              </a:extLst>
            </xdr:cNvPr>
            <xdr:cNvSpPr txBox="1"/>
          </xdr:nvSpPr>
          <xdr:spPr>
            <a:xfrm>
              <a:off x="450271" y="1198833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Q_vib=∏_(𝑖=1)^(𝑁_𝑣𝑖𝑏)▒(exp⁡(−(ℎ𝜈_𝑖)/(</a:t>
              </a:r>
              <a:r>
                <a:rPr lang="it-I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〖2𝑘〗_𝐵 𝑇) </a:t>
              </a:r>
              <a:r>
                <a:rPr lang="it-IT" sz="1800" b="0" i="0">
                  <a:latin typeface="Cambria Math" panose="02040503050406030204" pitchFamily="18" charset="0"/>
                </a:rPr>
                <a:t> ))/(1−exp⁡(−(ℎ𝜈_𝑖)/(𝑘_𝐵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9</xdr:col>
      <xdr:colOff>92652</xdr:colOff>
      <xdr:row>243</xdr:row>
      <xdr:rowOff>114300</xdr:rowOff>
    </xdr:from>
    <xdr:ext cx="65" cy="172227"/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61195C0A-54A6-4574-8B4B-F072BDFED87D}"/>
            </a:ext>
          </a:extLst>
        </xdr:cNvPr>
        <xdr:cNvSpPr txBox="1"/>
      </xdr:nvSpPr>
      <xdr:spPr>
        <a:xfrm>
          <a:off x="12238932" y="467334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937261</xdr:colOff>
      <xdr:row>110</xdr:row>
      <xdr:rowOff>144780</xdr:rowOff>
    </xdr:from>
    <xdr:ext cx="109728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B5F58011-AF76-478D-9802-36CBA3CFD9CE}"/>
                </a:ext>
              </a:extLst>
            </xdr:cNvPr>
            <xdr:cNvSpPr txBox="1"/>
          </xdr:nvSpPr>
          <xdr:spPr>
            <a:xfrm>
              <a:off x="937261" y="21084540"/>
              <a:ext cx="10972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⋅</m:t>
                  </m:r>
                  <m:sSubSup>
                    <m:sSubSupPr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  <m: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B5F58011-AF76-478D-9802-36CBA3CFD9CE}"/>
                </a:ext>
              </a:extLst>
            </xdr:cNvPr>
            <xdr:cNvSpPr txBox="1"/>
          </xdr:nvSpPr>
          <xdr:spPr>
            <a:xfrm>
              <a:off x="937261" y="21084540"/>
              <a:ext cx="10972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𝐼=𝜇⋅𝑟_𝑒^2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434340</xdr:colOff>
      <xdr:row>113</xdr:row>
      <xdr:rowOff>60960</xdr:rowOff>
    </xdr:from>
    <xdr:ext cx="2184689" cy="1280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asellaDiTesto 35">
              <a:extLst>
                <a:ext uri="{FF2B5EF4-FFF2-40B4-BE49-F238E27FC236}">
                  <a16:creationId xmlns:a16="http://schemas.microsoft.com/office/drawing/2014/main" id="{CCCCFFAE-2685-46F5-987F-CE91300FCD3A}"/>
                </a:ext>
              </a:extLst>
            </xdr:cNvPr>
            <xdr:cNvSpPr txBox="1"/>
          </xdr:nvSpPr>
          <xdr:spPr>
            <a:xfrm>
              <a:off x="434340" y="21556980"/>
              <a:ext cx="2184689" cy="1280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/>
                <a:t>Massa</a:t>
              </a:r>
              <a:r>
                <a:rPr lang="it-IT" sz="1400" b="0" baseline="0"/>
                <a:t> ridotta 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4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it-IT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it-IT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it-IT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it-IT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it-IT" sz="1400"/>
            </a:p>
            <a:p>
              <a:endParaRPr lang="it-IT" sz="1400"/>
            </a:p>
            <a:p>
              <a:r>
                <a:rPr lang="it-IT" sz="1400"/>
                <a:t>Distanza all'equilibrio: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it-IT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it-IT" sz="1400"/>
            </a:p>
          </xdr:txBody>
        </xdr:sp>
      </mc:Choice>
      <mc:Fallback xmlns="">
        <xdr:sp macro="" textlink="">
          <xdr:nvSpPr>
            <xdr:cNvPr id="36" name="CasellaDiTesto 35">
              <a:extLst>
                <a:ext uri="{FF2B5EF4-FFF2-40B4-BE49-F238E27FC236}">
                  <a16:creationId xmlns:a16="http://schemas.microsoft.com/office/drawing/2014/main" id="{CCCCFFAE-2685-46F5-987F-CE91300FCD3A}"/>
                </a:ext>
              </a:extLst>
            </xdr:cNvPr>
            <xdr:cNvSpPr txBox="1"/>
          </xdr:nvSpPr>
          <xdr:spPr>
            <a:xfrm>
              <a:off x="434340" y="21556980"/>
              <a:ext cx="2184689" cy="1280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/>
                <a:t>Massa</a:t>
              </a:r>
              <a:r>
                <a:rPr lang="it-IT" sz="1400" b="0" baseline="0"/>
                <a:t> ridotta </a:t>
              </a:r>
            </a:p>
            <a:p>
              <a:pPr/>
              <a:r>
                <a:rPr lang="it-IT" sz="1400" b="0" i="0">
                  <a:latin typeface="Cambria Math" panose="02040503050406030204" pitchFamily="18" charset="0"/>
                </a:rPr>
                <a:t>𝜇=(𝑚_1 𝑚_2)/(𝑚_1+𝑚_2 )= </a:t>
              </a:r>
              <a:endParaRPr lang="it-IT" sz="1400"/>
            </a:p>
            <a:p>
              <a:endParaRPr lang="it-IT" sz="1400"/>
            </a:p>
            <a:p>
              <a:r>
                <a:rPr lang="it-IT" sz="1400"/>
                <a:t>Distanza all'equilibrio:</a:t>
              </a:r>
            </a:p>
            <a:p>
              <a:pPr/>
              <a:r>
                <a:rPr lang="it-IT" sz="1400" b="0" i="0">
                  <a:latin typeface="Cambria Math" panose="02040503050406030204" pitchFamily="18" charset="0"/>
                </a:rPr>
                <a:t>𝑟_𝑒= </a:t>
              </a:r>
              <a:endParaRPr lang="it-IT" sz="1400"/>
            </a:p>
          </xdr:txBody>
        </xdr:sp>
      </mc:Fallback>
    </mc:AlternateContent>
    <xdr:clientData/>
  </xdr:oneCellAnchor>
  <xdr:oneCellAnchor>
    <xdr:from>
      <xdr:col>9</xdr:col>
      <xdr:colOff>92652</xdr:colOff>
      <xdr:row>243</xdr:row>
      <xdr:rowOff>114300</xdr:rowOff>
    </xdr:from>
    <xdr:ext cx="65" cy="172227"/>
    <xdr:sp macro="" textlink="">
      <xdr:nvSpPr>
        <xdr:cNvPr id="37" name="CasellaDiTesto 36">
          <a:extLst>
            <a:ext uri="{FF2B5EF4-FFF2-40B4-BE49-F238E27FC236}">
              <a16:creationId xmlns:a16="http://schemas.microsoft.com/office/drawing/2014/main" id="{3F72500D-4C74-4F1F-BFF4-9DBB97A1971D}"/>
            </a:ext>
          </a:extLst>
        </xdr:cNvPr>
        <xdr:cNvSpPr txBox="1"/>
      </xdr:nvSpPr>
      <xdr:spPr>
        <a:xfrm>
          <a:off x="12238932" y="467334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6</xdr:col>
      <xdr:colOff>259080</xdr:colOff>
      <xdr:row>196</xdr:row>
      <xdr:rowOff>182880</xdr:rowOff>
    </xdr:from>
    <xdr:ext cx="109728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asellaDiTesto 37">
              <a:extLst>
                <a:ext uri="{FF2B5EF4-FFF2-40B4-BE49-F238E27FC236}">
                  <a16:creationId xmlns:a16="http://schemas.microsoft.com/office/drawing/2014/main" id="{A7240409-97DF-4778-BC79-13DDDAB65440}"/>
                </a:ext>
              </a:extLst>
            </xdr:cNvPr>
            <xdr:cNvSpPr txBox="1"/>
          </xdr:nvSpPr>
          <xdr:spPr>
            <a:xfrm>
              <a:off x="8839200" y="37833300"/>
              <a:ext cx="10972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⋅</m:t>
                  </m:r>
                  <m:sSubSup>
                    <m:sSubSupPr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it-IT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  <m: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38" name="CasellaDiTesto 37">
              <a:extLst>
                <a:ext uri="{FF2B5EF4-FFF2-40B4-BE49-F238E27FC236}">
                  <a16:creationId xmlns:a16="http://schemas.microsoft.com/office/drawing/2014/main" id="{A7240409-97DF-4778-BC79-13DDDAB65440}"/>
                </a:ext>
              </a:extLst>
            </xdr:cNvPr>
            <xdr:cNvSpPr txBox="1"/>
          </xdr:nvSpPr>
          <xdr:spPr>
            <a:xfrm>
              <a:off x="8839200" y="37833300"/>
              <a:ext cx="109728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𝐼=𝜇⋅𝑟_𝑒^2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twoCellAnchor editAs="oneCell">
    <xdr:from>
      <xdr:col>8</xdr:col>
      <xdr:colOff>15240</xdr:colOff>
      <xdr:row>6</xdr:row>
      <xdr:rowOff>7620</xdr:rowOff>
    </xdr:from>
    <xdr:to>
      <xdr:col>9</xdr:col>
      <xdr:colOff>1326093</xdr:colOff>
      <xdr:row>12</xdr:row>
      <xdr:rowOff>122042</xdr:rowOff>
    </xdr:to>
    <xdr:pic>
      <xdr:nvPicPr>
        <xdr:cNvPr id="39" name="Immagine 38">
          <a:extLst>
            <a:ext uri="{FF2B5EF4-FFF2-40B4-BE49-F238E27FC236}">
              <a16:creationId xmlns:a16="http://schemas.microsoft.com/office/drawing/2014/main" id="{8F762B4A-2074-8757-86D8-BD523DB6A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10900" y="1188720"/>
          <a:ext cx="2461473" cy="14098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220980</xdr:colOff>
      <xdr:row>0</xdr:row>
      <xdr:rowOff>0</xdr:rowOff>
    </xdr:from>
    <xdr:to>
      <xdr:col>10</xdr:col>
      <xdr:colOff>283589</xdr:colOff>
      <xdr:row>17</xdr:row>
      <xdr:rowOff>99060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A05827DD-FD39-015E-FDC0-169B47D9B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0"/>
          <a:ext cx="4329809" cy="3246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472440</xdr:colOff>
      <xdr:row>18</xdr:row>
      <xdr:rowOff>76200</xdr:rowOff>
    </xdr:from>
    <xdr:to>
      <xdr:col>14</xdr:col>
      <xdr:colOff>46098</xdr:colOff>
      <xdr:row>27</xdr:row>
      <xdr:rowOff>114447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4B82615-301F-D8A1-2BD7-3E35BF4FB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3406140"/>
          <a:ext cx="4366638" cy="1691787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18</xdr:row>
      <xdr:rowOff>91440</xdr:rowOff>
    </xdr:from>
    <xdr:to>
      <xdr:col>17</xdr:col>
      <xdr:colOff>14880</xdr:colOff>
      <xdr:row>27</xdr:row>
      <xdr:rowOff>91440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98283ED4-C3A8-7ECD-7809-1E8474421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93780" y="3421380"/>
          <a:ext cx="2201820" cy="165354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18</xdr:row>
      <xdr:rowOff>76200</xdr:rowOff>
    </xdr:from>
    <xdr:to>
      <xdr:col>9</xdr:col>
      <xdr:colOff>464820</xdr:colOff>
      <xdr:row>27</xdr:row>
      <xdr:rowOff>122264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B2EC3941-0B8F-B548-B2E0-5490E16FF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0" y="3406140"/>
          <a:ext cx="3063240" cy="16996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FC9779D7-0BC6-4349-AC59-AC6BEE2C0AC5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FC9779D7-0BC6-4349-AC59-AC6BEE2C0AC5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127289</xdr:colOff>
      <xdr:row>103</xdr:row>
      <xdr:rowOff>157596</xdr:rowOff>
    </xdr:from>
    <xdr:ext cx="4141643" cy="594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99388AF3-1CE2-453A-BE42-294A58E3217C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99388AF3-1CE2-453A-BE42-294A58E3217C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𝑄_𝑟𝑜𝑡^3𝐷=(8𝜋^2 〖(2𝜋𝑘〗_𝐵 〖𝑇)〗^(3/2) √(𝐼_𝑥 𝐼_𝑦 𝐼_𝑧 ))/(𝜎ℎ^3 )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AB391057-5850-4C52-A6EB-3D776CD0FEEF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AB391057-5850-4C52-A6EB-3D776CD0FEEF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C2EA895B-481A-4808-9FEE-46176D923AAB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C2EA895B-481A-4808-9FEE-46176D923AAB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𝑄=𝑄_𝑡𝑟𝑎𝑠𝑙×𝑄_𝑒𝑙×𝑄_𝑟𝑜𝑡^3𝐷×𝑄_𝑣𝑖𝑏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939EAC69-F9CC-4C38-8142-1B5FC0CA6B79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939EAC69-F9CC-4C38-8142-1B5FC0CA6B79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454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1767519F-6EF4-43E2-8F0E-B867F98560AE}"/>
                </a:ext>
              </a:extLst>
            </xdr:cNvPr>
            <xdr:cNvSpPr txBox="1"/>
          </xdr:nvSpPr>
          <xdr:spPr>
            <a:xfrm>
              <a:off x="0" y="27090485"/>
              <a:ext cx="4141643" cy="454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it-IT" sz="18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1767519F-6EF4-43E2-8F0E-B867F98560AE}"/>
                </a:ext>
              </a:extLst>
            </xdr:cNvPr>
            <xdr:cNvSpPr txBox="1"/>
          </xdr:nvSpPr>
          <xdr:spPr>
            <a:xfrm>
              <a:off x="0" y="27090485"/>
              <a:ext cx="4141643" cy="454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Q_el=2</a:t>
              </a:r>
              <a:endParaRPr lang="it-IT" sz="1800" b="0"/>
            </a:p>
            <a:p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9C7E932F-2172-43D6-AADD-C33492C67695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9C7E932F-2172-43D6-AADD-C33492C67695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53683C09-A974-4F26-BD62-990774E96D36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53683C09-A974-4F26-BD62-990774E96D36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5A93F960-FFF0-4D32-9BF2-77A3CFACB32D}"/>
            </a:ext>
          </a:extLst>
        </xdr:cNvPr>
        <xdr:cNvSpPr txBox="1"/>
      </xdr:nvSpPr>
      <xdr:spPr>
        <a:xfrm>
          <a:off x="7103052" y="420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58003860-0224-4BAF-9231-85299C8141EC}"/>
            </a:ext>
          </a:extLst>
        </xdr:cNvPr>
        <xdr:cNvSpPr txBox="1"/>
      </xdr:nvSpPr>
      <xdr:spPr>
        <a:xfrm>
          <a:off x="1047750" y="4339070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9DEAA76A-A439-4A77-AB38-911E9A8A27CF}"/>
                </a:ext>
              </a:extLst>
            </xdr:cNvPr>
            <xdr:cNvSpPr txBox="1"/>
          </xdr:nvSpPr>
          <xdr:spPr>
            <a:xfrm>
              <a:off x="839932" y="4345997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9DEAA76A-A439-4A77-AB38-911E9A8A27CF}"/>
                </a:ext>
              </a:extLst>
            </xdr:cNvPr>
            <xdr:cNvSpPr txBox="1"/>
          </xdr:nvSpPr>
          <xdr:spPr>
            <a:xfrm>
              <a:off x="839932" y="4345997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68978C14-E336-48B3-9AAE-D4F870902B91}"/>
            </a:ext>
          </a:extLst>
        </xdr:cNvPr>
        <xdr:cNvSpPr txBox="1"/>
      </xdr:nvSpPr>
      <xdr:spPr>
        <a:xfrm>
          <a:off x="5053272" y="46550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5</xdr:col>
      <xdr:colOff>1235651</xdr:colOff>
      <xdr:row>196</xdr:row>
      <xdr:rowOff>71005</xdr:rowOff>
    </xdr:from>
    <xdr:ext cx="2184689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9DF52541-8E44-489F-834E-0C0034CB0D9C}"/>
                </a:ext>
              </a:extLst>
            </xdr:cNvPr>
            <xdr:cNvSpPr txBox="1"/>
          </xdr:nvSpPr>
          <xdr:spPr>
            <a:xfrm>
              <a:off x="925189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rad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9DF52541-8E44-489F-834E-0C0034CB0D9C}"/>
                </a:ext>
              </a:extLst>
            </xdr:cNvPr>
            <xdr:cNvSpPr txBox="1"/>
          </xdr:nvSpPr>
          <xdr:spPr>
            <a:xfrm>
              <a:off x="925189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𝐼=√(𝐼_𝑥^2+𝐼_𝑦^2+𝐼_𝑧^2 )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1079788</xdr:colOff>
      <xdr:row>248</xdr:row>
      <xdr:rowOff>62346</xdr:rowOff>
    </xdr:from>
    <xdr:ext cx="660689" cy="295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DF9F92EB-98F4-4895-98A4-00BFE09F7A7F}"/>
                </a:ext>
              </a:extLst>
            </xdr:cNvPr>
            <xdr:cNvSpPr txBox="1"/>
          </xdr:nvSpPr>
          <xdr:spPr>
            <a:xfrm>
              <a:off x="1079788" y="4765686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DF9F92EB-98F4-4895-98A4-00BFE09F7A7F}"/>
                </a:ext>
              </a:extLst>
            </xdr:cNvPr>
            <xdr:cNvSpPr txBox="1"/>
          </xdr:nvSpPr>
          <xdr:spPr>
            <a:xfrm>
              <a:off x="1079788" y="4765686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𝐹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1047750</xdr:colOff>
      <xdr:row>248</xdr:row>
      <xdr:rowOff>147205</xdr:rowOff>
    </xdr:from>
    <xdr:ext cx="1448666" cy="578172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76A8B0B3-7221-4EA2-A39E-F749AB506177}"/>
            </a:ext>
          </a:extLst>
        </xdr:cNvPr>
        <xdr:cNvSpPr txBox="1"/>
      </xdr:nvSpPr>
      <xdr:spPr>
        <a:xfrm>
          <a:off x="1047750" y="4774172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039D1252-1554-448A-9DCF-B45DF2C6B202}"/>
            </a:ext>
          </a:extLst>
        </xdr:cNvPr>
        <xdr:cNvSpPr txBox="1"/>
      </xdr:nvSpPr>
      <xdr:spPr>
        <a:xfrm>
          <a:off x="5053272" y="5082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C8F6D292-51C9-469F-8CB1-51D8380D6A95}"/>
            </a:ext>
          </a:extLst>
        </xdr:cNvPr>
        <xdr:cNvSpPr txBox="1"/>
      </xdr:nvSpPr>
      <xdr:spPr>
        <a:xfrm>
          <a:off x="13008552" y="420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CAFBB14A-9291-434E-BF5C-DA2198F85244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CAFBB14A-9291-434E-BF5C-DA2198F85244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F8E5599A-73B7-483C-AC25-1C3AF1AE9826}"/>
            </a:ext>
          </a:extLst>
        </xdr:cNvPr>
        <xdr:cNvSpPr txBox="1"/>
      </xdr:nvSpPr>
      <xdr:spPr>
        <a:xfrm>
          <a:off x="8267352" y="3438109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21" name="CasellaDiTesto 20">
          <a:extLst>
            <a:ext uri="{FF2B5EF4-FFF2-40B4-BE49-F238E27FC236}">
              <a16:creationId xmlns:a16="http://schemas.microsoft.com/office/drawing/2014/main" id="{CBA3373C-9C8E-4C46-8663-E029232C96A4}"/>
            </a:ext>
          </a:extLst>
        </xdr:cNvPr>
        <xdr:cNvSpPr txBox="1"/>
      </xdr:nvSpPr>
      <xdr:spPr>
        <a:xfrm>
          <a:off x="8128809" y="44296791"/>
          <a:ext cx="1428750" cy="21394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01F01CAF-3D9A-4B33-B602-DE5AF266A71B}"/>
            </a:ext>
          </a:extLst>
        </xdr:cNvPr>
        <xdr:cNvCxnSpPr/>
      </xdr:nvCxnSpPr>
      <xdr:spPr>
        <a:xfrm>
          <a:off x="8726286" y="4350327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3" name="Connettore 2 22">
          <a:extLst>
            <a:ext uri="{FF2B5EF4-FFF2-40B4-BE49-F238E27FC236}">
              <a16:creationId xmlns:a16="http://schemas.microsoft.com/office/drawing/2014/main" id="{0F947D12-752B-4870-8373-5FBACD239BB2}"/>
            </a:ext>
          </a:extLst>
        </xdr:cNvPr>
        <xdr:cNvCxnSpPr/>
      </xdr:nvCxnSpPr>
      <xdr:spPr>
        <a:xfrm>
          <a:off x="8804217" y="3399663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0A38932D-5EE3-4375-B533-CD8B548F7659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0A38932D-5EE3-4375-B533-CD8B548F7659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F64C75A7-63DA-4441-901D-006A9D245A44}"/>
            </a:ext>
          </a:extLst>
        </xdr:cNvPr>
        <xdr:cNvSpPr txBox="1"/>
      </xdr:nvSpPr>
      <xdr:spPr>
        <a:xfrm>
          <a:off x="13008552" y="46550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4F6B7505-559A-4919-93E8-23ACCFCCF03E}"/>
            </a:ext>
          </a:extLst>
        </xdr:cNvPr>
        <xdr:cNvSpPr txBox="1"/>
      </xdr:nvSpPr>
      <xdr:spPr>
        <a:xfrm>
          <a:off x="1047750" y="5238992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E01F208B-875A-4266-AC10-A710DC88D7F3}"/>
                </a:ext>
              </a:extLst>
            </xdr:cNvPr>
            <xdr:cNvSpPr txBox="1"/>
          </xdr:nvSpPr>
          <xdr:spPr>
            <a:xfrm>
              <a:off x="839932" y="5245919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E01F208B-875A-4266-AC10-A710DC88D7F3}"/>
                </a:ext>
              </a:extLst>
            </xdr:cNvPr>
            <xdr:cNvSpPr txBox="1"/>
          </xdr:nvSpPr>
          <xdr:spPr>
            <a:xfrm>
              <a:off x="839932" y="5245919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8" name="CasellaDiTesto 27">
          <a:extLst>
            <a:ext uri="{FF2B5EF4-FFF2-40B4-BE49-F238E27FC236}">
              <a16:creationId xmlns:a16="http://schemas.microsoft.com/office/drawing/2014/main" id="{5B54BA9F-3725-470D-93A2-F8B48F3BAC4A}"/>
            </a:ext>
          </a:extLst>
        </xdr:cNvPr>
        <xdr:cNvSpPr txBox="1"/>
      </xdr:nvSpPr>
      <xdr:spPr>
        <a:xfrm>
          <a:off x="5053272" y="5547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9" name="CasellaDiTesto 28">
          <a:extLst>
            <a:ext uri="{FF2B5EF4-FFF2-40B4-BE49-F238E27FC236}">
              <a16:creationId xmlns:a16="http://schemas.microsoft.com/office/drawing/2014/main" id="{18C7669E-4E45-4833-9205-B0945D3FCC10}"/>
            </a:ext>
          </a:extLst>
        </xdr:cNvPr>
        <xdr:cNvSpPr txBox="1"/>
      </xdr:nvSpPr>
      <xdr:spPr>
        <a:xfrm>
          <a:off x="8128809" y="5324267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30" name="Connettore 2 29">
          <a:extLst>
            <a:ext uri="{FF2B5EF4-FFF2-40B4-BE49-F238E27FC236}">
              <a16:creationId xmlns:a16="http://schemas.microsoft.com/office/drawing/2014/main" id="{2A6B467E-86B8-4C6F-8247-6C5C199E38C8}"/>
            </a:ext>
          </a:extLst>
        </xdr:cNvPr>
        <xdr:cNvCxnSpPr/>
      </xdr:nvCxnSpPr>
      <xdr:spPr>
        <a:xfrm>
          <a:off x="8726286" y="5250249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D72AFA64-4F87-4476-8142-98FD2F1AB439}"/>
            </a:ext>
          </a:extLst>
        </xdr:cNvPr>
        <xdr:cNvSpPr txBox="1"/>
      </xdr:nvSpPr>
      <xdr:spPr>
        <a:xfrm>
          <a:off x="13008552" y="5547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8CFD6654-CCB4-4C45-84B3-DFBBE33EF029}"/>
                </a:ext>
              </a:extLst>
            </xdr:cNvPr>
            <xdr:cNvSpPr txBox="1"/>
          </xdr:nvSpPr>
          <xdr:spPr>
            <a:xfrm>
              <a:off x="242455" y="5353050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8CFD6654-CCB4-4C45-84B3-DFBBE33EF029}"/>
                </a:ext>
              </a:extLst>
            </xdr:cNvPr>
            <xdr:cNvSpPr txBox="1"/>
          </xdr:nvSpPr>
          <xdr:spPr>
            <a:xfrm>
              <a:off x="242455" y="5353050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3" name="CasellaDiTesto 32">
          <a:extLst>
            <a:ext uri="{FF2B5EF4-FFF2-40B4-BE49-F238E27FC236}">
              <a16:creationId xmlns:a16="http://schemas.microsoft.com/office/drawing/2014/main" id="{87CFD8F7-2064-476C-92E8-8266F167AA16}"/>
            </a:ext>
          </a:extLst>
        </xdr:cNvPr>
        <xdr:cNvSpPr txBox="1"/>
      </xdr:nvSpPr>
      <xdr:spPr>
        <a:xfrm>
          <a:off x="0" y="5315504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0</xdr:col>
      <xdr:colOff>710046</xdr:colOff>
      <xdr:row>108</xdr:row>
      <xdr:rowOff>147204</xdr:rowOff>
    </xdr:from>
    <xdr:to>
      <xdr:col>2</xdr:col>
      <xdr:colOff>207819</xdr:colOff>
      <xdr:row>110</xdr:row>
      <xdr:rowOff>129886</xdr:rowOff>
    </xdr:to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1673E10E-9F7C-4F66-B3E0-22FD310FABDF}"/>
            </a:ext>
          </a:extLst>
        </xdr:cNvPr>
        <xdr:cNvSpPr txBox="1"/>
      </xdr:nvSpPr>
      <xdr:spPr>
        <a:xfrm>
          <a:off x="710046" y="20660244"/>
          <a:ext cx="3452553" cy="40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utilizzato però questa</a:t>
          </a:r>
          <a:r>
            <a:rPr lang="it-IT" sz="1100" baseline="0"/>
            <a:t> riscrittura:</a:t>
          </a:r>
          <a:endParaRPr lang="it-IT" sz="1100"/>
        </a:p>
      </xdr:txBody>
    </xdr:sp>
    <xdr:clientData/>
  </xdr:twoCellAnchor>
  <xdr:oneCellAnchor>
    <xdr:from>
      <xdr:col>0</xdr:col>
      <xdr:colOff>733423</xdr:colOff>
      <xdr:row>110</xdr:row>
      <xdr:rowOff>79664</xdr:rowOff>
    </xdr:from>
    <xdr:ext cx="2816804" cy="62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24BE284D-BEF7-4DD9-B7E6-361A5908E7E2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</m:t>
                      </m:r>
                    </m:e>
                    <m:sub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rot</m:t>
                      </m:r>
                    </m:sub>
                    <m:sup>
                      <m: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sup>
                  </m:sSubSup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f>
                    <m:f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sty m:val="p"/>
                            </m:rP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π</m:t>
                          </m:r>
                        </m:e>
                      </m:rad>
                    </m:num>
                    <m:den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σ</m:t>
                      </m:r>
                    </m:den>
                  </m:f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rad>
                    <m:radPr>
                      <m:degHide m:val="on"/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T</m:t>
                              </m:r>
                            </m:e>
                            <m:sup>
                              <m: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x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y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z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24BE284D-BEF7-4DD9-B7E6-361A5908E7E2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Q_rot^3D=  √π/σ⋅√(T^3/(θ_x⋅θ_y⋅θ_z ))</a:t>
              </a:r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666750</xdr:colOff>
      <xdr:row>115</xdr:row>
      <xdr:rowOff>34636</xdr:rowOff>
    </xdr:from>
    <xdr:to>
      <xdr:col>2</xdr:col>
      <xdr:colOff>112569</xdr:colOff>
      <xdr:row>119</xdr:row>
      <xdr:rowOff>95249</xdr:rowOff>
    </xdr:to>
    <xdr:sp macro="" textlink="">
      <xdr:nvSpPr>
        <xdr:cNvPr id="36" name="CasellaDiTesto 35">
          <a:extLst>
            <a:ext uri="{FF2B5EF4-FFF2-40B4-BE49-F238E27FC236}">
              <a16:creationId xmlns:a16="http://schemas.microsoft.com/office/drawing/2014/main" id="{34CBB938-2746-41E3-A481-5B48FCF5956A}"/>
            </a:ext>
          </a:extLst>
        </xdr:cNvPr>
        <xdr:cNvSpPr txBox="1"/>
      </xdr:nvSpPr>
      <xdr:spPr>
        <a:xfrm>
          <a:off x="666750" y="21896416"/>
          <a:ext cx="3400599" cy="79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dove le </a:t>
          </a:r>
          <a:r>
            <a:rPr lang="el-GR" sz="1100"/>
            <a:t>ϑ</a:t>
          </a:r>
          <a:r>
            <a:rPr lang="it-IT" sz="1100"/>
            <a:t> rappresentano le temperature rotazionali rispetto agli assi x, y e z</a:t>
          </a:r>
        </a:p>
      </xdr:txBody>
    </xdr:sp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7" name="CasellaDiTesto 36">
          <a:extLst>
            <a:ext uri="{FF2B5EF4-FFF2-40B4-BE49-F238E27FC236}">
              <a16:creationId xmlns:a16="http://schemas.microsoft.com/office/drawing/2014/main" id="{62E8D457-59CF-40FE-B4A7-96A4F05A0C46}"/>
            </a:ext>
          </a:extLst>
        </xdr:cNvPr>
        <xdr:cNvSpPr txBox="1"/>
      </xdr:nvSpPr>
      <xdr:spPr>
        <a:xfrm>
          <a:off x="4162598" y="4242296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8" name="Immagine 37">
          <a:extLst>
            <a:ext uri="{FF2B5EF4-FFF2-40B4-BE49-F238E27FC236}">
              <a16:creationId xmlns:a16="http://schemas.microsoft.com/office/drawing/2014/main" id="{00799585-1F98-418E-A4FE-FB03E9E8C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3917" y="4229308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480751</xdr:colOff>
      <xdr:row>64</xdr:row>
      <xdr:rowOff>162097</xdr:rowOff>
    </xdr:from>
    <xdr:ext cx="2764849" cy="917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EE718DA5-2ED1-4C84-885D-F18446D589F4}"/>
                </a:ext>
              </a:extLst>
            </xdr:cNvPr>
            <xdr:cNvSpPr txBox="1"/>
          </xdr:nvSpPr>
          <xdr:spPr>
            <a:xfrm>
              <a:off x="480751" y="1232361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EE718DA5-2ED1-4C84-885D-F18446D589F4}"/>
                </a:ext>
              </a:extLst>
            </xdr:cNvPr>
            <xdr:cNvSpPr txBox="1"/>
          </xdr:nvSpPr>
          <xdr:spPr>
            <a:xfrm>
              <a:off x="480751" y="12323617"/>
              <a:ext cx="2764849" cy="91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Q_vib=∏_(𝑖=1)^(𝑁_𝑣𝑖𝑏)▒1/(1−exp⁡(−(ℎ𝜈_𝑖)/(𝑘_𝐵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  <xdr:twoCellAnchor editAs="oneCell">
    <xdr:from>
      <xdr:col>8</xdr:col>
      <xdr:colOff>99060</xdr:colOff>
      <xdr:row>5</xdr:row>
      <xdr:rowOff>114300</xdr:rowOff>
    </xdr:from>
    <xdr:to>
      <xdr:col>10</xdr:col>
      <xdr:colOff>1021080</xdr:colOff>
      <xdr:row>15</xdr:row>
      <xdr:rowOff>49484</xdr:rowOff>
    </xdr:to>
    <xdr:pic>
      <xdr:nvPicPr>
        <xdr:cNvPr id="42" name="Immagine 41">
          <a:extLst>
            <a:ext uri="{FF2B5EF4-FFF2-40B4-BE49-F238E27FC236}">
              <a16:creationId xmlns:a16="http://schemas.microsoft.com/office/drawing/2014/main" id="{59F2CFC5-1290-AF84-7DBF-4247B0655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4340" y="1082040"/>
          <a:ext cx="3467100" cy="2015444"/>
        </a:xfrm>
        <a:prstGeom prst="rect">
          <a:avLst/>
        </a:prstGeom>
      </xdr:spPr>
    </xdr:pic>
    <xdr:clientData/>
  </xdr:twoCellAnchor>
  <xdr:twoCellAnchor editAs="oneCell">
    <xdr:from>
      <xdr:col>8</xdr:col>
      <xdr:colOff>403860</xdr:colOff>
      <xdr:row>15</xdr:row>
      <xdr:rowOff>121920</xdr:rowOff>
    </xdr:from>
    <xdr:to>
      <xdr:col>10</xdr:col>
      <xdr:colOff>922020</xdr:colOff>
      <xdr:row>24</xdr:row>
      <xdr:rowOff>152744</xdr:rowOff>
    </xdr:to>
    <xdr:pic>
      <xdr:nvPicPr>
        <xdr:cNvPr id="43" name="Immagine 42">
          <a:extLst>
            <a:ext uri="{FF2B5EF4-FFF2-40B4-BE49-F238E27FC236}">
              <a16:creationId xmlns:a16="http://schemas.microsoft.com/office/drawing/2014/main" id="{ACBF5446-A44C-4D8C-A0C7-2D7A0A33A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9140" y="3169920"/>
          <a:ext cx="3063240" cy="16996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0</xdr:row>
      <xdr:rowOff>201930</xdr:rowOff>
    </xdr:from>
    <xdr:ext cx="229813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30D4AE4-2EC6-4D41-AC62-6AD257FB9307}"/>
                </a:ext>
              </a:extLst>
            </xdr:cNvPr>
            <xdr:cNvSpPr txBox="1"/>
          </xdr:nvSpPr>
          <xdr:spPr>
            <a:xfrm>
              <a:off x="1874520" y="201930"/>
              <a:ext cx="229813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30D4AE4-2EC6-4D41-AC62-6AD257FB9307}"/>
                </a:ext>
              </a:extLst>
            </xdr:cNvPr>
            <xdr:cNvSpPr txBox="1"/>
          </xdr:nvSpPr>
          <xdr:spPr>
            <a:xfrm>
              <a:off x="1874520" y="201930"/>
              <a:ext cx="229813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〖𝑁</a:t>
              </a:r>
              <a:r>
                <a:rPr lang="it-IT" sz="1800" i="0">
                  <a:latin typeface="Cambria Math" panose="02040503050406030204" pitchFamily="18" charset="0"/>
                </a:rPr>
                <a:t>𝐻</a:t>
              </a:r>
              <a:r>
                <a:rPr lang="it-IT" sz="1800" b="0" i="0">
                  <a:latin typeface="Cambria Math" panose="02040503050406030204" pitchFamily="18" charset="0"/>
                </a:rPr>
                <a:t>〗_3</a:t>
              </a:r>
              <a:r>
                <a:rPr lang="it-IT" sz="1800" i="0">
                  <a:latin typeface="Cambria Math" panose="02040503050406030204" pitchFamily="18" charset="0"/>
                </a:rPr>
                <a:t>+𝐻</a:t>
              </a:r>
              <a:r>
                <a:rPr lang="it-IT" sz="1800" b="0" i="0">
                  <a:latin typeface="Cambria Math" panose="02040503050406030204" pitchFamily="18" charset="0"/>
                </a:rPr>
                <a:t>→𝑁</a:t>
              </a:r>
              <a:r>
                <a:rPr lang="it-IT" sz="1800" i="0">
                  <a:latin typeface="Cambria Math" panose="02040503050406030204" pitchFamily="18" charset="0"/>
                </a:rPr>
                <a:t>𝐻</a:t>
              </a:r>
              <a:r>
                <a:rPr lang="it-IT" sz="1800" b="0" i="0">
                  <a:latin typeface="Cambria Math" panose="02040503050406030204" pitchFamily="18" charset="0"/>
                </a:rPr>
                <a:t>_2</a:t>
              </a:r>
              <a:r>
                <a:rPr lang="it-IT" sz="1800" i="0">
                  <a:latin typeface="Cambria Math" panose="02040503050406030204" pitchFamily="18" charset="0"/>
                </a:rPr>
                <a:t>+𝐻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2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1</xdr:col>
      <xdr:colOff>15240</xdr:colOff>
      <xdr:row>3</xdr:row>
      <xdr:rowOff>49530</xdr:rowOff>
    </xdr:from>
    <xdr:ext cx="4629152" cy="8036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7332D6A-B1A6-4198-BCBA-294553FF5626}"/>
                </a:ext>
              </a:extLst>
            </xdr:cNvPr>
            <xdr:cNvSpPr txBox="1"/>
          </xdr:nvSpPr>
          <xdr:spPr>
            <a:xfrm>
              <a:off x="1844040" y="689610"/>
              <a:ext cx="4629152" cy="803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t-IT" sz="1800" b="0" i="1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𝑇𝑆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𝑅𝑒𝑎𝑔𝑒𝑛𝑡𝑖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𝑇𝑆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−(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𝑁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)</m:t>
                    </m:r>
                    <m:r>
                      <m:rPr>
                        <m:nor/>
                      </m:rPr>
                      <a:rPr lang="it-IT" sz="18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it-IT" sz="1800"/>
                      <m:t>​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7332D6A-B1A6-4198-BCBA-294553FF5626}"/>
                </a:ext>
              </a:extLst>
            </xdr:cNvPr>
            <xdr:cNvSpPr txBox="1"/>
          </xdr:nvSpPr>
          <xdr:spPr>
            <a:xfrm>
              <a:off x="1844040" y="689610"/>
              <a:ext cx="4629152" cy="803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Δ𝐸_𝐴=𝐸_𝑇𝑆−∑_𝑖^(𝑁_𝑅𝑒𝑎𝑔𝑒𝑛𝑡𝑖)▒𝐸_𝑖 =𝐸_𝑇𝑆−(𝐸_(𝑁𝐻_3 )+𝐸_𝐻)" </a:t>
              </a:r>
              <a:r>
                <a:rPr lang="it-IT" sz="1800" i="0">
                  <a:latin typeface="Cambria Math" panose="02040503050406030204" pitchFamily="18" charset="0"/>
                </a:rPr>
                <a:t>​</a:t>
              </a:r>
              <a:r>
                <a:rPr lang="it-IT" sz="1800" i="0"/>
                <a:t>"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121920</xdr:colOff>
      <xdr:row>4</xdr:row>
      <xdr:rowOff>133350</xdr:rowOff>
    </xdr:from>
    <xdr:ext cx="210634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D3F3F6DF-DAD5-41EF-9094-A320DD1DB67D}"/>
                </a:ext>
              </a:extLst>
            </xdr:cNvPr>
            <xdr:cNvSpPr txBox="1"/>
          </xdr:nvSpPr>
          <xdr:spPr>
            <a:xfrm>
              <a:off x="10119360" y="956310"/>
              <a:ext cx="210634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𝑆𝐶𝐹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𝑍𝑃𝐸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 , ∀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D3F3F6DF-DAD5-41EF-9094-A320DD1DB67D}"/>
                </a:ext>
              </a:extLst>
            </xdr:cNvPr>
            <xdr:cNvSpPr txBox="1"/>
          </xdr:nvSpPr>
          <xdr:spPr>
            <a:xfrm>
              <a:off x="10119360" y="956310"/>
              <a:ext cx="210634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𝐸_𝑖=𝐸_𝑆𝐶𝐹+𝐸_𝑍𝑃𝐸  , ∀𝑖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121920</xdr:colOff>
      <xdr:row>43</xdr:row>
      <xdr:rowOff>133350</xdr:rowOff>
    </xdr:from>
    <xdr:ext cx="210634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0137B409-207D-40EC-9785-5A68DF5FA390}"/>
                </a:ext>
              </a:extLst>
            </xdr:cNvPr>
            <xdr:cNvSpPr txBox="1"/>
          </xdr:nvSpPr>
          <xdr:spPr>
            <a:xfrm>
              <a:off x="10119360" y="8309610"/>
              <a:ext cx="210634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𝑆𝐶𝐹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𝑍𝑃𝐸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 , ∀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0137B409-207D-40EC-9785-5A68DF5FA390}"/>
                </a:ext>
              </a:extLst>
            </xdr:cNvPr>
            <xdr:cNvSpPr txBox="1"/>
          </xdr:nvSpPr>
          <xdr:spPr>
            <a:xfrm>
              <a:off x="10119360" y="8309610"/>
              <a:ext cx="210634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𝐸_𝑖=𝐸_𝑆𝐶𝐹+𝐸_𝑍𝑃𝐸  , ∀𝑖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30480</xdr:colOff>
      <xdr:row>43</xdr:row>
      <xdr:rowOff>30480</xdr:rowOff>
    </xdr:from>
    <xdr:ext cx="4686218" cy="8025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2D96F90-96EF-4D99-905A-61348E103495}"/>
                </a:ext>
              </a:extLst>
            </xdr:cNvPr>
            <xdr:cNvSpPr txBox="1"/>
          </xdr:nvSpPr>
          <xdr:spPr>
            <a:xfrm>
              <a:off x="1859280" y="8206740"/>
              <a:ext cx="4686218" cy="802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t-IT" sz="1800" b="0" i="1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𝑇𝑆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𝑝𝑟𝑜𝑑𝑜𝑡𝑡𝑖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𝑇𝑆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−(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𝑁</m:t>
                        </m:r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)</m:t>
                    </m:r>
                    <m:r>
                      <m:rPr>
                        <m:nor/>
                      </m:rPr>
                      <a:rPr lang="it-IT" sz="18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it-IT" sz="1800"/>
                      <m:t>​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2D96F90-96EF-4D99-905A-61348E103495}"/>
                </a:ext>
              </a:extLst>
            </xdr:cNvPr>
            <xdr:cNvSpPr txBox="1"/>
          </xdr:nvSpPr>
          <xdr:spPr>
            <a:xfrm>
              <a:off x="1859280" y="8206740"/>
              <a:ext cx="4686218" cy="802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Δ𝐸_𝐴=𝐸_𝑇𝑆−∑_𝑖^(𝑁_𝑝𝑟𝑜𝑑𝑜𝑡𝑡𝑖)▒𝐸_𝑖 =𝐸_𝑇𝑆−(𝐸_(𝑁𝐻_2 )+𝐸_(𝐻_2 ))" </a:t>
              </a:r>
              <a:r>
                <a:rPr lang="it-IT" sz="1800" i="0">
                  <a:latin typeface="Cambria Math" panose="02040503050406030204" pitchFamily="18" charset="0"/>
                </a:rPr>
                <a:t>​</a:t>
              </a:r>
              <a:r>
                <a:rPr lang="it-IT" sz="1800" i="0"/>
                <a:t>"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40</xdr:row>
      <xdr:rowOff>137160</xdr:rowOff>
    </xdr:from>
    <xdr:ext cx="222727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80AED654-3CDE-4BC4-9F0E-566818F2DA45}"/>
                </a:ext>
              </a:extLst>
            </xdr:cNvPr>
            <xdr:cNvSpPr txBox="1"/>
          </xdr:nvSpPr>
          <xdr:spPr>
            <a:xfrm>
              <a:off x="1943100" y="7719060"/>
              <a:ext cx="222727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80AED654-3CDE-4BC4-9F0E-566818F2DA45}"/>
                </a:ext>
              </a:extLst>
            </xdr:cNvPr>
            <xdr:cNvSpPr txBox="1"/>
          </xdr:nvSpPr>
          <xdr:spPr>
            <a:xfrm>
              <a:off x="1943100" y="7719060"/>
              <a:ext cx="222727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〖𝑁</a:t>
              </a:r>
              <a:r>
                <a:rPr lang="it-IT" sz="1800" i="0">
                  <a:latin typeface="Cambria Math" panose="02040503050406030204" pitchFamily="18" charset="0"/>
                </a:rPr>
                <a:t>𝐻</a:t>
              </a:r>
              <a:r>
                <a:rPr lang="it-IT" sz="1800" b="0" i="0">
                  <a:latin typeface="Cambria Math" panose="02040503050406030204" pitchFamily="18" charset="0"/>
                </a:rPr>
                <a:t>〗_3</a:t>
              </a:r>
              <a:r>
                <a:rPr lang="it-IT" sz="1800" i="0">
                  <a:latin typeface="Cambria Math" panose="02040503050406030204" pitchFamily="18" charset="0"/>
                </a:rPr>
                <a:t>+𝐻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it-IT" sz="1800" b="0" i="0">
                  <a:latin typeface="Cambria Math" panose="02040503050406030204" pitchFamily="18" charset="0"/>
                </a:rPr>
                <a:t>𝑁</a:t>
              </a:r>
              <a:r>
                <a:rPr lang="it-IT" sz="1800" i="0">
                  <a:latin typeface="Cambria Math" panose="02040503050406030204" pitchFamily="18" charset="0"/>
                </a:rPr>
                <a:t>𝐻</a:t>
              </a:r>
              <a:r>
                <a:rPr lang="it-IT" sz="1800" b="0" i="0">
                  <a:latin typeface="Cambria Math" panose="02040503050406030204" pitchFamily="18" charset="0"/>
                </a:rPr>
                <a:t>_2</a:t>
              </a:r>
              <a:r>
                <a:rPr lang="it-IT" sz="1800" i="0">
                  <a:latin typeface="Cambria Math" panose="02040503050406030204" pitchFamily="18" charset="0"/>
                </a:rPr>
                <a:t>+𝐻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2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1</xdr:col>
      <xdr:colOff>358140</xdr:colOff>
      <xdr:row>85</xdr:row>
      <xdr:rowOff>57150</xdr:rowOff>
    </xdr:from>
    <xdr:ext cx="2152384" cy="9742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F0B50EC0-2913-604E-1ED8-8546A69BC8DF}"/>
                </a:ext>
              </a:extLst>
            </xdr:cNvPr>
            <xdr:cNvSpPr txBox="1"/>
          </xdr:nvSpPr>
          <xdr:spPr>
            <a:xfrm>
              <a:off x="2186940" y="18604230"/>
              <a:ext cx="2152384" cy="974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=1+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𝑖𝑚𝑔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8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F0B50EC0-2913-604E-1ED8-8546A69BC8DF}"/>
                </a:ext>
              </a:extLst>
            </xdr:cNvPr>
            <xdr:cNvSpPr txBox="1"/>
          </xdr:nvSpPr>
          <xdr:spPr>
            <a:xfrm>
              <a:off x="2186940" y="18604230"/>
              <a:ext cx="2152384" cy="9742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800" b="0" i="0">
                  <a:latin typeface="Cambria Math" panose="02040503050406030204" pitchFamily="18" charset="0"/>
                </a:rPr>
                <a:t>𝜅=1+1/24 ((ℎ𝜈^𝑖𝑚𝑔)/(𝑘_𝐵 𝑇))^2</a:t>
              </a:r>
              <a:endParaRPr lang="it-IT" sz="1800" b="0" i="1">
                <a:latin typeface="Cambria Math" panose="02040503050406030204" pitchFamily="18" charset="0"/>
              </a:endParaRPr>
            </a:p>
            <a:p>
              <a:r>
                <a:rPr lang="it-IT" sz="1800" b="0" i="0">
                  <a:latin typeface="Cambria Math" panose="02040503050406030204" pitchFamily="18" charset="0"/>
                </a:rPr>
                <a:t> 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5</xdr:col>
      <xdr:colOff>22860</xdr:colOff>
      <xdr:row>86</xdr:row>
      <xdr:rowOff>26670</xdr:rowOff>
    </xdr:from>
    <xdr:ext cx="541880" cy="197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D51273FF-845B-E707-039F-E9196E087A91}"/>
                </a:ext>
              </a:extLst>
            </xdr:cNvPr>
            <xdr:cNvSpPr txBox="1"/>
          </xdr:nvSpPr>
          <xdr:spPr>
            <a:xfrm>
              <a:off x="5935980" y="18802350"/>
              <a:ext cx="541880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200" b="0" i="1">
                        <a:latin typeface="Cambria Math" panose="02040503050406030204" pitchFamily="18" charset="0"/>
                      </a:rPr>
                      <m:t>  </m:t>
                    </m:r>
                    <m:sSup>
                      <m:sSupPr>
                        <m:ctrlPr>
                          <a:rPr lang="it-IT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𝜈</m:t>
                        </m:r>
                      </m:e>
                      <m:sup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𝑖𝑚𝑔</m:t>
                        </m:r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 </m:t>
                        </m:r>
                      </m:sup>
                    </m:sSup>
                    <m:r>
                      <a:rPr lang="it-I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200" b="0" i="0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it-IT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D51273FF-845B-E707-039F-E9196E087A91}"/>
                </a:ext>
              </a:extLst>
            </xdr:cNvPr>
            <xdr:cNvSpPr txBox="1"/>
          </xdr:nvSpPr>
          <xdr:spPr>
            <a:xfrm>
              <a:off x="5935980" y="18802350"/>
              <a:ext cx="541880" cy="197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200" b="0" i="0">
                  <a:latin typeface="Cambria Math" panose="02040503050406030204" pitchFamily="18" charset="0"/>
                </a:rPr>
                <a:t>  𝜈^(𝑖𝑚𝑔 )    </a:t>
              </a:r>
              <a:endParaRPr lang="it-IT" sz="11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5</xdr:col>
      <xdr:colOff>487680</xdr:colOff>
      <xdr:row>86</xdr:row>
      <xdr:rowOff>0</xdr:rowOff>
    </xdr:from>
    <xdr:ext cx="4772525" cy="264560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0E28F9E1-C503-D23B-BEA5-7224031A9DD1}"/>
            </a:ext>
          </a:extLst>
        </xdr:cNvPr>
        <xdr:cNvSpPr txBox="1"/>
      </xdr:nvSpPr>
      <xdr:spPr>
        <a:xfrm>
          <a:off x="6400800" y="18775680"/>
          <a:ext cx="47725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 baseline="0">
              <a:latin typeface="+mn-lt"/>
            </a:rPr>
            <a:t>: frequenza immaginaria associata al modo vibrazionale dello stato di transizione</a:t>
          </a:r>
          <a:endParaRPr lang="it-IT" sz="1100">
            <a:latin typeface="+mn-lt"/>
          </a:endParaRPr>
        </a:p>
      </xdr:txBody>
    </xdr:sp>
    <xdr:clientData/>
  </xdr:oneCellAnchor>
  <xdr:oneCellAnchor>
    <xdr:from>
      <xdr:col>1</xdr:col>
      <xdr:colOff>350520</xdr:colOff>
      <xdr:row>90</xdr:row>
      <xdr:rowOff>11430</xdr:rowOff>
    </xdr:from>
    <xdr:ext cx="99399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07033101-5FA3-B784-386E-76D6152C56A7}"/>
                </a:ext>
              </a:extLst>
            </xdr:cNvPr>
            <xdr:cNvSpPr txBox="1"/>
          </xdr:nvSpPr>
          <xdr:spPr>
            <a:xfrm>
              <a:off x="2179320" y="19785330"/>
              <a:ext cx="99399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it-IT" sz="1100" b="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07033101-5FA3-B784-386E-76D6152C56A7}"/>
                </a:ext>
              </a:extLst>
            </xdr:cNvPr>
            <xdr:cNvSpPr txBox="1"/>
          </xdr:nvSpPr>
          <xdr:spPr>
            <a:xfrm>
              <a:off x="2179320" y="19785330"/>
              <a:ext cx="99399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𝑘^′=𝜅⋅𝑘</a:t>
              </a:r>
              <a:endParaRPr lang="it-IT" sz="1100" b="0"/>
            </a:p>
          </xdr:txBody>
        </xdr:sp>
      </mc:Fallback>
    </mc:AlternateContent>
    <xdr:clientData/>
  </xdr:oneCellAnchor>
  <xdr:oneCellAnchor>
    <xdr:from>
      <xdr:col>1</xdr:col>
      <xdr:colOff>45720</xdr:colOff>
      <xdr:row>97</xdr:row>
      <xdr:rowOff>201930</xdr:rowOff>
    </xdr:from>
    <xdr:ext cx="229813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6812E856-C3B1-4402-ABDF-B956B9026ECA}"/>
                </a:ext>
              </a:extLst>
            </xdr:cNvPr>
            <xdr:cNvSpPr txBox="1"/>
          </xdr:nvSpPr>
          <xdr:spPr>
            <a:xfrm>
              <a:off x="1874520" y="201930"/>
              <a:ext cx="229813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6812E856-C3B1-4402-ABDF-B956B9026ECA}"/>
                </a:ext>
              </a:extLst>
            </xdr:cNvPr>
            <xdr:cNvSpPr txBox="1"/>
          </xdr:nvSpPr>
          <xdr:spPr>
            <a:xfrm>
              <a:off x="1874520" y="201930"/>
              <a:ext cx="229813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〖𝑁</a:t>
              </a:r>
              <a:r>
                <a:rPr lang="it-IT" sz="1800" i="0">
                  <a:latin typeface="Cambria Math" panose="02040503050406030204" pitchFamily="18" charset="0"/>
                </a:rPr>
                <a:t>𝐻</a:t>
              </a:r>
              <a:r>
                <a:rPr lang="it-IT" sz="1800" b="0" i="0">
                  <a:latin typeface="Cambria Math" panose="02040503050406030204" pitchFamily="18" charset="0"/>
                </a:rPr>
                <a:t>〗_3</a:t>
              </a:r>
              <a:r>
                <a:rPr lang="it-IT" sz="1800" i="0">
                  <a:latin typeface="Cambria Math" panose="02040503050406030204" pitchFamily="18" charset="0"/>
                </a:rPr>
                <a:t>+𝐻</a:t>
              </a:r>
              <a:r>
                <a:rPr lang="it-IT" sz="1800" b="0" i="0">
                  <a:latin typeface="Cambria Math" panose="02040503050406030204" pitchFamily="18" charset="0"/>
                </a:rPr>
                <a:t>→𝑁</a:t>
              </a:r>
              <a:r>
                <a:rPr lang="it-IT" sz="1800" i="0">
                  <a:latin typeface="Cambria Math" panose="02040503050406030204" pitchFamily="18" charset="0"/>
                </a:rPr>
                <a:t>𝐻</a:t>
              </a:r>
              <a:r>
                <a:rPr lang="it-IT" sz="1800" b="0" i="0">
                  <a:latin typeface="Cambria Math" panose="02040503050406030204" pitchFamily="18" charset="0"/>
                </a:rPr>
                <a:t>_2</a:t>
              </a:r>
              <a:r>
                <a:rPr lang="it-IT" sz="1800" i="0">
                  <a:latin typeface="Cambria Math" panose="02040503050406030204" pitchFamily="18" charset="0"/>
                </a:rPr>
                <a:t>+𝐻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2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1</xdr:col>
      <xdr:colOff>45720</xdr:colOff>
      <xdr:row>123</xdr:row>
      <xdr:rowOff>179070</xdr:rowOff>
    </xdr:from>
    <xdr:ext cx="222727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76BDD3BB-FA0D-4102-BAAC-0AC3CACDA2D1}"/>
                </a:ext>
              </a:extLst>
            </xdr:cNvPr>
            <xdr:cNvSpPr txBox="1"/>
          </xdr:nvSpPr>
          <xdr:spPr>
            <a:xfrm>
              <a:off x="1874520" y="26330910"/>
              <a:ext cx="222727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←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𝑁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76BDD3BB-FA0D-4102-BAAC-0AC3CACDA2D1}"/>
                </a:ext>
              </a:extLst>
            </xdr:cNvPr>
            <xdr:cNvSpPr txBox="1"/>
          </xdr:nvSpPr>
          <xdr:spPr>
            <a:xfrm>
              <a:off x="1874520" y="26330910"/>
              <a:ext cx="222727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〖𝑁</a:t>
              </a:r>
              <a:r>
                <a:rPr lang="it-IT" sz="1800" i="0">
                  <a:latin typeface="Cambria Math" panose="02040503050406030204" pitchFamily="18" charset="0"/>
                </a:rPr>
                <a:t>𝐻</a:t>
              </a:r>
              <a:r>
                <a:rPr lang="it-IT" sz="1800" b="0" i="0">
                  <a:latin typeface="Cambria Math" panose="02040503050406030204" pitchFamily="18" charset="0"/>
                </a:rPr>
                <a:t>〗_3</a:t>
              </a:r>
              <a:r>
                <a:rPr lang="it-IT" sz="1800" i="0">
                  <a:latin typeface="Cambria Math" panose="02040503050406030204" pitchFamily="18" charset="0"/>
                </a:rPr>
                <a:t>+𝐻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</a:t>
              </a:r>
              <a:r>
                <a:rPr lang="it-IT" sz="1800" b="0" i="0">
                  <a:latin typeface="Cambria Math" panose="02040503050406030204" pitchFamily="18" charset="0"/>
                </a:rPr>
                <a:t>𝑁</a:t>
              </a:r>
              <a:r>
                <a:rPr lang="it-IT" sz="1800" i="0">
                  <a:latin typeface="Cambria Math" panose="02040503050406030204" pitchFamily="18" charset="0"/>
                </a:rPr>
                <a:t>𝐻</a:t>
              </a:r>
              <a:r>
                <a:rPr lang="it-IT" sz="1800" b="0" i="0">
                  <a:latin typeface="Cambria Math" panose="02040503050406030204" pitchFamily="18" charset="0"/>
                </a:rPr>
                <a:t>_2</a:t>
              </a:r>
              <a:r>
                <a:rPr lang="it-IT" sz="1800" i="0">
                  <a:latin typeface="Cambria Math" panose="02040503050406030204" pitchFamily="18" charset="0"/>
                </a:rPr>
                <a:t>+𝐻</a:t>
              </a:r>
              <a:r>
                <a:rPr lang="it-IT" sz="1800" b="0" i="0">
                  <a:latin typeface="Cambria Math" panose="02040503050406030204" pitchFamily="18" charset="0"/>
                </a:rPr>
                <a:t>_</a:t>
              </a:r>
              <a:r>
                <a:rPr lang="it-IT" sz="1800" i="0">
                  <a:latin typeface="Cambria Math" panose="02040503050406030204" pitchFamily="18" charset="0"/>
                </a:rPr>
                <a:t>2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8</xdr:col>
      <xdr:colOff>601980</xdr:colOff>
      <xdr:row>13</xdr:row>
      <xdr:rowOff>99060</xdr:rowOff>
    </xdr:from>
    <xdr:to>
      <xdr:col>13</xdr:col>
      <xdr:colOff>91440</xdr:colOff>
      <xdr:row>16</xdr:row>
      <xdr:rowOff>38100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B4C4CEAD-607C-4D70-A7DD-51559AA93D73}"/>
            </a:ext>
          </a:extLst>
        </xdr:cNvPr>
        <xdr:cNvSpPr txBox="1"/>
      </xdr:nvSpPr>
      <xdr:spPr>
        <a:xfrm>
          <a:off x="9745980" y="2788920"/>
          <a:ext cx="424434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https://kinetics.nist.gov/kinetics/Detail?id=1997COR/ESP4013-4021:3</a:t>
          </a:r>
        </a:p>
      </xdr:txBody>
    </xdr:sp>
    <xdr:clientData/>
  </xdr:twoCellAnchor>
  <xdr:twoCellAnchor>
    <xdr:from>
      <xdr:col>10</xdr:col>
      <xdr:colOff>502920</xdr:colOff>
      <xdr:row>15</xdr:row>
      <xdr:rowOff>22860</xdr:rowOff>
    </xdr:from>
    <xdr:to>
      <xdr:col>10</xdr:col>
      <xdr:colOff>518160</xdr:colOff>
      <xdr:row>17</xdr:row>
      <xdr:rowOff>45720</xdr:rowOff>
    </xdr:to>
    <xdr:cxnSp macro="">
      <xdr:nvCxnSpPr>
        <xdr:cNvPr id="21" name="Connettore 2 20">
          <a:extLst>
            <a:ext uri="{FF2B5EF4-FFF2-40B4-BE49-F238E27FC236}">
              <a16:creationId xmlns:a16="http://schemas.microsoft.com/office/drawing/2014/main" id="{FF430F1E-B99C-4316-9228-4657C3F0B6B3}"/>
            </a:ext>
          </a:extLst>
        </xdr:cNvPr>
        <xdr:cNvCxnSpPr/>
      </xdr:nvCxnSpPr>
      <xdr:spPr>
        <a:xfrm flipH="1" flipV="1">
          <a:off x="11788140" y="3078480"/>
          <a:ext cx="15240" cy="3962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92578</xdr:colOff>
      <xdr:row>17</xdr:row>
      <xdr:rowOff>7620</xdr:rowOff>
    </xdr:from>
    <xdr:to>
      <xdr:col>18</xdr:col>
      <xdr:colOff>495800</xdr:colOff>
      <xdr:row>37</xdr:row>
      <xdr:rowOff>60960</xdr:rowOff>
    </xdr:to>
    <xdr:pic>
      <xdr:nvPicPr>
        <xdr:cNvPr id="22" name="Immagine 21">
          <a:extLst>
            <a:ext uri="{FF2B5EF4-FFF2-40B4-BE49-F238E27FC236}">
              <a16:creationId xmlns:a16="http://schemas.microsoft.com/office/drawing/2014/main" id="{754CF916-2380-D87B-8847-F16011A72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2218" y="3436620"/>
          <a:ext cx="4990462" cy="3741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11</xdr:row>
      <xdr:rowOff>129540</xdr:rowOff>
    </xdr:from>
    <xdr:to>
      <xdr:col>4</xdr:col>
      <xdr:colOff>480060</xdr:colOff>
      <xdr:row>15</xdr:row>
      <xdr:rowOff>73461</xdr:rowOff>
    </xdr:to>
    <xdr:pic>
      <xdr:nvPicPr>
        <xdr:cNvPr id="23" name="Immagine 22">
          <a:extLst>
            <a:ext uri="{FF2B5EF4-FFF2-40B4-BE49-F238E27FC236}">
              <a16:creationId xmlns:a16="http://schemas.microsoft.com/office/drawing/2014/main" id="{4E5D40B2-D4B9-45BE-9A9D-F33BB6779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8360" y="2407920"/>
          <a:ext cx="3253740" cy="7211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52</xdr:row>
      <xdr:rowOff>137160</xdr:rowOff>
    </xdr:from>
    <xdr:to>
      <xdr:col>4</xdr:col>
      <xdr:colOff>533400</xdr:colOff>
      <xdr:row>56</xdr:row>
      <xdr:rowOff>73461</xdr:rowOff>
    </xdr:to>
    <xdr:pic>
      <xdr:nvPicPr>
        <xdr:cNvPr id="24" name="Immagine 23">
          <a:extLst>
            <a:ext uri="{FF2B5EF4-FFF2-40B4-BE49-F238E27FC236}">
              <a16:creationId xmlns:a16="http://schemas.microsoft.com/office/drawing/2014/main" id="{488C2533-74C8-4FF5-A47D-BA8E7693E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0134600"/>
          <a:ext cx="3253740" cy="721161"/>
        </a:xfrm>
        <a:prstGeom prst="rect">
          <a:avLst/>
        </a:prstGeom>
      </xdr:spPr>
    </xdr:pic>
    <xdr:clientData/>
  </xdr:twoCellAnchor>
  <xdr:twoCellAnchor>
    <xdr:from>
      <xdr:col>8</xdr:col>
      <xdr:colOff>525780</xdr:colOff>
      <xdr:row>54</xdr:row>
      <xdr:rowOff>99060</xdr:rowOff>
    </xdr:from>
    <xdr:to>
      <xdr:col>13</xdr:col>
      <xdr:colOff>15240</xdr:colOff>
      <xdr:row>57</xdr:row>
      <xdr:rowOff>38100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EC486AFA-6FBC-434D-BBF7-511722518532}"/>
            </a:ext>
          </a:extLst>
        </xdr:cNvPr>
        <xdr:cNvSpPr txBox="1"/>
      </xdr:nvSpPr>
      <xdr:spPr>
        <a:xfrm>
          <a:off x="9669780" y="10507980"/>
          <a:ext cx="424434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https://kinetics.nist.gov/kinetics/Detail?id=2019THA/STA321-328:2</a:t>
          </a:r>
        </a:p>
      </xdr:txBody>
    </xdr:sp>
    <xdr:clientData/>
  </xdr:twoCellAnchor>
  <xdr:twoCellAnchor>
    <xdr:from>
      <xdr:col>10</xdr:col>
      <xdr:colOff>426720</xdr:colOff>
      <xdr:row>56</xdr:row>
      <xdr:rowOff>22860</xdr:rowOff>
    </xdr:from>
    <xdr:to>
      <xdr:col>10</xdr:col>
      <xdr:colOff>441960</xdr:colOff>
      <xdr:row>58</xdr:row>
      <xdr:rowOff>45720</xdr:rowOff>
    </xdr:to>
    <xdr:cxnSp macro="">
      <xdr:nvCxnSpPr>
        <xdr:cNvPr id="26" name="Connettore 2 25">
          <a:extLst>
            <a:ext uri="{FF2B5EF4-FFF2-40B4-BE49-F238E27FC236}">
              <a16:creationId xmlns:a16="http://schemas.microsoft.com/office/drawing/2014/main" id="{7684E991-F07A-4458-9F99-50CCE6A321D7}"/>
            </a:ext>
          </a:extLst>
        </xdr:cNvPr>
        <xdr:cNvCxnSpPr/>
      </xdr:nvCxnSpPr>
      <xdr:spPr>
        <a:xfrm flipH="1" flipV="1">
          <a:off x="11711940" y="10797540"/>
          <a:ext cx="15240" cy="3962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144780</xdr:colOff>
      <xdr:row>60</xdr:row>
      <xdr:rowOff>75686</xdr:rowOff>
    </xdr:from>
    <xdr:to>
      <xdr:col>18</xdr:col>
      <xdr:colOff>426720</xdr:colOff>
      <xdr:row>77</xdr:row>
      <xdr:rowOff>22860</xdr:rowOff>
    </xdr:to>
    <xdr:pic>
      <xdr:nvPicPr>
        <xdr:cNvPr id="27" name="Immagine 26">
          <a:extLst>
            <a:ext uri="{FF2B5EF4-FFF2-40B4-BE49-F238E27FC236}">
              <a16:creationId xmlns:a16="http://schemas.microsoft.com/office/drawing/2014/main" id="{2FDFBD0E-8478-99B7-253E-CFE77557E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4420" y="11612366"/>
          <a:ext cx="4869180" cy="3650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101</xdr:row>
      <xdr:rowOff>56657</xdr:rowOff>
    </xdr:from>
    <xdr:to>
      <xdr:col>13</xdr:col>
      <xdr:colOff>228600</xdr:colOff>
      <xdr:row>121</xdr:row>
      <xdr:rowOff>76199</xdr:rowOff>
    </xdr:to>
    <xdr:pic>
      <xdr:nvPicPr>
        <xdr:cNvPr id="28" name="Immagine 27">
          <a:extLst>
            <a:ext uri="{FF2B5EF4-FFF2-40B4-BE49-F238E27FC236}">
              <a16:creationId xmlns:a16="http://schemas.microsoft.com/office/drawing/2014/main" id="{80F15564-3180-1D97-C130-184FF152B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7340" y="22238477"/>
          <a:ext cx="4945380" cy="3707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205740</xdr:colOff>
      <xdr:row>127</xdr:row>
      <xdr:rowOff>84044</xdr:rowOff>
    </xdr:from>
    <xdr:to>
      <xdr:col>13</xdr:col>
      <xdr:colOff>403860</xdr:colOff>
      <xdr:row>147</xdr:row>
      <xdr:rowOff>109299</xdr:rowOff>
    </xdr:to>
    <xdr:pic>
      <xdr:nvPicPr>
        <xdr:cNvPr id="29" name="Immagine 28">
          <a:extLst>
            <a:ext uri="{FF2B5EF4-FFF2-40B4-BE49-F238E27FC236}">
              <a16:creationId xmlns:a16="http://schemas.microsoft.com/office/drawing/2014/main" id="{4DF9F99F-BFE7-B819-615C-4CEEA8D76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4980" y="27104564"/>
          <a:ext cx="4953000" cy="3713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2"/>
  <sheetViews>
    <sheetView workbookViewId="0">
      <selection activeCell="C2" sqref="C2"/>
    </sheetView>
  </sheetViews>
  <sheetFormatPr defaultRowHeight="14.4" x14ac:dyDescent="0.3"/>
  <cols>
    <col min="1" max="1" width="29.88671875" style="5" bestFit="1" customWidth="1"/>
    <col min="2" max="2" width="16.55468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6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17.02655*1.66E-27</f>
        <v>2.8264072999999999E-26</v>
      </c>
      <c r="F2" s="7">
        <v>6.0221407599999999E+23</v>
      </c>
      <c r="G2" s="7">
        <f>((2*$E$2*$B$2*$A$2*$H$2)/($C$2*$C$2))^1.5</f>
        <v>6.7937213509824983E+31</v>
      </c>
      <c r="H2" s="8">
        <f>298.15</f>
        <v>298.14999999999998</v>
      </c>
      <c r="I2" s="9">
        <v>29979300000</v>
      </c>
      <c r="J2" s="10">
        <v>101325</v>
      </c>
      <c r="K2" s="9">
        <f>(E2*1000)/1.00783</f>
        <v>2.80444846849171E-23</v>
      </c>
      <c r="L2" s="10">
        <f>F2*K2</f>
        <v>16.888783431423501</v>
      </c>
    </row>
    <row r="3" spans="1:21" ht="15" thickBot="1" x14ac:dyDescent="0.35"/>
    <row r="4" spans="1:21" ht="15" thickBot="1" x14ac:dyDescent="0.35">
      <c r="E4" s="11" t="s">
        <v>12</v>
      </c>
      <c r="F4" s="12" t="s">
        <v>13</v>
      </c>
      <c r="G4" s="13" t="s">
        <v>14</v>
      </c>
      <c r="I4" s="11" t="s">
        <v>15</v>
      </c>
      <c r="J4" s="12" t="s">
        <v>16</v>
      </c>
      <c r="K4" s="12" t="s">
        <v>17</v>
      </c>
      <c r="L4" s="14" t="s">
        <v>18</v>
      </c>
    </row>
    <row r="5" spans="1:21" ht="16.8" thickBot="1" x14ac:dyDescent="0.35">
      <c r="B5" s="15" t="s">
        <v>19</v>
      </c>
      <c r="D5" s="16" t="s">
        <v>20</v>
      </c>
      <c r="E5" s="17">
        <v>6.0226699999999997</v>
      </c>
      <c r="F5" s="18">
        <v>6.0235900000000004</v>
      </c>
      <c r="G5" s="19">
        <v>9.7324599999999997</v>
      </c>
      <c r="I5" s="20">
        <v>3.4375000000000003E-2</v>
      </c>
      <c r="J5" s="21">
        <f>I5*627.509474</f>
        <v>21.570638168750001</v>
      </c>
      <c r="K5" s="21">
        <f>I5*4.35974E-18</f>
        <v>1.498660625E-19</v>
      </c>
      <c r="L5" s="22">
        <f>(2*K5)/(C2)</f>
        <v>452352926350891.63</v>
      </c>
    </row>
    <row r="6" spans="1:21" ht="16.8" thickBot="1" x14ac:dyDescent="0.35">
      <c r="A6" s="23" t="s">
        <v>21</v>
      </c>
      <c r="B6" s="24">
        <v>1</v>
      </c>
      <c r="D6" s="25" t="s">
        <v>22</v>
      </c>
      <c r="E6" s="26">
        <f>E5*1.66E-47</f>
        <v>9.9976322E-47</v>
      </c>
      <c r="F6" s="27">
        <f>F5*1.66E-47</f>
        <v>9.9991594000000008E-47</v>
      </c>
      <c r="G6" s="28">
        <f>G5*1.66E-47</f>
        <v>1.6155883599999999E-46</v>
      </c>
      <c r="U6" s="29"/>
    </row>
    <row r="7" spans="1:21" ht="15" thickBot="1" x14ac:dyDescent="0.35">
      <c r="U7" s="29"/>
    </row>
    <row r="8" spans="1:21" ht="15" thickBot="1" x14ac:dyDescent="0.35">
      <c r="A8" s="5" t="s">
        <v>23</v>
      </c>
      <c r="D8" s="23" t="s">
        <v>24</v>
      </c>
      <c r="E8" s="120">
        <v>299.65800999999999</v>
      </c>
      <c r="F8" s="18">
        <v>299.61241000000001</v>
      </c>
      <c r="G8" s="19">
        <v>185.43521000000001</v>
      </c>
      <c r="H8" s="29"/>
      <c r="U8" s="29"/>
    </row>
    <row r="9" spans="1:21" ht="15" thickBot="1" x14ac:dyDescent="0.35">
      <c r="E9" s="26">
        <f>E8*1000000000</f>
        <v>299658010000</v>
      </c>
      <c r="F9" s="27">
        <f>F8*1000000000</f>
        <v>299612410000</v>
      </c>
      <c r="G9" s="28">
        <f>G8*1000000000</f>
        <v>185435210000</v>
      </c>
    </row>
    <row r="10" spans="1:21" ht="15" customHeight="1" thickBot="1" x14ac:dyDescent="0.35"/>
    <row r="11" spans="1:21" ht="15" customHeight="1" thickBot="1" x14ac:dyDescent="0.35">
      <c r="D11" s="30" t="s">
        <v>25</v>
      </c>
      <c r="E11" s="121">
        <v>14.3813</v>
      </c>
      <c r="F11" s="31">
        <v>14.379110000000001</v>
      </c>
      <c r="G11" s="32">
        <v>8.8994800000000005</v>
      </c>
    </row>
    <row r="12" spans="1:21" ht="27" customHeight="1" x14ac:dyDescent="0.3">
      <c r="A12" s="33" t="s">
        <v>26</v>
      </c>
      <c r="B12" s="34">
        <v>1437.87</v>
      </c>
    </row>
    <row r="13" spans="1:21" ht="15" thickBot="1" x14ac:dyDescent="0.35">
      <c r="A13" s="35"/>
      <c r="B13" s="36">
        <v>2407.81</v>
      </c>
      <c r="S13" s="29"/>
      <c r="T13" s="29"/>
    </row>
    <row r="14" spans="1:21" ht="15.6" x14ac:dyDescent="0.3">
      <c r="A14" s="35"/>
      <c r="B14" s="36">
        <v>2407.91</v>
      </c>
      <c r="D14" s="37" t="s">
        <v>27</v>
      </c>
      <c r="E14" s="38"/>
      <c r="F14" s="3" t="s">
        <v>28</v>
      </c>
      <c r="G14" s="3" t="s">
        <v>29</v>
      </c>
      <c r="H14" s="4" t="s">
        <v>30</v>
      </c>
    </row>
    <row r="15" spans="1:21" x14ac:dyDescent="0.3">
      <c r="A15" s="35"/>
      <c r="B15" s="36">
        <v>5014.74</v>
      </c>
      <c r="E15" s="39"/>
      <c r="F15" s="40" t="s">
        <v>31</v>
      </c>
      <c r="G15" s="40" t="s">
        <v>32</v>
      </c>
      <c r="H15" s="41" t="s">
        <v>32</v>
      </c>
    </row>
    <row r="16" spans="1:21" x14ac:dyDescent="0.3">
      <c r="A16" s="35"/>
      <c r="B16" s="36">
        <v>5220.21</v>
      </c>
      <c r="E16" s="39" t="s">
        <v>33</v>
      </c>
      <c r="F16" s="40">
        <v>23.373999999999999</v>
      </c>
      <c r="G16" s="40">
        <v>6.42</v>
      </c>
      <c r="H16" s="41">
        <v>48.177999999999997</v>
      </c>
    </row>
    <row r="17" spans="1:10" x14ac:dyDescent="0.3">
      <c r="A17" s="35"/>
      <c r="B17" s="36">
        <v>5220.72</v>
      </c>
      <c r="E17" s="39" t="s">
        <v>34</v>
      </c>
      <c r="F17" s="40">
        <v>0</v>
      </c>
      <c r="G17" s="40">
        <v>0</v>
      </c>
      <c r="H17" s="41">
        <v>0</v>
      </c>
    </row>
    <row r="18" spans="1:10" x14ac:dyDescent="0.3">
      <c r="A18" s="35"/>
      <c r="B18" s="36"/>
      <c r="E18" s="39" t="s">
        <v>35</v>
      </c>
      <c r="F18" s="40">
        <v>0.88900000000000001</v>
      </c>
      <c r="G18" s="40">
        <v>2.9809999999999999</v>
      </c>
      <c r="H18" s="41">
        <v>34.441000000000003</v>
      </c>
    </row>
    <row r="19" spans="1:10" x14ac:dyDescent="0.3">
      <c r="A19" s="35"/>
      <c r="B19" s="36"/>
      <c r="E19" s="39" t="s">
        <v>36</v>
      </c>
      <c r="F19" s="40">
        <v>0.88900000000000001</v>
      </c>
      <c r="G19" s="40">
        <v>2.9809999999999999</v>
      </c>
      <c r="H19" s="41">
        <v>13.632</v>
      </c>
    </row>
    <row r="20" spans="1:10" ht="15" thickBot="1" x14ac:dyDescent="0.35">
      <c r="A20" s="26"/>
      <c r="B20" s="28"/>
      <c r="E20" s="43" t="s">
        <v>37</v>
      </c>
      <c r="F20" s="127">
        <v>21.597000000000001</v>
      </c>
      <c r="G20" s="127">
        <v>0.45900000000000002</v>
      </c>
      <c r="H20" s="45">
        <v>0.105</v>
      </c>
    </row>
    <row r="21" spans="1:10" ht="15" thickBot="1" x14ac:dyDescent="0.35">
      <c r="F21" s="46"/>
      <c r="G21" s="46"/>
      <c r="H21" s="46"/>
    </row>
    <row r="22" spans="1:10" x14ac:dyDescent="0.3">
      <c r="E22" s="38"/>
      <c r="F22" s="4" t="s">
        <v>38</v>
      </c>
    </row>
    <row r="23" spans="1:10" x14ac:dyDescent="0.3">
      <c r="E23" s="39" t="s">
        <v>39</v>
      </c>
      <c r="F23" s="128">
        <v>9.1519300000000003E-8</v>
      </c>
      <c r="J23"/>
    </row>
    <row r="24" spans="1:10" x14ac:dyDescent="0.3">
      <c r="E24" s="39" t="s">
        <v>40</v>
      </c>
      <c r="F24" s="128">
        <v>592521000</v>
      </c>
    </row>
    <row r="25" spans="1:10" x14ac:dyDescent="0.3">
      <c r="E25" s="39" t="s">
        <v>41</v>
      </c>
      <c r="F25" s="128">
        <v>1.5580700000000001E-16</v>
      </c>
    </row>
    <row r="26" spans="1:10" x14ac:dyDescent="0.3">
      <c r="E26" s="39" t="s">
        <v>42</v>
      </c>
      <c r="F26" s="128">
        <v>1.00874</v>
      </c>
      <c r="G26" s="5" t="s">
        <v>43</v>
      </c>
    </row>
    <row r="27" spans="1:10" x14ac:dyDescent="0.3">
      <c r="E27" s="39" t="s">
        <v>34</v>
      </c>
      <c r="F27" s="128">
        <v>1</v>
      </c>
      <c r="G27" s="48"/>
    </row>
    <row r="28" spans="1:10" x14ac:dyDescent="0.3">
      <c r="E28" s="39" t="s">
        <v>35</v>
      </c>
      <c r="F28" s="128">
        <v>2761500</v>
      </c>
      <c r="G28" s="48"/>
    </row>
    <row r="29" spans="1:10" ht="15" thickBot="1" x14ac:dyDescent="0.35">
      <c r="E29" s="43" t="s">
        <v>36</v>
      </c>
      <c r="F29" s="129">
        <v>212.70599999999999</v>
      </c>
      <c r="G29" s="48"/>
    </row>
    <row r="30" spans="1:10" ht="15" thickBot="1" x14ac:dyDescent="0.35"/>
    <row r="31" spans="1:10" ht="16.2" x14ac:dyDescent="0.3">
      <c r="A31" s="17" t="s">
        <v>44</v>
      </c>
      <c r="B31" s="18" t="s">
        <v>45</v>
      </c>
      <c r="C31" s="50" t="s">
        <v>46</v>
      </c>
      <c r="D31" s="50" t="s">
        <v>47</v>
      </c>
      <c r="E31" s="16" t="s">
        <v>48</v>
      </c>
    </row>
    <row r="32" spans="1:10" x14ac:dyDescent="0.3">
      <c r="A32" s="130">
        <v>999.37249999999995</v>
      </c>
      <c r="B32" s="51">
        <f t="shared" ref="B32:B37" si="0">A32*$I$2</f>
        <v>29960487989250</v>
      </c>
      <c r="C32" s="52">
        <f>298.15</f>
        <v>298.14999999999998</v>
      </c>
      <c r="D32" s="53">
        <f>($A$2*C32)/$J$2</f>
        <v>4.062431680236861E-26</v>
      </c>
      <c r="E32" s="54">
        <f>$F$2*($F$83*D32)/($D$2*C32)</f>
        <v>0.99996338110898686</v>
      </c>
    </row>
    <row r="33" spans="1:5" x14ac:dyDescent="0.3">
      <c r="A33" s="35">
        <v>1673.5155999999999</v>
      </c>
      <c r="B33" s="51">
        <f t="shared" si="0"/>
        <v>50170826227080</v>
      </c>
      <c r="C33" s="52">
        <f>300+100</f>
        <v>400</v>
      </c>
      <c r="D33" s="53">
        <f t="shared" ref="D33:D50" si="1">($A$2*C33)/$J$2</f>
        <v>5.4501850481125095E-26</v>
      </c>
      <c r="E33" s="54">
        <f t="shared" ref="E33:E50" si="2">$F$2*($F$83*D33)/($D$2*C33)</f>
        <v>0.99996338110898686</v>
      </c>
    </row>
    <row r="34" spans="1:5" x14ac:dyDescent="0.3">
      <c r="A34" s="35">
        <v>1673.5862</v>
      </c>
      <c r="B34" s="51">
        <f t="shared" si="0"/>
        <v>50172942765660</v>
      </c>
      <c r="C34" s="52">
        <f t="shared" ref="C34:C50" si="3">C33+100</f>
        <v>500</v>
      </c>
      <c r="D34" s="53">
        <f t="shared" si="1"/>
        <v>6.8127313101406362E-26</v>
      </c>
      <c r="E34" s="54">
        <f t="shared" si="2"/>
        <v>0.99996338110898675</v>
      </c>
    </row>
    <row r="35" spans="1:5" x14ac:dyDescent="0.3">
      <c r="A35" s="35">
        <v>3485.42</v>
      </c>
      <c r="B35" s="51">
        <f t="shared" si="0"/>
        <v>104490451806000</v>
      </c>
      <c r="C35" s="52">
        <f t="shared" si="3"/>
        <v>600</v>
      </c>
      <c r="D35" s="53">
        <f t="shared" si="1"/>
        <v>8.175277572168763E-26</v>
      </c>
      <c r="E35" s="54">
        <f t="shared" si="2"/>
        <v>0.99996338110898653</v>
      </c>
    </row>
    <row r="36" spans="1:5" x14ac:dyDescent="0.3">
      <c r="A36" s="35">
        <v>3628.2329</v>
      </c>
      <c r="B36" s="51">
        <f t="shared" si="0"/>
        <v>108771882578970</v>
      </c>
      <c r="C36" s="52">
        <f t="shared" si="3"/>
        <v>700</v>
      </c>
      <c r="D36" s="53">
        <f t="shared" si="1"/>
        <v>9.5378238341968898E-26</v>
      </c>
      <c r="E36" s="54">
        <f t="shared" si="2"/>
        <v>0.99996338110898653</v>
      </c>
    </row>
    <row r="37" spans="1:5" ht="15" thickBot="1" x14ac:dyDescent="0.35">
      <c r="A37" s="26">
        <v>3628.5837000000001</v>
      </c>
      <c r="B37" s="55">
        <f t="shared" si="0"/>
        <v>108782399317410</v>
      </c>
      <c r="C37" s="52">
        <f t="shared" si="3"/>
        <v>800</v>
      </c>
      <c r="D37" s="53">
        <f t="shared" si="1"/>
        <v>1.0900370096225019E-25</v>
      </c>
      <c r="E37" s="54">
        <f t="shared" si="2"/>
        <v>0.99996338110898686</v>
      </c>
    </row>
    <row r="38" spans="1:5" x14ac:dyDescent="0.3">
      <c r="B38" s="51"/>
      <c r="C38" s="52">
        <f t="shared" si="3"/>
        <v>900</v>
      </c>
      <c r="D38" s="53">
        <f t="shared" si="1"/>
        <v>1.2262916358253145E-25</v>
      </c>
      <c r="E38" s="54">
        <f t="shared" si="2"/>
        <v>0.99996338110898675</v>
      </c>
    </row>
    <row r="39" spans="1:5" x14ac:dyDescent="0.3">
      <c r="B39" s="51"/>
      <c r="C39" s="52">
        <f t="shared" si="3"/>
        <v>1000</v>
      </c>
      <c r="D39" s="53">
        <f t="shared" si="1"/>
        <v>1.3625462620281272E-25</v>
      </c>
      <c r="E39" s="54">
        <f t="shared" si="2"/>
        <v>0.99996338110898675</v>
      </c>
    </row>
    <row r="40" spans="1:5" x14ac:dyDescent="0.3">
      <c r="B40" s="51"/>
      <c r="C40" s="52">
        <f t="shared" si="3"/>
        <v>1100</v>
      </c>
      <c r="D40" s="53">
        <f t="shared" si="1"/>
        <v>1.4988008882309398E-25</v>
      </c>
      <c r="E40" s="54">
        <f t="shared" si="2"/>
        <v>0.99996338110898653</v>
      </c>
    </row>
    <row r="41" spans="1:5" x14ac:dyDescent="0.3">
      <c r="B41" s="51"/>
      <c r="C41" s="52">
        <f t="shared" si="3"/>
        <v>1200</v>
      </c>
      <c r="D41" s="53">
        <f t="shared" si="1"/>
        <v>1.6350555144337526E-25</v>
      </c>
      <c r="E41" s="54">
        <f t="shared" si="2"/>
        <v>0.99996338110898653</v>
      </c>
    </row>
    <row r="42" spans="1:5" x14ac:dyDescent="0.3">
      <c r="B42" s="51"/>
      <c r="C42" s="52">
        <f t="shared" si="3"/>
        <v>1300</v>
      </c>
      <c r="D42" s="53">
        <f t="shared" si="1"/>
        <v>1.7713101406365654E-25</v>
      </c>
      <c r="E42" s="54">
        <f t="shared" si="2"/>
        <v>0.99996338110898675</v>
      </c>
    </row>
    <row r="43" spans="1:5" x14ac:dyDescent="0.3">
      <c r="B43" s="51"/>
      <c r="C43" s="52">
        <f t="shared" si="3"/>
        <v>1400</v>
      </c>
      <c r="D43" s="53">
        <f t="shared" si="1"/>
        <v>1.907564766839378E-25</v>
      </c>
      <c r="E43" s="54">
        <f t="shared" si="2"/>
        <v>0.99996338110898653</v>
      </c>
    </row>
    <row r="44" spans="1:5" x14ac:dyDescent="0.3">
      <c r="B44" s="51"/>
      <c r="C44" s="52">
        <f t="shared" si="3"/>
        <v>1500</v>
      </c>
      <c r="D44" s="53">
        <f t="shared" si="1"/>
        <v>2.0438193930421908E-25</v>
      </c>
      <c r="E44" s="54">
        <f t="shared" si="2"/>
        <v>0.99996338110898675</v>
      </c>
    </row>
    <row r="45" spans="1:5" x14ac:dyDescent="0.3">
      <c r="B45" s="51"/>
      <c r="C45" s="52">
        <f t="shared" si="3"/>
        <v>1600</v>
      </c>
      <c r="D45" s="53">
        <f t="shared" si="1"/>
        <v>2.1800740192450038E-25</v>
      </c>
      <c r="E45" s="54">
        <f t="shared" si="2"/>
        <v>0.99996338110898686</v>
      </c>
    </row>
    <row r="46" spans="1:5" x14ac:dyDescent="0.3">
      <c r="B46" s="51"/>
      <c r="C46" s="52">
        <f t="shared" si="3"/>
        <v>1700</v>
      </c>
      <c r="D46" s="53">
        <f t="shared" si="1"/>
        <v>2.3163286454478159E-25</v>
      </c>
      <c r="E46" s="54">
        <f t="shared" si="2"/>
        <v>0.99996338110898664</v>
      </c>
    </row>
    <row r="47" spans="1:5" x14ac:dyDescent="0.3">
      <c r="B47" s="51"/>
      <c r="C47" s="52">
        <f t="shared" si="3"/>
        <v>1800</v>
      </c>
      <c r="D47" s="53">
        <f t="shared" si="1"/>
        <v>2.4525832716506289E-25</v>
      </c>
      <c r="E47" s="54">
        <f t="shared" si="2"/>
        <v>0.99996338110898675</v>
      </c>
    </row>
    <row r="48" spans="1:5" x14ac:dyDescent="0.3">
      <c r="B48" s="51"/>
      <c r="C48" s="52">
        <f t="shared" si="3"/>
        <v>1900</v>
      </c>
      <c r="D48" s="53">
        <f t="shared" si="1"/>
        <v>2.5888378978534419E-25</v>
      </c>
      <c r="E48" s="54">
        <f t="shared" si="2"/>
        <v>0.99996338110898686</v>
      </c>
    </row>
    <row r="49" spans="1:23" x14ac:dyDescent="0.3">
      <c r="B49" s="51"/>
      <c r="C49" s="52">
        <f t="shared" si="3"/>
        <v>2000</v>
      </c>
      <c r="D49" s="53">
        <f t="shared" si="1"/>
        <v>2.7250925240562545E-25</v>
      </c>
      <c r="E49" s="54">
        <f t="shared" si="2"/>
        <v>0.99996338110898675</v>
      </c>
    </row>
    <row r="50" spans="1:23" ht="15" thickBot="1" x14ac:dyDescent="0.35">
      <c r="C50" s="25">
        <f t="shared" si="3"/>
        <v>2100</v>
      </c>
      <c r="D50" s="56">
        <f t="shared" si="1"/>
        <v>2.8613471502590675E-25</v>
      </c>
      <c r="E50" s="57">
        <f t="shared" si="2"/>
        <v>0.99996338110898664</v>
      </c>
    </row>
    <row r="51" spans="1:23" ht="15" thickBot="1" x14ac:dyDescent="0.35"/>
    <row r="52" spans="1:23" ht="18.600000000000001" thickBot="1" x14ac:dyDescent="0.35">
      <c r="D52" s="197" t="s">
        <v>49</v>
      </c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9"/>
    </row>
    <row r="53" spans="1:23" x14ac:dyDescent="0.3">
      <c r="A53" s="11" t="s">
        <v>50</v>
      </c>
      <c r="B53" s="59">
        <f>E54</f>
        <v>1.0081092086607182</v>
      </c>
      <c r="D53" s="60" t="s">
        <v>51</v>
      </c>
      <c r="E53" s="61">
        <v>298.14999999999998</v>
      </c>
      <c r="F53" s="61">
        <f>300+100</f>
        <v>400</v>
      </c>
      <c r="G53" s="61">
        <f t="shared" ref="G53:W53" si="4">F53+100</f>
        <v>500</v>
      </c>
      <c r="H53" s="61">
        <f t="shared" si="4"/>
        <v>600</v>
      </c>
      <c r="I53" s="61">
        <f t="shared" si="4"/>
        <v>700</v>
      </c>
      <c r="J53" s="61">
        <f t="shared" si="4"/>
        <v>800</v>
      </c>
      <c r="K53" s="61">
        <f t="shared" si="4"/>
        <v>900</v>
      </c>
      <c r="L53" s="61">
        <f t="shared" si="4"/>
        <v>1000</v>
      </c>
      <c r="M53" s="61">
        <f t="shared" si="4"/>
        <v>1100</v>
      </c>
      <c r="N53" s="61">
        <f t="shared" si="4"/>
        <v>1200</v>
      </c>
      <c r="O53" s="61">
        <f t="shared" si="4"/>
        <v>1300</v>
      </c>
      <c r="P53" s="61">
        <f t="shared" si="4"/>
        <v>1400</v>
      </c>
      <c r="Q53" s="61">
        <f t="shared" si="4"/>
        <v>1500</v>
      </c>
      <c r="R53" s="61">
        <f t="shared" si="4"/>
        <v>1600</v>
      </c>
      <c r="S53" s="61">
        <f t="shared" si="4"/>
        <v>1700</v>
      </c>
      <c r="T53" s="61">
        <f t="shared" si="4"/>
        <v>1800</v>
      </c>
      <c r="U53" s="61">
        <f t="shared" si="4"/>
        <v>1900</v>
      </c>
      <c r="V53" s="61">
        <f t="shared" si="4"/>
        <v>2000</v>
      </c>
      <c r="W53" s="62">
        <f t="shared" si="4"/>
        <v>2100</v>
      </c>
    </row>
    <row r="54" spans="1:23" x14ac:dyDescent="0.3">
      <c r="A54" s="35"/>
      <c r="B54" s="63">
        <f t="shared" ref="B54:B58" si="5">E55</f>
        <v>1.0003109617579375</v>
      </c>
      <c r="D54" s="64">
        <f t="shared" ref="D54:D59" si="6">A32*$I$2</f>
        <v>29960487989250</v>
      </c>
      <c r="E54" s="51">
        <f>1/(1 - EXP((-$C$2*$D$54)/($A$2*E53)))</f>
        <v>1.0081092086607182</v>
      </c>
      <c r="F54" s="51">
        <f t="shared" ref="F54:W54" si="7">1/(1 - EXP((-$C$2*$D$54)/($A$2*F53)))</f>
        <v>1.0282413485940516</v>
      </c>
      <c r="G54" s="51">
        <f t="shared" si="7"/>
        <v>1.0597351026072037</v>
      </c>
      <c r="H54" s="51">
        <f t="shared" si="7"/>
        <v>1.1001486116978811</v>
      </c>
      <c r="I54" s="51">
        <f t="shared" si="7"/>
        <v>1.1470490408190304</v>
      </c>
      <c r="J54" s="51">
        <f t="shared" si="7"/>
        <v>1.1986494539308052</v>
      </c>
      <c r="K54" s="51">
        <f t="shared" si="7"/>
        <v>1.2537016191324146</v>
      </c>
      <c r="L54" s="51">
        <f t="shared" si="7"/>
        <v>1.3113367422892557</v>
      </c>
      <c r="M54" s="51">
        <f t="shared" si="7"/>
        <v>1.3709425605682808</v>
      </c>
      <c r="N54" s="51">
        <f t="shared" si="7"/>
        <v>1.4320798638012255</v>
      </c>
      <c r="O54" s="51">
        <f t="shared" si="7"/>
        <v>1.4944275644793268</v>
      </c>
      <c r="P54" s="51">
        <f t="shared" si="7"/>
        <v>1.5577465709124405</v>
      </c>
      <c r="Q54" s="51">
        <f t="shared" si="7"/>
        <v>1.6218557541133649</v>
      </c>
      <c r="R54" s="51">
        <f t="shared" si="7"/>
        <v>1.686615702228587</v>
      </c>
      <c r="S54" s="51">
        <f t="shared" si="7"/>
        <v>1.7519175461945382</v>
      </c>
      <c r="T54" s="51">
        <f t="shared" si="7"/>
        <v>1.8176751386196541</v>
      </c>
      <c r="U54" s="51">
        <f t="shared" si="7"/>
        <v>1.8838194871793166</v>
      </c>
      <c r="V54" s="51">
        <f t="shared" si="7"/>
        <v>1.9502947294750661</v>
      </c>
      <c r="W54" s="63">
        <f t="shared" si="7"/>
        <v>2.0170551791436084</v>
      </c>
    </row>
    <row r="55" spans="1:23" x14ac:dyDescent="0.3">
      <c r="A55" s="35"/>
      <c r="B55" s="63">
        <f t="shared" si="5"/>
        <v>1.0003108557966129</v>
      </c>
      <c r="D55" s="64">
        <f t="shared" si="6"/>
        <v>50170826227080</v>
      </c>
      <c r="E55" s="51">
        <f>1/(1 - EXP((-$C$2*$D$55)/($A$2*E53)))</f>
        <v>1.0003109617579375</v>
      </c>
      <c r="F55" s="51">
        <f t="shared" ref="F55:W55" si="8">1/(1 - EXP((-$C$2*$D$55)/($A$2*F53)))</f>
        <v>1.0024361697668258</v>
      </c>
      <c r="G55" s="51">
        <f t="shared" si="8"/>
        <v>1.0081668213870412</v>
      </c>
      <c r="H55" s="51">
        <f t="shared" si="8"/>
        <v>1.0184086796118008</v>
      </c>
      <c r="I55" s="51">
        <f t="shared" si="8"/>
        <v>1.0331315542253052</v>
      </c>
      <c r="J55" s="51">
        <f t="shared" si="8"/>
        <v>1.0518538254169947</v>
      </c>
      <c r="K55" s="51">
        <f t="shared" si="8"/>
        <v>1.0739706517205201</v>
      </c>
      <c r="L55" s="51">
        <f t="shared" si="8"/>
        <v>1.0989055582010885</v>
      </c>
      <c r="M55" s="51">
        <f t="shared" si="8"/>
        <v>1.1261619591084207</v>
      </c>
      <c r="N55" s="51">
        <f t="shared" si="8"/>
        <v>1.1553304057798952</v>
      </c>
      <c r="O55" s="51">
        <f t="shared" si="8"/>
        <v>1.1860795697319777</v>
      </c>
      <c r="P55" s="51">
        <f t="shared" si="8"/>
        <v>1.2181430514645033</v>
      </c>
      <c r="Q55" s="51">
        <f t="shared" si="8"/>
        <v>1.2513066431776263</v>
      </c>
      <c r="R55" s="51">
        <f t="shared" si="8"/>
        <v>1.2853974929127561</v>
      </c>
      <c r="S55" s="51">
        <f t="shared" si="8"/>
        <v>1.3202753666764366</v>
      </c>
      <c r="T55" s="51">
        <f t="shared" si="8"/>
        <v>1.3558257723702587</v>
      </c>
      <c r="U55" s="51">
        <f t="shared" si="8"/>
        <v>1.3919546049719183</v>
      </c>
      <c r="V55" s="51">
        <f t="shared" si="8"/>
        <v>1.4285839888636924</v>
      </c>
      <c r="W55" s="63">
        <f t="shared" si="8"/>
        <v>1.4656490458440667</v>
      </c>
    </row>
    <row r="56" spans="1:23" x14ac:dyDescent="0.3">
      <c r="A56" s="35"/>
      <c r="B56" s="63">
        <f t="shared" si="5"/>
        <v>1.0000000495567207</v>
      </c>
      <c r="D56" s="64">
        <f t="shared" si="6"/>
        <v>50172942765660</v>
      </c>
      <c r="E56" s="51">
        <f>1/(1 - EXP((-$C$2*$D$56)/($A$2*E53)))</f>
        <v>1.0003108557966129</v>
      </c>
      <c r="F56" s="51">
        <f t="shared" ref="F56:W56" si="9">1/(1 - EXP((-$C$2*$D$56)/($A$2*F53)))</f>
        <v>1.0024355496648971</v>
      </c>
      <c r="G56" s="51">
        <f t="shared" si="9"/>
        <v>1.0081651488150243</v>
      </c>
      <c r="H56" s="51">
        <f t="shared" si="9"/>
        <v>1.0184055058847532</v>
      </c>
      <c r="I56" s="51">
        <f t="shared" si="9"/>
        <v>1.0331265873871927</v>
      </c>
      <c r="J56" s="51">
        <f t="shared" si="9"/>
        <v>1.0518469002542841</v>
      </c>
      <c r="K56" s="51">
        <f t="shared" si="9"/>
        <v>1.0739616857888783</v>
      </c>
      <c r="L56" s="51">
        <f t="shared" si="9"/>
        <v>1.0988945182066159</v>
      </c>
      <c r="M56" s="51">
        <f t="shared" si="9"/>
        <v>1.1261488393545198</v>
      </c>
      <c r="N56" s="51">
        <f t="shared" si="9"/>
        <v>1.1553152152980262</v>
      </c>
      <c r="O56" s="51">
        <f t="shared" si="9"/>
        <v>1.1860623248553144</v>
      </c>
      <c r="P56" s="51">
        <f t="shared" si="9"/>
        <v>1.2181237716336393</v>
      </c>
      <c r="Q56" s="51">
        <f t="shared" si="9"/>
        <v>1.2512853486224369</v>
      </c>
      <c r="R56" s="51">
        <f t="shared" si="9"/>
        <v>1.2853742034123123</v>
      </c>
      <c r="S56" s="51">
        <f t="shared" si="9"/>
        <v>1.3202501009343595</v>
      </c>
      <c r="T56" s="51">
        <f t="shared" si="9"/>
        <v>1.3557985477385015</v>
      </c>
      <c r="U56" s="51">
        <f t="shared" si="9"/>
        <v>1.3919254373688619</v>
      </c>
      <c r="V56" s="51">
        <f t="shared" si="9"/>
        <v>1.4285528927975466</v>
      </c>
      <c r="W56" s="63">
        <f t="shared" si="9"/>
        <v>1.4656160344902678</v>
      </c>
    </row>
    <row r="57" spans="1:23" x14ac:dyDescent="0.3">
      <c r="A57" s="35"/>
      <c r="B57" s="63">
        <f t="shared" si="5"/>
        <v>1.0000000248764815</v>
      </c>
      <c r="D57" s="64">
        <f t="shared" si="6"/>
        <v>104490451806000</v>
      </c>
      <c r="E57" s="51">
        <f>1/(1 - EXP((-$C$2*$D$57)/($A$2*E53)))</f>
        <v>1.0000000495567207</v>
      </c>
      <c r="F57" s="51">
        <f t="shared" ref="F57:W57" si="10">1/(1 - EXP((-$C$2*$D$57)/($A$2*F53)))</f>
        <v>1.0000035901584323</v>
      </c>
      <c r="G57" s="51">
        <f t="shared" si="10"/>
        <v>1.0000440665226897</v>
      </c>
      <c r="H57" s="51">
        <f t="shared" si="10"/>
        <v>1.0002345181941747</v>
      </c>
      <c r="I57" s="51">
        <f t="shared" si="10"/>
        <v>1.00077441124821</v>
      </c>
      <c r="J57" s="51">
        <f t="shared" si="10"/>
        <v>1.0018983649000661</v>
      </c>
      <c r="K57" s="51">
        <f t="shared" si="10"/>
        <v>1.0038168428622827</v>
      </c>
      <c r="L57" s="51">
        <f t="shared" si="10"/>
        <v>1.0066824748069203</v>
      </c>
      <c r="M57" s="51">
        <f t="shared" si="10"/>
        <v>1.0105830970137595</v>
      </c>
      <c r="N57" s="51">
        <f t="shared" si="10"/>
        <v>1.0155503006736366</v>
      </c>
      <c r="O57" s="51">
        <f t="shared" si="10"/>
        <v>1.0215734427928089</v>
      </c>
      <c r="P57" s="51">
        <f t="shared" si="10"/>
        <v>1.0286134299268825</v>
      </c>
      <c r="Q57" s="51">
        <f t="shared" si="10"/>
        <v>1.03661398025422</v>
      </c>
      <c r="R57" s="51">
        <f t="shared" si="10"/>
        <v>1.0455099309045091</v>
      </c>
      <c r="S57" s="51">
        <f t="shared" si="10"/>
        <v>1.055232949929362</v>
      </c>
      <c r="T57" s="51">
        <f t="shared" si="10"/>
        <v>1.0657152366356117</v>
      </c>
      <c r="U57" s="51">
        <f t="shared" si="10"/>
        <v>1.0768917701524492</v>
      </c>
      <c r="V57" s="51">
        <f t="shared" si="10"/>
        <v>1.0887015596376193</v>
      </c>
      <c r="W57" s="63">
        <f t="shared" si="10"/>
        <v>1.1010882337502581</v>
      </c>
    </row>
    <row r="58" spans="1:23" ht="15" thickBot="1" x14ac:dyDescent="0.35">
      <c r="A58" s="26"/>
      <c r="B58" s="65">
        <f t="shared" si="5"/>
        <v>1.0000000248344034</v>
      </c>
      <c r="D58" s="64">
        <f t="shared" si="6"/>
        <v>108771882578970</v>
      </c>
      <c r="E58" s="51">
        <f>1/(1 - EXP((-$C$2*$D$58)/($A$2*E53)))</f>
        <v>1.0000000248764815</v>
      </c>
      <c r="F58" s="51">
        <f t="shared" ref="F58:W58" si="11">1/(1 - EXP((-$C$2*$D$58)/($A$2*F53)))</f>
        <v>1.0000021478904002</v>
      </c>
      <c r="G58" s="51">
        <f t="shared" si="11"/>
        <v>1.0000292160591751</v>
      </c>
      <c r="H58" s="51">
        <f t="shared" si="11"/>
        <v>1.0001664995611816</v>
      </c>
      <c r="I58" s="51">
        <f t="shared" si="11"/>
        <v>1.0005772977873801</v>
      </c>
      <c r="J58" s="51">
        <f t="shared" si="11"/>
        <v>1.0014677177500406</v>
      </c>
      <c r="K58" s="51">
        <f t="shared" si="11"/>
        <v>1.0030353592736447</v>
      </c>
      <c r="L58" s="51">
        <f t="shared" si="11"/>
        <v>1.0054344831897772</v>
      </c>
      <c r="M58" s="51">
        <f t="shared" si="11"/>
        <v>1.0087640074107895</v>
      </c>
      <c r="N58" s="51">
        <f t="shared" si="11"/>
        <v>1.0130710446242821</v>
      </c>
      <c r="O58" s="51">
        <f t="shared" si="11"/>
        <v>1.0183613818728481</v>
      </c>
      <c r="P58" s="51">
        <f t="shared" si="11"/>
        <v>1.0246112541848493</v>
      </c>
      <c r="Q58" s="51">
        <f t="shared" si="11"/>
        <v>1.0317776994103325</v>
      </c>
      <c r="R58" s="51">
        <f t="shared" si="11"/>
        <v>1.0398066267777406</v>
      </c>
      <c r="S58" s="51">
        <f t="shared" si="11"/>
        <v>1.0486386407281683</v>
      </c>
      <c r="T58" s="51">
        <f t="shared" si="11"/>
        <v>1.0582130058306058</v>
      </c>
      <c r="U58" s="51">
        <f t="shared" si="11"/>
        <v>1.0684702024039643</v>
      </c>
      <c r="V58" s="51">
        <f t="shared" si="11"/>
        <v>1.0793534712599424</v>
      </c>
      <c r="W58" s="63">
        <f t="shared" si="11"/>
        <v>1.0908096619081105</v>
      </c>
    </row>
    <row r="59" spans="1:23" ht="15" thickBot="1" x14ac:dyDescent="0.35">
      <c r="B59" s="51"/>
      <c r="D59" s="66">
        <f t="shared" si="6"/>
        <v>108782399317410</v>
      </c>
      <c r="E59" s="55">
        <f>1/(1 - EXP((-$C$2*$D$59)/($A$2*E53)))</f>
        <v>1.0000000248344034</v>
      </c>
      <c r="F59" s="55">
        <f t="shared" ref="F59:W59" si="12">1/(1 - EXP((-$C$2*$D$59)/($A$2*F53)))</f>
        <v>1.0000021451817795</v>
      </c>
      <c r="G59" s="55">
        <f t="shared" si="12"/>
        <v>1.0000291865800757</v>
      </c>
      <c r="H59" s="55">
        <f t="shared" si="12"/>
        <v>1.0001663595313655</v>
      </c>
      <c r="I59" s="55">
        <f t="shared" si="12"/>
        <v>1.0005768814313656</v>
      </c>
      <c r="J59" s="55">
        <f t="shared" si="12"/>
        <v>1.001466790661512</v>
      </c>
      <c r="K59" s="55">
        <f t="shared" si="12"/>
        <v>1.0030336522858576</v>
      </c>
      <c r="L59" s="55">
        <f t="shared" si="12"/>
        <v>1.0054317259767078</v>
      </c>
      <c r="M59" s="55">
        <f t="shared" si="12"/>
        <v>1.0087599516966215</v>
      </c>
      <c r="N59" s="55">
        <f t="shared" si="12"/>
        <v>1.0130654760460405</v>
      </c>
      <c r="O59" s="55">
        <f t="shared" si="12"/>
        <v>1.018354123393898</v>
      </c>
      <c r="P59" s="55">
        <f t="shared" si="12"/>
        <v>1.024602164438053</v>
      </c>
      <c r="Q59" s="55">
        <f t="shared" si="12"/>
        <v>1.0317666685670916</v>
      </c>
      <c r="R59" s="55">
        <f t="shared" si="12"/>
        <v>1.0397935715902153</v>
      </c>
      <c r="S59" s="55">
        <f t="shared" si="12"/>
        <v>1.0486234996530011</v>
      </c>
      <c r="T59" s="55">
        <f t="shared" si="12"/>
        <v>1.0581957346617885</v>
      </c>
      <c r="U59" s="55">
        <f t="shared" si="12"/>
        <v>1.068450770563558</v>
      </c>
      <c r="V59" s="55">
        <f t="shared" si="12"/>
        <v>1.0793318587492131</v>
      </c>
      <c r="W59" s="65">
        <f t="shared" si="12"/>
        <v>1.0907858568545177</v>
      </c>
    </row>
    <row r="60" spans="1:23" x14ac:dyDescent="0.3">
      <c r="B60" s="51"/>
      <c r="D60" s="67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</row>
    <row r="61" spans="1:23" x14ac:dyDescent="0.3">
      <c r="B61" s="51"/>
      <c r="D61" s="67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</row>
    <row r="62" spans="1:23" x14ac:dyDescent="0.3">
      <c r="B62" s="51"/>
      <c r="D62" s="67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</row>
    <row r="63" spans="1:23" x14ac:dyDescent="0.3">
      <c r="B63" s="51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</row>
    <row r="64" spans="1:23" ht="15" thickBot="1" x14ac:dyDescent="0.35">
      <c r="B64" s="51"/>
      <c r="D64" s="67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</row>
    <row r="65" spans="1:23" x14ac:dyDescent="0.3">
      <c r="B65" s="51"/>
      <c r="D65" s="68" t="s">
        <v>52</v>
      </c>
      <c r="E65" s="69">
        <v>298.14999999999998</v>
      </c>
      <c r="F65" s="69">
        <f>300+100</f>
        <v>400</v>
      </c>
      <c r="G65" s="69">
        <f t="shared" ref="G65:W65" si="13">F65+100</f>
        <v>500</v>
      </c>
      <c r="H65" s="69">
        <f t="shared" si="13"/>
        <v>600</v>
      </c>
      <c r="I65" s="69">
        <f t="shared" si="13"/>
        <v>700</v>
      </c>
      <c r="J65" s="69">
        <f t="shared" si="13"/>
        <v>800</v>
      </c>
      <c r="K65" s="69">
        <f t="shared" si="13"/>
        <v>900</v>
      </c>
      <c r="L65" s="69">
        <f t="shared" si="13"/>
        <v>1000</v>
      </c>
      <c r="M65" s="69">
        <f t="shared" si="13"/>
        <v>1100</v>
      </c>
      <c r="N65" s="69">
        <f t="shared" si="13"/>
        <v>1200</v>
      </c>
      <c r="O65" s="69">
        <f t="shared" si="13"/>
        <v>1300</v>
      </c>
      <c r="P65" s="69">
        <f t="shared" si="13"/>
        <v>1400</v>
      </c>
      <c r="Q65" s="69">
        <f t="shared" si="13"/>
        <v>1500</v>
      </c>
      <c r="R65" s="69">
        <f t="shared" si="13"/>
        <v>1600</v>
      </c>
      <c r="S65" s="69">
        <f t="shared" si="13"/>
        <v>1700</v>
      </c>
      <c r="T65" s="69">
        <f t="shared" si="13"/>
        <v>1800</v>
      </c>
      <c r="U65" s="69">
        <f t="shared" si="13"/>
        <v>1900</v>
      </c>
      <c r="V65" s="69">
        <f t="shared" si="13"/>
        <v>2000</v>
      </c>
      <c r="W65" s="70">
        <f t="shared" si="13"/>
        <v>2100</v>
      </c>
    </row>
    <row r="66" spans="1:23" ht="15" thickBot="1" x14ac:dyDescent="0.35">
      <c r="B66" s="51"/>
      <c r="D66" s="66" t="s">
        <v>53</v>
      </c>
      <c r="E66" s="55">
        <f>PRODUCT(E54:E62)</f>
        <v>1.0087362662465302</v>
      </c>
      <c r="F66" s="55">
        <f>PRODUCT(F54:F62)</f>
        <v>1.0332648983544783</v>
      </c>
      <c r="G66" s="55">
        <f t="shared" ref="G66:W66" si="14">PRODUCT(G54:G62)</f>
        <v>1.0772237059624747</v>
      </c>
      <c r="H66" s="55">
        <f t="shared" si="14"/>
        <v>1.1416699511810409</v>
      </c>
      <c r="I66" s="55">
        <f t="shared" si="14"/>
        <v>1.2266719990500201</v>
      </c>
      <c r="J66" s="55">
        <f t="shared" si="14"/>
        <v>1.3325922667277506</v>
      </c>
      <c r="K66" s="55">
        <f t="shared" si="14"/>
        <v>1.4603656658865689</v>
      </c>
      <c r="L66" s="55">
        <f t="shared" si="14"/>
        <v>1.6114969061642823</v>
      </c>
      <c r="M66" s="55">
        <f t="shared" si="14"/>
        <v>1.7879910736641476</v>
      </c>
      <c r="N66" s="55">
        <f t="shared" si="14"/>
        <v>1.9922910845609143</v>
      </c>
      <c r="O66" s="55">
        <f t="shared" si="14"/>
        <v>2.2272375899681416</v>
      </c>
      <c r="P66" s="55">
        <f t="shared" si="14"/>
        <v>2.4960489369095997</v>
      </c>
      <c r="Q66" s="55">
        <f t="shared" si="14"/>
        <v>2.8023154935803629</v>
      </c>
      <c r="R66" s="55">
        <f t="shared" si="14"/>
        <v>3.150003518070835</v>
      </c>
      <c r="S66" s="55">
        <f t="shared" si="14"/>
        <v>3.5434652539083173</v>
      </c>
      <c r="T66" s="55">
        <f t="shared" si="14"/>
        <v>3.9874531465010143</v>
      </c>
      <c r="U66" s="55">
        <f t="shared" si="14"/>
        <v>4.4871368864983436</v>
      </c>
      <c r="V66" s="55">
        <f t="shared" si="14"/>
        <v>5.048122492077848</v>
      </c>
      <c r="W66" s="65">
        <f t="shared" si="14"/>
        <v>5.6764729477793336</v>
      </c>
    </row>
    <row r="67" spans="1:23" x14ac:dyDescent="0.3">
      <c r="B67" s="51"/>
      <c r="D67" s="67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</row>
    <row r="68" spans="1:23" x14ac:dyDescent="0.3">
      <c r="B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</row>
    <row r="69" spans="1:23" x14ac:dyDescent="0.3">
      <c r="B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</row>
    <row r="70" spans="1:23" x14ac:dyDescent="0.3">
      <c r="B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</row>
    <row r="71" spans="1:23" ht="15" thickBot="1" x14ac:dyDescent="0.35"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</row>
    <row r="72" spans="1:23" x14ac:dyDescent="0.3">
      <c r="A72" s="17" t="s">
        <v>54</v>
      </c>
      <c r="B72" s="19">
        <f>COUNT(B53:B70)</f>
        <v>6</v>
      </c>
    </row>
    <row r="73" spans="1:23" ht="21" thickBot="1" x14ac:dyDescent="0.35">
      <c r="A73" s="71" t="s">
        <v>55</v>
      </c>
      <c r="B73" s="123">
        <f>PRODUCT(B53:B58)</f>
        <v>1.0087362662465302</v>
      </c>
    </row>
    <row r="76" spans="1:23" ht="15" thickBot="1" x14ac:dyDescent="0.35"/>
    <row r="77" spans="1:23" x14ac:dyDescent="0.3">
      <c r="A77" s="16" t="s">
        <v>56</v>
      </c>
    </row>
    <row r="78" spans="1:23" x14ac:dyDescent="0.3">
      <c r="A78" s="73">
        <v>1.00874</v>
      </c>
    </row>
    <row r="79" spans="1:23" x14ac:dyDescent="0.3">
      <c r="A79" s="74" t="s">
        <v>57</v>
      </c>
    </row>
    <row r="80" spans="1:23" ht="15" thickBot="1" x14ac:dyDescent="0.35">
      <c r="A80" s="75">
        <f>ABS(B73-A78)/B73</f>
        <v>3.701416906155231E-6</v>
      </c>
    </row>
    <row r="81" spans="2:10" ht="15" thickBot="1" x14ac:dyDescent="0.35"/>
    <row r="82" spans="2:10" ht="18" x14ac:dyDescent="0.3">
      <c r="D82" s="11" t="s">
        <v>46</v>
      </c>
      <c r="E82" s="58" t="s">
        <v>58</v>
      </c>
      <c r="F82" s="50" t="s">
        <v>9</v>
      </c>
    </row>
    <row r="83" spans="2:10" ht="18.600000000000001" thickBot="1" x14ac:dyDescent="0.35">
      <c r="B83" s="76"/>
      <c r="D83" s="35">
        <f>298.15</f>
        <v>298.14999999999998</v>
      </c>
      <c r="E83" s="63">
        <f xml:space="preserve"> ( (2*$B$2*$E$2*$A$2*D83)/($C$2*$C$2) )^(1.5) * ($A$2*D83) /$F$83</f>
        <v>2759902.8842932866</v>
      </c>
      <c r="F83" s="25">
        <v>101325</v>
      </c>
      <c r="H83" s="5" t="s">
        <v>59</v>
      </c>
    </row>
    <row r="84" spans="2:10" ht="15" thickBot="1" x14ac:dyDescent="0.35">
      <c r="D84" s="35">
        <f>300+100</f>
        <v>400</v>
      </c>
      <c r="E84" s="63">
        <f t="shared" ref="E84:E101" si="15" xml:space="preserve"> ( (2*$B$2*$E$2*$A$2*D84)/($C$2*$C$2) )^(1.5) * ($A$2*D84) /$F$83</f>
        <v>5753826.2662176322</v>
      </c>
    </row>
    <row r="85" spans="2:10" ht="15" thickBot="1" x14ac:dyDescent="0.35">
      <c r="D85" s="35">
        <f t="shared" ref="D85:D101" si="16">D84+100</f>
        <v>500</v>
      </c>
      <c r="E85" s="63">
        <f t="shared" si="15"/>
        <v>10051520.829676811</v>
      </c>
      <c r="J85" s="16" t="s">
        <v>60</v>
      </c>
    </row>
    <row r="86" spans="2:10" x14ac:dyDescent="0.3">
      <c r="D86" s="35">
        <f t="shared" si="16"/>
        <v>600</v>
      </c>
      <c r="E86" s="63">
        <f t="shared" si="15"/>
        <v>15855680.72346371</v>
      </c>
      <c r="H86" s="77" t="s">
        <v>61</v>
      </c>
      <c r="I86" s="17" t="s">
        <v>62</v>
      </c>
      <c r="J86" s="78">
        <f xml:space="preserve"> ( (2*$B$2*$E$2*$A$2*298.15)/($C$2*$C$2) )^(1.5) * ($A$2*D83) /$F$83</f>
        <v>2759902.8842932866</v>
      </c>
    </row>
    <row r="87" spans="2:10" ht="15" thickBot="1" x14ac:dyDescent="0.35">
      <c r="D87" s="35">
        <f t="shared" si="16"/>
        <v>700</v>
      </c>
      <c r="E87" s="63">
        <f t="shared" si="15"/>
        <v>23310514.874583468</v>
      </c>
      <c r="H87" s="61" t="s">
        <v>63</v>
      </c>
      <c r="I87" s="26" t="s">
        <v>62</v>
      </c>
      <c r="J87" s="79">
        <v>2761500</v>
      </c>
    </row>
    <row r="88" spans="2:10" x14ac:dyDescent="0.3">
      <c r="D88" s="35">
        <f t="shared" si="16"/>
        <v>800</v>
      </c>
      <c r="E88" s="63">
        <f t="shared" si="15"/>
        <v>32548556.564894177</v>
      </c>
      <c r="J88" s="80" t="s">
        <v>57</v>
      </c>
    </row>
    <row r="89" spans="2:10" x14ac:dyDescent="0.3">
      <c r="D89" s="35">
        <f t="shared" si="16"/>
        <v>900</v>
      </c>
      <c r="E89" s="63">
        <f t="shared" si="15"/>
        <v>43693118.20909021</v>
      </c>
      <c r="J89" s="81">
        <f>ABS(J86-J87)/J87</f>
        <v>5.783507900464981E-4</v>
      </c>
    </row>
    <row r="90" spans="2:10" x14ac:dyDescent="0.3">
      <c r="D90" s="35">
        <f t="shared" si="16"/>
        <v>1000</v>
      </c>
      <c r="E90" s="63">
        <f t="shared" si="15"/>
        <v>56859988.319218606</v>
      </c>
    </row>
    <row r="91" spans="2:10" x14ac:dyDescent="0.3">
      <c r="D91" s="35">
        <f t="shared" si="16"/>
        <v>1100</v>
      </c>
      <c r="E91" s="63">
        <f t="shared" si="15"/>
        <v>72158663.21581845</v>
      </c>
    </row>
    <row r="92" spans="2:10" x14ac:dyDescent="0.3">
      <c r="D92" s="35">
        <f t="shared" si="16"/>
        <v>1200</v>
      </c>
      <c r="E92" s="63">
        <f t="shared" si="15"/>
        <v>89693274.879119098</v>
      </c>
    </row>
    <row r="93" spans="2:10" x14ac:dyDescent="0.3">
      <c r="D93" s="35">
        <f t="shared" si="16"/>
        <v>1300</v>
      </c>
      <c r="E93" s="63">
        <f t="shared" si="15"/>
        <v>109563310.68656698</v>
      </c>
    </row>
    <row r="94" spans="2:10" x14ac:dyDescent="0.3">
      <c r="D94" s="35">
        <f t="shared" si="16"/>
        <v>1400</v>
      </c>
      <c r="E94" s="63">
        <f t="shared" si="15"/>
        <v>131864185.12614319</v>
      </c>
    </row>
    <row r="95" spans="2:10" x14ac:dyDescent="0.3">
      <c r="D95" s="35">
        <f t="shared" si="16"/>
        <v>1500</v>
      </c>
      <c r="E95" s="63">
        <f t="shared" si="15"/>
        <v>156687702.93303564</v>
      </c>
    </row>
    <row r="96" spans="2:10" x14ac:dyDescent="0.3">
      <c r="D96" s="35">
        <f t="shared" si="16"/>
        <v>1600</v>
      </c>
      <c r="E96" s="63">
        <f t="shared" si="15"/>
        <v>184122440.51896524</v>
      </c>
    </row>
    <row r="97" spans="1:10" x14ac:dyDescent="0.3">
      <c r="D97" s="35">
        <f t="shared" si="16"/>
        <v>1700</v>
      </c>
      <c r="E97" s="63">
        <f t="shared" si="15"/>
        <v>214254064.56883773</v>
      </c>
    </row>
    <row r="98" spans="1:10" x14ac:dyDescent="0.3">
      <c r="D98" s="35">
        <f t="shared" si="16"/>
        <v>1800</v>
      </c>
      <c r="E98" s="63">
        <f t="shared" si="15"/>
        <v>247165601.41466555</v>
      </c>
    </row>
    <row r="99" spans="1:10" x14ac:dyDescent="0.3">
      <c r="D99" s="35">
        <f t="shared" si="16"/>
        <v>1900</v>
      </c>
      <c r="E99" s="63">
        <f t="shared" si="15"/>
        <v>282937667.22377539</v>
      </c>
    </row>
    <row r="100" spans="1:10" x14ac:dyDescent="0.3">
      <c r="D100" s="35">
        <f t="shared" si="16"/>
        <v>2000</v>
      </c>
      <c r="E100" s="63">
        <f t="shared" si="15"/>
        <v>321648666.54965973</v>
      </c>
    </row>
    <row r="101" spans="1:10" ht="15" thickBot="1" x14ac:dyDescent="0.35">
      <c r="D101" s="26">
        <f t="shared" si="16"/>
        <v>2100</v>
      </c>
      <c r="E101" s="65">
        <f t="shared" si="15"/>
        <v>363374965.02032155</v>
      </c>
    </row>
    <row r="104" spans="1:10" ht="15" thickBot="1" x14ac:dyDescent="0.35"/>
    <row r="105" spans="1:10" ht="18" x14ac:dyDescent="0.3">
      <c r="D105" s="11" t="s">
        <v>46</v>
      </c>
      <c r="E105" s="58" t="s">
        <v>64</v>
      </c>
    </row>
    <row r="106" spans="1:10" x14ac:dyDescent="0.3">
      <c r="D106" s="35">
        <f>298.15</f>
        <v>298.14999999999998</v>
      </c>
      <c r="E106" s="63">
        <f xml:space="preserve"> ( SQRT($B$2)/$B$6) * SQRT(  (D106*D106*D106) / ($E$11 * $F$11 * $G$11 ) )</f>
        <v>212.7059221831486</v>
      </c>
    </row>
    <row r="107" spans="1:10" x14ac:dyDescent="0.3">
      <c r="D107" s="35">
        <f>300+100</f>
        <v>400</v>
      </c>
      <c r="E107" s="63">
        <f t="shared" ref="E107:E124" si="17" xml:space="preserve"> ( SQRT($B$2)/$B$6) * SQRT(  (D107*D107*D107) / ($E$11 * $F$11 * $G$11 ) )</f>
        <v>330.53492007102074</v>
      </c>
    </row>
    <row r="108" spans="1:10" x14ac:dyDescent="0.3">
      <c r="D108" s="35">
        <f t="shared" ref="D108:D124" si="18">D107+100</f>
        <v>500</v>
      </c>
      <c r="E108" s="63">
        <f t="shared" si="17"/>
        <v>461.93659388516369</v>
      </c>
      <c r="H108" s="5" t="s">
        <v>59</v>
      </c>
    </row>
    <row r="109" spans="1:10" ht="15" thickBot="1" x14ac:dyDescent="0.35">
      <c r="D109" s="35">
        <f t="shared" si="18"/>
        <v>600</v>
      </c>
      <c r="E109" s="63">
        <f t="shared" si="17"/>
        <v>607.2314222592172</v>
      </c>
    </row>
    <row r="110" spans="1:10" ht="18.600000000000001" thickBot="1" x14ac:dyDescent="0.35">
      <c r="A110" s="82"/>
      <c r="B110" s="76"/>
      <c r="D110" s="35">
        <f t="shared" si="18"/>
        <v>700</v>
      </c>
      <c r="E110" s="63">
        <f t="shared" si="17"/>
        <v>765.1990483642162</v>
      </c>
      <c r="J110" s="16" t="s">
        <v>60</v>
      </c>
    </row>
    <row r="111" spans="1:10" x14ac:dyDescent="0.3">
      <c r="D111" s="35">
        <f t="shared" si="18"/>
        <v>800</v>
      </c>
      <c r="E111" s="63">
        <f t="shared" si="17"/>
        <v>934.89393360468898</v>
      </c>
      <c r="H111" s="77" t="s">
        <v>61</v>
      </c>
      <c r="I111" s="17" t="s">
        <v>65</v>
      </c>
      <c r="J111" s="83">
        <f>E106</f>
        <v>212.7059221831486</v>
      </c>
    </row>
    <row r="112" spans="1:10" ht="15" thickBot="1" x14ac:dyDescent="0.35">
      <c r="B112" s="51"/>
      <c r="C112" s="124"/>
      <c r="D112" s="35">
        <f t="shared" si="18"/>
        <v>900</v>
      </c>
      <c r="E112" s="63">
        <f t="shared" si="17"/>
        <v>1115.555355239695</v>
      </c>
      <c r="H112" s="61" t="s">
        <v>63</v>
      </c>
      <c r="I112" s="26" t="s">
        <v>65</v>
      </c>
      <c r="J112" s="84">
        <v>212.70599999999999</v>
      </c>
    </row>
    <row r="113" spans="2:10" x14ac:dyDescent="0.3">
      <c r="D113" s="35">
        <f t="shared" si="18"/>
        <v>1000</v>
      </c>
      <c r="E113" s="63">
        <f t="shared" si="17"/>
        <v>1306.5539920576621</v>
      </c>
      <c r="J113" s="80" t="s">
        <v>57</v>
      </c>
    </row>
    <row r="114" spans="2:10" x14ac:dyDescent="0.3">
      <c r="D114" s="35">
        <f t="shared" si="18"/>
        <v>1100</v>
      </c>
      <c r="E114" s="63">
        <f t="shared" si="17"/>
        <v>1507.357926230321</v>
      </c>
      <c r="J114" s="81">
        <f>ABS(J111-J112)/J112</f>
        <v>3.6584229588034364E-7</v>
      </c>
    </row>
    <row r="115" spans="2:10" x14ac:dyDescent="0.3">
      <c r="D115" s="35">
        <f t="shared" si="18"/>
        <v>1200</v>
      </c>
      <c r="E115" s="63">
        <f t="shared" si="17"/>
        <v>1717.5098257161771</v>
      </c>
    </row>
    <row r="116" spans="2:10" x14ac:dyDescent="0.3">
      <c r="C116" s="124"/>
      <c r="D116" s="35">
        <f t="shared" si="18"/>
        <v>1300</v>
      </c>
      <c r="E116" s="63">
        <f t="shared" si="17"/>
        <v>1936.6109793021169</v>
      </c>
      <c r="H116" s="85"/>
    </row>
    <row r="117" spans="2:10" x14ac:dyDescent="0.3">
      <c r="D117" s="35">
        <f t="shared" si="18"/>
        <v>1400</v>
      </c>
      <c r="E117" s="63">
        <f t="shared" si="17"/>
        <v>2164.3097442233206</v>
      </c>
    </row>
    <row r="118" spans="2:10" x14ac:dyDescent="0.3">
      <c r="D118" s="35">
        <f t="shared" si="18"/>
        <v>1500</v>
      </c>
      <c r="E118" s="63">
        <f t="shared" si="17"/>
        <v>2400.2929514532429</v>
      </c>
    </row>
    <row r="119" spans="2:10" x14ac:dyDescent="0.3">
      <c r="D119" s="35">
        <f t="shared" si="18"/>
        <v>1600</v>
      </c>
      <c r="E119" s="63">
        <f t="shared" si="17"/>
        <v>2644.2793605681659</v>
      </c>
    </row>
    <row r="120" spans="2:10" x14ac:dyDescent="0.3">
      <c r="B120" s="51"/>
      <c r="C120" s="124"/>
      <c r="D120" s="35">
        <f t="shared" si="18"/>
        <v>1700</v>
      </c>
      <c r="E120" s="63">
        <f t="shared" si="17"/>
        <v>2896.0145753668075</v>
      </c>
    </row>
    <row r="121" spans="2:10" x14ac:dyDescent="0.3">
      <c r="D121" s="35">
        <f t="shared" si="18"/>
        <v>1800</v>
      </c>
      <c r="E121" s="63">
        <f t="shared" si="17"/>
        <v>3155.2670259158253</v>
      </c>
    </row>
    <row r="122" spans="2:10" x14ac:dyDescent="0.3">
      <c r="D122" s="35">
        <f t="shared" si="18"/>
        <v>1900</v>
      </c>
      <c r="E122" s="63">
        <f t="shared" si="17"/>
        <v>3421.8247455145738</v>
      </c>
    </row>
    <row r="123" spans="2:10" x14ac:dyDescent="0.3">
      <c r="D123" s="35">
        <f t="shared" si="18"/>
        <v>2000</v>
      </c>
      <c r="E123" s="63">
        <f t="shared" si="17"/>
        <v>3695.4927510813095</v>
      </c>
    </row>
    <row r="124" spans="2:10" ht="15" thickBot="1" x14ac:dyDescent="0.35">
      <c r="D124" s="26">
        <f t="shared" si="18"/>
        <v>2100</v>
      </c>
      <c r="E124" s="65">
        <f t="shared" si="17"/>
        <v>3976.0908890105306</v>
      </c>
    </row>
    <row r="126" spans="2:10" ht="15" thickBot="1" x14ac:dyDescent="0.35"/>
    <row r="127" spans="2:10" ht="18" x14ac:dyDescent="0.3">
      <c r="D127" s="11" t="s">
        <v>46</v>
      </c>
      <c r="E127" s="13" t="s">
        <v>66</v>
      </c>
      <c r="F127" s="50" t="s">
        <v>67</v>
      </c>
    </row>
    <row r="128" spans="2:10" ht="15.6" x14ac:dyDescent="0.3">
      <c r="D128" s="35">
        <f>298.15</f>
        <v>298.14999999999998</v>
      </c>
      <c r="E128" s="86">
        <f>$B$135*EXP($B$134/($A$2*D128) )</f>
        <v>0</v>
      </c>
      <c r="F128" s="87">
        <f>$B$135</f>
        <v>1</v>
      </c>
      <c r="G128" s="5" t="s">
        <v>68</v>
      </c>
      <c r="H128" s="88">
        <f>$B$135*EXP($B$134/($A$2*298.15) )</f>
        <v>0</v>
      </c>
    </row>
    <row r="129" spans="1:10" ht="15.6" x14ac:dyDescent="0.2">
      <c r="A129" s="89"/>
      <c r="D129" s="35">
        <f>300+100</f>
        <v>400</v>
      </c>
      <c r="E129" s="86">
        <f t="shared" ref="E129:E146" si="19">$B$135*EXP($B$134/($A$2*D129) )</f>
        <v>0</v>
      </c>
      <c r="F129" s="87">
        <f t="shared" ref="F129:F146" si="20">$B$135</f>
        <v>1</v>
      </c>
    </row>
    <row r="130" spans="1:10" ht="16.2" thickBot="1" x14ac:dyDescent="0.35">
      <c r="D130" s="35">
        <f t="shared" ref="D130:D146" si="21">D129+100</f>
        <v>500</v>
      </c>
      <c r="E130" s="86">
        <f t="shared" si="19"/>
        <v>0</v>
      </c>
      <c r="F130" s="87">
        <f t="shared" si="20"/>
        <v>1</v>
      </c>
    </row>
    <row r="131" spans="1:10" ht="15.6" x14ac:dyDescent="0.3">
      <c r="A131" s="131" t="s">
        <v>69</v>
      </c>
      <c r="B131" s="132">
        <v>-56.5669846081</v>
      </c>
      <c r="D131" s="35">
        <f t="shared" si="21"/>
        <v>600</v>
      </c>
      <c r="E131" s="86">
        <f t="shared" si="19"/>
        <v>0</v>
      </c>
      <c r="F131" s="87">
        <f t="shared" si="20"/>
        <v>1</v>
      </c>
      <c r="H131" s="17"/>
      <c r="I131" s="18" t="s">
        <v>157</v>
      </c>
      <c r="J131" s="19" t="s">
        <v>119</v>
      </c>
    </row>
    <row r="132" spans="1:10" ht="18.600000000000001" thickBot="1" x14ac:dyDescent="0.35">
      <c r="A132" s="133" t="s">
        <v>70</v>
      </c>
      <c r="B132" s="86">
        <f>B131/(229400000000000000)</f>
        <v>-2.4658668094202267E-16</v>
      </c>
      <c r="D132" s="35">
        <f t="shared" si="21"/>
        <v>700</v>
      </c>
      <c r="E132" s="86">
        <f t="shared" si="19"/>
        <v>0</v>
      </c>
      <c r="F132" s="87">
        <f t="shared" si="20"/>
        <v>1</v>
      </c>
      <c r="H132" s="190" t="s">
        <v>156</v>
      </c>
      <c r="I132" s="191">
        <f>$I$5+$B$131</f>
        <v>-56.532609608100003</v>
      </c>
      <c r="J132" s="28">
        <f>$I$132*627.503</f>
        <v>-35474.38212691158</v>
      </c>
    </row>
    <row r="133" spans="1:10" ht="15.6" x14ac:dyDescent="0.3">
      <c r="A133" s="133" t="s">
        <v>71</v>
      </c>
      <c r="B133" s="134">
        <f>K5</f>
        <v>1.498660625E-19</v>
      </c>
      <c r="D133" s="35">
        <f t="shared" si="21"/>
        <v>800</v>
      </c>
      <c r="E133" s="86">
        <f t="shared" si="19"/>
        <v>0</v>
      </c>
      <c r="F133" s="87">
        <f t="shared" si="20"/>
        <v>1</v>
      </c>
    </row>
    <row r="134" spans="1:10" ht="18" x14ac:dyDescent="0.3">
      <c r="A134" s="133" t="s">
        <v>155</v>
      </c>
      <c r="B134" s="86">
        <f>B132+B133</f>
        <v>-2.464368148795227E-16</v>
      </c>
      <c r="D134" s="35">
        <f t="shared" si="21"/>
        <v>900</v>
      </c>
      <c r="E134" s="86">
        <f t="shared" si="19"/>
        <v>0</v>
      </c>
      <c r="F134" s="87">
        <f t="shared" si="20"/>
        <v>1</v>
      </c>
    </row>
    <row r="135" spans="1:10" ht="18" x14ac:dyDescent="0.3">
      <c r="A135" s="133" t="s">
        <v>73</v>
      </c>
      <c r="B135" s="134">
        <v>1</v>
      </c>
      <c r="D135" s="35">
        <f t="shared" si="21"/>
        <v>1000</v>
      </c>
      <c r="E135" s="86">
        <f t="shared" si="19"/>
        <v>0</v>
      </c>
      <c r="F135" s="87">
        <f t="shared" si="20"/>
        <v>1</v>
      </c>
    </row>
    <row r="136" spans="1:10" ht="16.2" thickBot="1" x14ac:dyDescent="0.35">
      <c r="A136" s="26" t="s">
        <v>74</v>
      </c>
      <c r="B136" s="65">
        <f>A2*D128</f>
        <v>4.1162588999999997E-21</v>
      </c>
      <c r="D136" s="35">
        <f t="shared" si="21"/>
        <v>1100</v>
      </c>
      <c r="E136" s="86">
        <f t="shared" si="19"/>
        <v>0</v>
      </c>
      <c r="F136" s="87">
        <f t="shared" si="20"/>
        <v>1</v>
      </c>
    </row>
    <row r="137" spans="1:10" ht="15.6" x14ac:dyDescent="0.3">
      <c r="D137" s="35">
        <f t="shared" si="21"/>
        <v>1200</v>
      </c>
      <c r="E137" s="86">
        <f t="shared" si="19"/>
        <v>0</v>
      </c>
      <c r="F137" s="87">
        <f t="shared" si="20"/>
        <v>1</v>
      </c>
    </row>
    <row r="138" spans="1:10" ht="15.6" x14ac:dyDescent="0.3">
      <c r="D138" s="35">
        <f t="shared" si="21"/>
        <v>1300</v>
      </c>
      <c r="E138" s="86">
        <f t="shared" si="19"/>
        <v>0</v>
      </c>
      <c r="F138" s="87">
        <f t="shared" si="20"/>
        <v>1</v>
      </c>
    </row>
    <row r="139" spans="1:10" ht="15.6" x14ac:dyDescent="0.3">
      <c r="D139" s="35">
        <f t="shared" si="21"/>
        <v>1400</v>
      </c>
      <c r="E139" s="86">
        <f t="shared" si="19"/>
        <v>0</v>
      </c>
      <c r="F139" s="87">
        <f t="shared" si="20"/>
        <v>1</v>
      </c>
    </row>
    <row r="140" spans="1:10" ht="15.6" x14ac:dyDescent="0.3">
      <c r="D140" s="35">
        <f t="shared" si="21"/>
        <v>1500</v>
      </c>
      <c r="E140" s="86">
        <f t="shared" si="19"/>
        <v>0</v>
      </c>
      <c r="F140" s="87">
        <f t="shared" si="20"/>
        <v>1</v>
      </c>
    </row>
    <row r="141" spans="1:10" ht="15.6" x14ac:dyDescent="0.3">
      <c r="D141" s="35">
        <f t="shared" si="21"/>
        <v>1600</v>
      </c>
      <c r="E141" s="86">
        <f t="shared" si="19"/>
        <v>0</v>
      </c>
      <c r="F141" s="87">
        <f t="shared" si="20"/>
        <v>1</v>
      </c>
    </row>
    <row r="142" spans="1:10" ht="15.6" x14ac:dyDescent="0.3">
      <c r="D142" s="35">
        <f t="shared" si="21"/>
        <v>1700</v>
      </c>
      <c r="E142" s="86">
        <f t="shared" si="19"/>
        <v>0</v>
      </c>
      <c r="F142" s="87">
        <f t="shared" si="20"/>
        <v>1</v>
      </c>
    </row>
    <row r="143" spans="1:10" ht="15.6" x14ac:dyDescent="0.3">
      <c r="D143" s="35">
        <f t="shared" si="21"/>
        <v>1800</v>
      </c>
      <c r="E143" s="86">
        <f t="shared" si="19"/>
        <v>0</v>
      </c>
      <c r="F143" s="87">
        <f t="shared" si="20"/>
        <v>1</v>
      </c>
    </row>
    <row r="144" spans="1:10" ht="15.6" x14ac:dyDescent="0.3">
      <c r="D144" s="35">
        <f t="shared" si="21"/>
        <v>1900</v>
      </c>
      <c r="E144" s="86">
        <f t="shared" si="19"/>
        <v>0</v>
      </c>
      <c r="F144" s="87">
        <f t="shared" si="20"/>
        <v>1</v>
      </c>
    </row>
    <row r="145" spans="4:13" ht="15.6" x14ac:dyDescent="0.3">
      <c r="D145" s="35">
        <f t="shared" si="21"/>
        <v>2000</v>
      </c>
      <c r="E145" s="86">
        <f t="shared" si="19"/>
        <v>0</v>
      </c>
      <c r="F145" s="87">
        <f t="shared" si="20"/>
        <v>1</v>
      </c>
    </row>
    <row r="146" spans="4:13" ht="16.2" thickBot="1" x14ac:dyDescent="0.35">
      <c r="D146" s="26">
        <f t="shared" si="21"/>
        <v>2100</v>
      </c>
      <c r="E146" s="93">
        <f t="shared" si="19"/>
        <v>0</v>
      </c>
      <c r="F146" s="94">
        <f t="shared" si="20"/>
        <v>1</v>
      </c>
    </row>
    <row r="151" spans="4:13" ht="15" thickBot="1" x14ac:dyDescent="0.35">
      <c r="H151" s="5" t="s">
        <v>75</v>
      </c>
    </row>
    <row r="152" spans="4:13" ht="20.399999999999999" x14ac:dyDescent="0.3">
      <c r="D152" s="95" t="s">
        <v>46</v>
      </c>
      <c r="E152" s="96" t="s">
        <v>76</v>
      </c>
      <c r="F152" s="97" t="s">
        <v>77</v>
      </c>
      <c r="G152" s="97" t="s">
        <v>78</v>
      </c>
      <c r="H152" s="97" t="s">
        <v>79</v>
      </c>
      <c r="I152" s="98" t="s">
        <v>80</v>
      </c>
    </row>
    <row r="153" spans="4:13" ht="15.6" x14ac:dyDescent="0.3">
      <c r="D153" s="35">
        <f>298.15</f>
        <v>298.14999999999998</v>
      </c>
      <c r="E153" s="99">
        <f xml:space="preserve"> ( SQRT($B$2)/$B$6) * SQRT(  (D153*D153*D153) / ($E$11 * $F$11 * $G$11 ) )</f>
        <v>212.7059221831486</v>
      </c>
      <c r="F153" s="92">
        <v>1</v>
      </c>
      <c r="G153" s="51">
        <f xml:space="preserve"> ( (2*$B$2*$E$2*$A$2*D153)/($C$2*$C$2) )^(1.5) * ($A$2*D153) /$F$83</f>
        <v>2759902.8842932866</v>
      </c>
      <c r="H153" s="51">
        <f>PRODUCT(E54:E62)</f>
        <v>1.0087362662465302</v>
      </c>
      <c r="I153" s="100">
        <f>PRODUCT(E153:H153)</f>
        <v>592176293.04253221</v>
      </c>
      <c r="J153" s="61"/>
      <c r="K153" s="85"/>
      <c r="M153" s="51"/>
    </row>
    <row r="154" spans="4:13" ht="15.6" x14ac:dyDescent="0.3">
      <c r="D154" s="35">
        <f>300+100</f>
        <v>400</v>
      </c>
      <c r="E154" s="99">
        <f t="shared" ref="E154:E171" si="22" xml:space="preserve"> ( SQRT($B$2)/$B$6) * SQRT(  (D154*D154*D154) / ($E$11 * $F$11 * $G$11 ) )</f>
        <v>330.53492007102074</v>
      </c>
      <c r="F154" s="92">
        <v>1</v>
      </c>
      <c r="G154" s="51">
        <f t="shared" ref="G154:G171" si="23" xml:space="preserve"> ( (2*$B$2*$E$2*$A$2*D154)/($C$2*$C$2) )^(1.5) * ($A$2*D154) /$F$83</f>
        <v>5753826.2662176322</v>
      </c>
      <c r="H154" s="51">
        <f>PRODUCT(F54:F62)</f>
        <v>1.0332648983544783</v>
      </c>
      <c r="I154" s="63">
        <f>PRODUCT(E154:H154)</f>
        <v>1965105036.0922651</v>
      </c>
      <c r="M154" s="101"/>
    </row>
    <row r="155" spans="4:13" ht="15.6" x14ac:dyDescent="0.3">
      <c r="D155" s="35">
        <f t="shared" ref="D155:D171" si="24">D154+100</f>
        <v>500</v>
      </c>
      <c r="E155" s="99">
        <f t="shared" si="22"/>
        <v>461.93659388516369</v>
      </c>
      <c r="F155" s="92">
        <v>1</v>
      </c>
      <c r="G155" s="51">
        <f t="shared" si="23"/>
        <v>10051520.829676811</v>
      </c>
      <c r="H155" s="51">
        <f>PRODUCT(G54:G62)</f>
        <v>1.0772237059624747</v>
      </c>
      <c r="I155" s="63">
        <f>PRODUCT(E155:H155)</f>
        <v>5001727726.9358778</v>
      </c>
      <c r="J155" s="5" t="s">
        <v>81</v>
      </c>
    </row>
    <row r="156" spans="4:13" ht="16.2" thickBot="1" x14ac:dyDescent="0.35">
      <c r="D156" s="35">
        <f t="shared" si="24"/>
        <v>600</v>
      </c>
      <c r="E156" s="99">
        <f t="shared" si="22"/>
        <v>607.2314222592172</v>
      </c>
      <c r="F156" s="92">
        <v>1</v>
      </c>
      <c r="G156" s="51">
        <f t="shared" si="23"/>
        <v>15855680.72346371</v>
      </c>
      <c r="H156" s="51">
        <f>PRODUCT(H54:H62)</f>
        <v>1.1416699511810409</v>
      </c>
      <c r="I156" s="63">
        <f t="shared" ref="I156:I171" si="25">PRODUCT(E156:H156)</f>
        <v>10992075417.307772</v>
      </c>
    </row>
    <row r="157" spans="4:13" ht="16.2" thickBot="1" x14ac:dyDescent="0.35">
      <c r="D157" s="35">
        <f t="shared" si="24"/>
        <v>700</v>
      </c>
      <c r="E157" s="99">
        <f t="shared" si="22"/>
        <v>765.1990483642162</v>
      </c>
      <c r="F157" s="92">
        <v>1</v>
      </c>
      <c r="G157" s="51">
        <f t="shared" si="23"/>
        <v>23310514.874583468</v>
      </c>
      <c r="H157" s="51">
        <f>PRODUCT(I54:I62)</f>
        <v>1.2266719990500201</v>
      </c>
      <c r="I157" s="63">
        <f t="shared" si="25"/>
        <v>21880373908.033001</v>
      </c>
      <c r="L157" s="16" t="s">
        <v>60</v>
      </c>
    </row>
    <row r="158" spans="4:13" ht="15.6" x14ac:dyDescent="0.3">
      <c r="D158" s="35">
        <f t="shared" si="24"/>
        <v>800</v>
      </c>
      <c r="E158" s="99">
        <f t="shared" si="22"/>
        <v>934.89393360468898</v>
      </c>
      <c r="F158" s="92">
        <v>1</v>
      </c>
      <c r="G158" s="51">
        <f t="shared" si="23"/>
        <v>32548556.564894177</v>
      </c>
      <c r="H158" s="51">
        <f>PRODUCT(J54:J62)</f>
        <v>1.3325922667277506</v>
      </c>
      <c r="I158" s="63">
        <f t="shared" si="25"/>
        <v>40550047192.346367</v>
      </c>
      <c r="J158" s="77" t="s">
        <v>61</v>
      </c>
      <c r="K158" s="17" t="s">
        <v>82</v>
      </c>
      <c r="L158" s="83">
        <f>I153</f>
        <v>592176293.04253221</v>
      </c>
    </row>
    <row r="159" spans="4:13" ht="16.2" thickBot="1" x14ac:dyDescent="0.35">
      <c r="D159" s="35">
        <f t="shared" si="24"/>
        <v>900</v>
      </c>
      <c r="E159" s="99">
        <f t="shared" si="22"/>
        <v>1115.555355239695</v>
      </c>
      <c r="F159" s="92">
        <v>1</v>
      </c>
      <c r="G159" s="51">
        <f t="shared" si="23"/>
        <v>43693118.20909021</v>
      </c>
      <c r="H159" s="51">
        <f>PRODUCT(K54:K62)</f>
        <v>1.4603656658865689</v>
      </c>
      <c r="I159" s="63">
        <f t="shared" si="25"/>
        <v>71181277647.982895</v>
      </c>
      <c r="J159" s="61" t="s">
        <v>63</v>
      </c>
      <c r="K159" s="26" t="s">
        <v>82</v>
      </c>
      <c r="L159" s="84">
        <v>592521000</v>
      </c>
    </row>
    <row r="160" spans="4:13" ht="15.6" x14ac:dyDescent="0.3">
      <c r="D160" s="35">
        <f t="shared" si="24"/>
        <v>1000</v>
      </c>
      <c r="E160" s="99">
        <f t="shared" si="22"/>
        <v>1306.5539920576621</v>
      </c>
      <c r="F160" s="92">
        <v>1</v>
      </c>
      <c r="G160" s="51">
        <f t="shared" si="23"/>
        <v>56859988.319218606</v>
      </c>
      <c r="H160" s="51">
        <f>PRODUCT(L54:L62)</f>
        <v>1.6114969061642823</v>
      </c>
      <c r="I160" s="63">
        <f t="shared" si="25"/>
        <v>119719144134.23174</v>
      </c>
      <c r="L160" s="80" t="s">
        <v>57</v>
      </c>
    </row>
    <row r="161" spans="1:12" ht="15.6" x14ac:dyDescent="0.3">
      <c r="D161" s="35">
        <f t="shared" si="24"/>
        <v>1100</v>
      </c>
      <c r="E161" s="99">
        <f t="shared" si="22"/>
        <v>1507.357926230321</v>
      </c>
      <c r="F161" s="92">
        <v>1</v>
      </c>
      <c r="G161" s="51">
        <f t="shared" si="23"/>
        <v>72158663.21581845</v>
      </c>
      <c r="H161" s="51">
        <f>PRODUCT(M54:M62)</f>
        <v>1.7879910736641476</v>
      </c>
      <c r="I161" s="63">
        <f t="shared" si="25"/>
        <v>194477881196.82651</v>
      </c>
      <c r="L161" s="125">
        <f>ABS(L158-L159)/L159</f>
        <v>5.8176327500256435E-4</v>
      </c>
    </row>
    <row r="162" spans="1:12" ht="15.6" x14ac:dyDescent="0.3">
      <c r="D162" s="35">
        <f t="shared" si="24"/>
        <v>1200</v>
      </c>
      <c r="E162" s="99">
        <f t="shared" si="22"/>
        <v>1717.5098257161771</v>
      </c>
      <c r="F162" s="92">
        <v>1</v>
      </c>
      <c r="G162" s="51">
        <f t="shared" si="23"/>
        <v>89693274.879119098</v>
      </c>
      <c r="H162" s="51">
        <f>PRODUCT(N54:N62)</f>
        <v>1.9922910845609143</v>
      </c>
      <c r="I162" s="63">
        <f t="shared" si="25"/>
        <v>306910610472.92828</v>
      </c>
    </row>
    <row r="163" spans="1:12" ht="15.6" x14ac:dyDescent="0.3">
      <c r="D163" s="35">
        <f t="shared" si="24"/>
        <v>1300</v>
      </c>
      <c r="E163" s="99">
        <f t="shared" si="22"/>
        <v>1936.6109793021169</v>
      </c>
      <c r="F163" s="92">
        <v>1</v>
      </c>
      <c r="G163" s="51">
        <f t="shared" si="23"/>
        <v>109563310.68656698</v>
      </c>
      <c r="H163" s="51">
        <f>PRODUCT(O54:O62)</f>
        <v>2.2272375899681416</v>
      </c>
      <c r="I163" s="63">
        <f t="shared" si="25"/>
        <v>472578635868.66119</v>
      </c>
      <c r="J163" s="85"/>
    </row>
    <row r="164" spans="1:12" ht="15.6" x14ac:dyDescent="0.3">
      <c r="D164" s="35">
        <f t="shared" si="24"/>
        <v>1400</v>
      </c>
      <c r="E164" s="99">
        <f t="shared" si="22"/>
        <v>2164.3097442233206</v>
      </c>
      <c r="F164" s="92">
        <v>1</v>
      </c>
      <c r="G164" s="51">
        <f t="shared" si="23"/>
        <v>131864185.12614319</v>
      </c>
      <c r="H164" s="51">
        <f>PRODUCT(P54:P62)</f>
        <v>2.4960489369095997</v>
      </c>
      <c r="I164" s="63">
        <f t="shared" si="25"/>
        <v>712359738539.73596</v>
      </c>
    </row>
    <row r="165" spans="1:12" ht="15.6" x14ac:dyDescent="0.3">
      <c r="D165" s="35">
        <f t="shared" si="24"/>
        <v>1500</v>
      </c>
      <c r="E165" s="99">
        <f t="shared" si="22"/>
        <v>2400.2929514532429</v>
      </c>
      <c r="F165" s="92">
        <v>1</v>
      </c>
      <c r="G165" s="51">
        <f t="shared" si="23"/>
        <v>156687702.93303564</v>
      </c>
      <c r="H165" s="51">
        <f>PRODUCT(Q54:Q62)</f>
        <v>2.8023154935803629</v>
      </c>
      <c r="I165" s="63">
        <f t="shared" si="25"/>
        <v>1053940737776.9463</v>
      </c>
    </row>
    <row r="166" spans="1:12" ht="15.6" x14ac:dyDescent="0.3">
      <c r="D166" s="35">
        <f t="shared" si="24"/>
        <v>1600</v>
      </c>
      <c r="E166" s="99">
        <f t="shared" si="22"/>
        <v>2644.2793605681659</v>
      </c>
      <c r="F166" s="92">
        <v>1</v>
      </c>
      <c r="G166" s="51">
        <f t="shared" si="23"/>
        <v>184122440.51896524</v>
      </c>
      <c r="H166" s="51">
        <f>PRODUCT(R54:R62)</f>
        <v>3.150003518070835</v>
      </c>
      <c r="I166" s="63">
        <f t="shared" si="25"/>
        <v>1533645896084.7407</v>
      </c>
    </row>
    <row r="167" spans="1:12" ht="15.6" x14ac:dyDescent="0.3">
      <c r="D167" s="35">
        <f t="shared" si="24"/>
        <v>1700</v>
      </c>
      <c r="E167" s="99">
        <f t="shared" si="22"/>
        <v>2896.0145753668075</v>
      </c>
      <c r="F167" s="92">
        <v>1</v>
      </c>
      <c r="G167" s="51">
        <f t="shared" si="23"/>
        <v>214254064.56883773</v>
      </c>
      <c r="H167" s="51">
        <f>PRODUCT(S54:S62)</f>
        <v>3.5434652539083173</v>
      </c>
      <c r="I167" s="63">
        <f t="shared" si="25"/>
        <v>2198659574906.0544</v>
      </c>
    </row>
    <row r="168" spans="1:12" ht="15.6" x14ac:dyDescent="0.3">
      <c r="D168" s="35">
        <f t="shared" si="24"/>
        <v>1800</v>
      </c>
      <c r="E168" s="99">
        <f t="shared" si="22"/>
        <v>3155.2670259158253</v>
      </c>
      <c r="F168" s="92">
        <v>1</v>
      </c>
      <c r="G168" s="51">
        <f t="shared" si="23"/>
        <v>247165601.41466555</v>
      </c>
      <c r="H168" s="51">
        <f>PRODUCT(T54:T62)</f>
        <v>3.9874531465010143</v>
      </c>
      <c r="I168" s="63">
        <f t="shared" si="25"/>
        <v>3109708930135.4043</v>
      </c>
    </row>
    <row r="169" spans="1:12" ht="15.6" x14ac:dyDescent="0.3">
      <c r="D169" s="35">
        <f t="shared" si="24"/>
        <v>1900</v>
      </c>
      <c r="E169" s="99">
        <f t="shared" si="22"/>
        <v>3421.8247455145738</v>
      </c>
      <c r="F169" s="92">
        <v>1</v>
      </c>
      <c r="G169" s="51">
        <f t="shared" si="23"/>
        <v>282937667.22377539</v>
      </c>
      <c r="H169" s="51">
        <f>PRODUCT(U54:U62)</f>
        <v>4.4871368864983436</v>
      </c>
      <c r="I169" s="63">
        <f>PRODUCT(E169:H169)</f>
        <v>4344280408163.4028</v>
      </c>
    </row>
    <row r="170" spans="1:12" ht="15.6" x14ac:dyDescent="0.3">
      <c r="D170" s="35">
        <f t="shared" si="24"/>
        <v>2000</v>
      </c>
      <c r="E170" s="99">
        <f t="shared" si="22"/>
        <v>3695.4927510813095</v>
      </c>
      <c r="F170" s="92">
        <v>1</v>
      </c>
      <c r="G170" s="51">
        <f t="shared" si="23"/>
        <v>321648666.54965973</v>
      </c>
      <c r="H170" s="51">
        <f>PRODUCT(V54:V62)</f>
        <v>5.048122492077848</v>
      </c>
      <c r="I170" s="63">
        <f t="shared" si="25"/>
        <v>6000452393543.3838</v>
      </c>
    </row>
    <row r="171" spans="1:12" ht="16.2" thickBot="1" x14ac:dyDescent="0.35">
      <c r="D171" s="26">
        <f t="shared" si="24"/>
        <v>2100</v>
      </c>
      <c r="E171" s="103">
        <f t="shared" si="22"/>
        <v>3976.0908890105306</v>
      </c>
      <c r="F171" s="104">
        <v>1</v>
      </c>
      <c r="G171" s="55">
        <f t="shared" si="23"/>
        <v>363374965.02032155</v>
      </c>
      <c r="H171" s="55">
        <f>PRODUCT(W54:W62)</f>
        <v>5.6764729477793336</v>
      </c>
      <c r="I171" s="65">
        <f t="shared" si="25"/>
        <v>8201435595226.1426</v>
      </c>
    </row>
    <row r="174" spans="1:12" ht="15" thickBot="1" x14ac:dyDescent="0.35">
      <c r="A174" s="5" t="s">
        <v>84</v>
      </c>
      <c r="B174" s="196" t="s">
        <v>85</v>
      </c>
      <c r="C174" s="196"/>
      <c r="D174" s="196"/>
      <c r="E174" s="196"/>
      <c r="F174" s="196"/>
      <c r="G174" s="105"/>
      <c r="H174" s="196" t="s">
        <v>86</v>
      </c>
      <c r="I174" s="196"/>
      <c r="J174" s="196"/>
      <c r="K174" s="196"/>
    </row>
    <row r="175" spans="1:12" ht="18" x14ac:dyDescent="0.3">
      <c r="A175" s="5" t="s">
        <v>87</v>
      </c>
      <c r="B175" s="96" t="s">
        <v>46</v>
      </c>
      <c r="C175" s="16" t="s">
        <v>88</v>
      </c>
      <c r="D175" s="16" t="s">
        <v>36</v>
      </c>
      <c r="E175" s="16" t="s">
        <v>37</v>
      </c>
      <c r="F175" s="16" t="s">
        <v>89</v>
      </c>
      <c r="G175" s="105" t="s">
        <v>90</v>
      </c>
      <c r="H175" s="96" t="s">
        <v>46</v>
      </c>
      <c r="I175" s="16" t="s">
        <v>88</v>
      </c>
      <c r="J175" s="16" t="s">
        <v>36</v>
      </c>
      <c r="K175" s="16" t="s">
        <v>37</v>
      </c>
      <c r="L175" s="16" t="s">
        <v>89</v>
      </c>
    </row>
    <row r="176" spans="1:12" ht="15" thickBot="1" x14ac:dyDescent="0.35">
      <c r="B176" s="35">
        <f>298.15</f>
        <v>298.14999999999998</v>
      </c>
      <c r="C176" s="53">
        <f>3/2*$D$2*B176</f>
        <v>3718.4397401999995</v>
      </c>
      <c r="D176" s="53">
        <f>3/2*$D$2*B176</f>
        <v>3718.4397401999995</v>
      </c>
      <c r="E176" s="53" cm="1">
        <f t="array" ref="E176">$D$2*SUM( ($B$12:$B$17)/(EXP($B$12:$B$17/B176)-1) + 0.5*$B$12:$B$17)</f>
        <v>90359.939653909591</v>
      </c>
      <c r="F176" s="56">
        <v>0</v>
      </c>
      <c r="H176" s="35">
        <f>298.15</f>
        <v>298.14999999999998</v>
      </c>
      <c r="I176" s="106">
        <f>3/2*$D$2*H176 /4184</f>
        <v>0.8887284273900572</v>
      </c>
      <c r="J176" s="106">
        <f>3/2*$D$2*H176 / 4184</f>
        <v>0.8887284273900572</v>
      </c>
      <c r="K176" s="106" cm="1">
        <f t="array" ref="K176">$D$2*SUM( ($B$12:$B$17)/(EXP($B$12:$B$17/B176)-1) + 0.5*$B$12:$B$17) /4184</f>
        <v>21.596543894337856</v>
      </c>
      <c r="L176" s="107">
        <f xml:space="preserve"> F176/4184</f>
        <v>0</v>
      </c>
    </row>
    <row r="177" spans="2:14" x14ac:dyDescent="0.3">
      <c r="B177" s="35">
        <f>300+100</f>
        <v>400</v>
      </c>
      <c r="C177" s="53">
        <f t="shared" ref="C177:C194" si="26">3/2*$D$2*B177</f>
        <v>4988.6831999999995</v>
      </c>
      <c r="D177" s="53">
        <f t="shared" ref="D177:D194" si="27">3/2*$D$2*B177</f>
        <v>4988.6831999999995</v>
      </c>
      <c r="E177" s="53" cm="1">
        <f t="array" ref="E177">$D$2*SUM( ($B$12:$B$17)/(EXP($B$12:$B$17/B177)-1) + 0.5*$B$12:$B$17)</f>
        <v>90686.087597084465</v>
      </c>
      <c r="H177" s="35">
        <f>300+100</f>
        <v>400</v>
      </c>
      <c r="I177" s="53">
        <f t="shared" ref="I177:I194" si="28">3/2*$D$2*H177 /4184</f>
        <v>1.1923239005736137</v>
      </c>
      <c r="J177" s="53">
        <f>3/2*$D$2*H177 / 4184</f>
        <v>1.1923239005736137</v>
      </c>
      <c r="K177" s="53" cm="1">
        <f t="array" ref="K177">$D$2*SUM( ($B$12:$B$17)/(EXP($B$12:$B$17/B177)-1) + 0.5*$B$12:$B$17)/4184</f>
        <v>21.674495123586151</v>
      </c>
      <c r="M177" s="200" t="s">
        <v>91</v>
      </c>
      <c r="N177" s="200"/>
    </row>
    <row r="178" spans="2:14" ht="18.600000000000001" thickBot="1" x14ac:dyDescent="0.35">
      <c r="B178" s="35">
        <f t="shared" ref="B178:B194" si="29">B177+100</f>
        <v>500</v>
      </c>
      <c r="C178" s="53">
        <f t="shared" si="26"/>
        <v>6235.8539999999994</v>
      </c>
      <c r="D178" s="53">
        <f t="shared" si="27"/>
        <v>6235.8539999999994</v>
      </c>
      <c r="E178" s="53" cm="1">
        <f t="array" ref="E178">$D$2*SUM( ($B$12:$B$17)/(EXP($B$12:$B$17/B178)-1) + 0.5*$B$12:$B$17)</f>
        <v>91296.1490506517</v>
      </c>
      <c r="H178" s="35">
        <f t="shared" ref="H178:H194" si="30">H177+100</f>
        <v>500</v>
      </c>
      <c r="I178" s="53">
        <f t="shared" si="28"/>
        <v>1.490404875717017</v>
      </c>
      <c r="J178" s="53">
        <f t="shared" ref="J178:J194" si="31">3/2*$D$2*H178 / 4184</f>
        <v>1.490404875717017</v>
      </c>
      <c r="K178" s="53" cm="1">
        <f t="array" ref="K178">$D$2*SUM( ($B$12:$B$17)/(EXP($B$12:$B$17/B178)-1) + 0.5*$B$12:$B$17)/4184</f>
        <v>21.820303310385206</v>
      </c>
      <c r="M178" s="201" t="s">
        <v>92</v>
      </c>
      <c r="N178" s="201"/>
    </row>
    <row r="179" spans="2:14" x14ac:dyDescent="0.3">
      <c r="B179" s="35">
        <f t="shared" si="29"/>
        <v>600</v>
      </c>
      <c r="C179" s="53">
        <f t="shared" si="26"/>
        <v>7483.0248000000001</v>
      </c>
      <c r="D179" s="53">
        <f t="shared" si="27"/>
        <v>7483.0248000000001</v>
      </c>
      <c r="E179" s="53" cm="1">
        <f t="array" ref="E179">$D$2*SUM( ($B$12:$B$17)/(EXP($B$12:$B$17/B179)-1) + 0.5*$B$12:$B$17)</f>
        <v>92209.308808833754</v>
      </c>
      <c r="H179" s="35">
        <f t="shared" si="30"/>
        <v>600</v>
      </c>
      <c r="I179" s="53">
        <f t="shared" si="28"/>
        <v>1.7884858508604207</v>
      </c>
      <c r="J179" s="53">
        <f t="shared" si="31"/>
        <v>1.7884858508604207</v>
      </c>
      <c r="K179" s="53" cm="1">
        <f t="array" ref="K179">$D$2*SUM( ($B$12:$B$17)/(EXP($B$12:$B$17/B179)-1) + 0.5*$B$12:$B$17)/4184</f>
        <v>22.038553730600803</v>
      </c>
      <c r="M179" s="38"/>
      <c r="N179" s="4" t="s">
        <v>28</v>
      </c>
    </row>
    <row r="180" spans="2:14" x14ac:dyDescent="0.3">
      <c r="B180" s="35">
        <f t="shared" si="29"/>
        <v>700</v>
      </c>
      <c r="C180" s="53">
        <f t="shared" si="26"/>
        <v>8730.1955999999991</v>
      </c>
      <c r="D180" s="53">
        <f t="shared" si="27"/>
        <v>8730.1955999999991</v>
      </c>
      <c r="E180" s="53" cm="1">
        <f t="array" ref="E180">$D$2*SUM( ($B$12:$B$17)/(EXP($B$12:$B$17/B180)-1) + 0.5*$B$12:$B$17)</f>
        <v>93417.762173566618</v>
      </c>
      <c r="H180" s="35">
        <f t="shared" si="30"/>
        <v>700</v>
      </c>
      <c r="I180" s="53">
        <f t="shared" si="28"/>
        <v>2.0865668260038239</v>
      </c>
      <c r="J180" s="53">
        <f t="shared" si="31"/>
        <v>2.0865668260038239</v>
      </c>
      <c r="K180" s="53" cm="1">
        <f t="array" ref="K180">$D$2*SUM( ($B$12:$B$17)/(EXP($B$12:$B$17/B180)-1) + 0.5*$B$12:$B$17)/4184</f>
        <v>22.32738101662682</v>
      </c>
      <c r="M180" s="39"/>
      <c r="N180" s="41" t="s">
        <v>31</v>
      </c>
    </row>
    <row r="181" spans="2:14" x14ac:dyDescent="0.3">
      <c r="B181" s="35">
        <f t="shared" si="29"/>
        <v>800</v>
      </c>
      <c r="C181" s="53">
        <f t="shared" si="26"/>
        <v>9977.366399999999</v>
      </c>
      <c r="D181" s="53">
        <f t="shared" si="27"/>
        <v>9977.366399999999</v>
      </c>
      <c r="E181" s="53" cm="1">
        <f t="array" ref="E181">$D$2*SUM( ($B$12:$B$17)/(EXP($B$12:$B$17/B181)-1) + 0.5*$B$12:$B$17)</f>
        <v>94908.534274329664</v>
      </c>
      <c r="H181" s="35">
        <f t="shared" si="30"/>
        <v>800</v>
      </c>
      <c r="I181" s="53">
        <f t="shared" si="28"/>
        <v>2.3846478011472274</v>
      </c>
      <c r="J181" s="53">
        <f t="shared" si="31"/>
        <v>2.3846478011472274</v>
      </c>
      <c r="K181" s="53" cm="1">
        <f t="array" ref="K181">$D$2*SUM( ($B$12:$B$17)/(EXP($B$12:$B$17/B181)-1) + 0.5*$B$12:$B$17)/4184</f>
        <v>22.683684099983189</v>
      </c>
      <c r="M181" s="39" t="s">
        <v>33</v>
      </c>
      <c r="N181" s="41">
        <v>23.373999999999999</v>
      </c>
    </row>
    <row r="182" spans="2:14" x14ac:dyDescent="0.3">
      <c r="B182" s="35">
        <f t="shared" si="29"/>
        <v>900</v>
      </c>
      <c r="C182" s="53">
        <f t="shared" si="26"/>
        <v>11224.537199999999</v>
      </c>
      <c r="D182" s="53">
        <f t="shared" si="27"/>
        <v>11224.537199999999</v>
      </c>
      <c r="E182" s="53" cm="1">
        <f t="array" ref="E182">$D$2*SUM( ($B$12:$B$17)/(EXP($B$12:$B$17/B182)-1) + 0.5*$B$12:$B$17)</f>
        <v>96668.411926388915</v>
      </c>
      <c r="H182" s="35">
        <f t="shared" si="30"/>
        <v>900</v>
      </c>
      <c r="I182" s="53">
        <f t="shared" si="28"/>
        <v>2.6827287762906309</v>
      </c>
      <c r="J182" s="53">
        <f t="shared" si="31"/>
        <v>2.6827287762906309</v>
      </c>
      <c r="K182" s="53" cm="1">
        <f t="array" ref="K182">$D$2*SUM( ($B$12:$B$17)/(EXP($B$12:$B$17/B182)-1) + 0.5*$B$12:$B$17)/4184</f>
        <v>23.10430495372584</v>
      </c>
      <c r="M182" s="39" t="s">
        <v>34</v>
      </c>
      <c r="N182" s="41">
        <v>0</v>
      </c>
    </row>
    <row r="183" spans="2:14" x14ac:dyDescent="0.3">
      <c r="B183" s="35">
        <f t="shared" si="29"/>
        <v>1000</v>
      </c>
      <c r="C183" s="53">
        <f t="shared" si="26"/>
        <v>12471.707999999999</v>
      </c>
      <c r="D183" s="53">
        <f t="shared" si="27"/>
        <v>12471.707999999999</v>
      </c>
      <c r="E183" s="53" cm="1">
        <f t="array" ref="E183">$D$2*SUM( ($B$12:$B$17)/(EXP($B$12:$B$17/B183)-1) + 0.5*$B$12:$B$17)</f>
        <v>98683.680798517933</v>
      </c>
      <c r="H183" s="35">
        <f t="shared" si="30"/>
        <v>1000</v>
      </c>
      <c r="I183" s="53">
        <f t="shared" si="28"/>
        <v>2.9808097514340339</v>
      </c>
      <c r="J183" s="53">
        <f t="shared" si="31"/>
        <v>2.9808097514340339</v>
      </c>
      <c r="K183" s="53" cm="1">
        <f t="array" ref="K183">$D$2*SUM( ($B$12:$B$17)/(EXP($B$12:$B$17/B183)-1) + 0.5*$B$12:$B$17)/4184</f>
        <v>23.585965774024363</v>
      </c>
      <c r="M183" s="39" t="s">
        <v>35</v>
      </c>
      <c r="N183" s="41">
        <v>0.88900000000000001</v>
      </c>
    </row>
    <row r="184" spans="2:14" x14ac:dyDescent="0.3">
      <c r="B184" s="35">
        <f t="shared" si="29"/>
        <v>1100</v>
      </c>
      <c r="C184" s="53">
        <f t="shared" si="26"/>
        <v>13718.8788</v>
      </c>
      <c r="D184" s="53">
        <f t="shared" si="27"/>
        <v>13718.8788</v>
      </c>
      <c r="E184" s="53" cm="1">
        <f t="array" ref="E184">$D$2*SUM( ($B$12:$B$17)/(EXP($B$12:$B$17/B184)-1) + 0.5*$B$12:$B$17)</f>
        <v>100939.38658090727</v>
      </c>
      <c r="H184" s="35">
        <f t="shared" si="30"/>
        <v>1100</v>
      </c>
      <c r="I184" s="53">
        <f t="shared" si="28"/>
        <v>3.2788907265774379</v>
      </c>
      <c r="J184" s="53">
        <f t="shared" si="31"/>
        <v>3.2788907265774379</v>
      </c>
      <c r="K184" s="53" cm="1">
        <f t="array" ref="K184">$D$2*SUM( ($B$12:$B$17)/(EXP($B$12:$B$17/B184)-1) + 0.5*$B$12:$B$17)/4184</f>
        <v>24.12509239505432</v>
      </c>
      <c r="M184" s="39" t="s">
        <v>36</v>
      </c>
      <c r="N184" s="41">
        <v>0.88900000000000001</v>
      </c>
    </row>
    <row r="185" spans="2:14" ht="15" thickBot="1" x14ac:dyDescent="0.35">
      <c r="B185" s="35">
        <f t="shared" si="29"/>
        <v>1200</v>
      </c>
      <c r="C185" s="53">
        <f t="shared" si="26"/>
        <v>14966.0496</v>
      </c>
      <c r="D185" s="53">
        <f t="shared" si="27"/>
        <v>14966.0496</v>
      </c>
      <c r="E185" s="53" cm="1">
        <f t="array" ref="E185">$D$2*SUM( ($B$12:$B$17)/(EXP($B$12:$B$17/B185)-1) + 0.5*$B$12:$B$17)</f>
        <v>103419.29062532354</v>
      </c>
      <c r="H185" s="35">
        <f t="shared" si="30"/>
        <v>1200</v>
      </c>
      <c r="I185" s="53">
        <f t="shared" si="28"/>
        <v>3.5769717017208413</v>
      </c>
      <c r="J185" s="53">
        <f t="shared" si="31"/>
        <v>3.5769717017208413</v>
      </c>
      <c r="K185" s="53" cm="1">
        <f t="array" ref="K185">$D$2*SUM( ($B$12:$B$17)/(EXP($B$12:$B$17/B185)-1) + 0.5*$B$12:$B$17)/4184</f>
        <v>24.717803686740808</v>
      </c>
      <c r="M185" s="43" t="s">
        <v>37</v>
      </c>
      <c r="N185" s="45">
        <v>21.597000000000001</v>
      </c>
    </row>
    <row r="186" spans="2:14" x14ac:dyDescent="0.3">
      <c r="B186" s="35">
        <f t="shared" si="29"/>
        <v>1300</v>
      </c>
      <c r="C186" s="53">
        <f t="shared" si="26"/>
        <v>16213.2204</v>
      </c>
      <c r="D186" s="53">
        <f t="shared" si="27"/>
        <v>16213.2204</v>
      </c>
      <c r="E186" s="53" cm="1">
        <f t="array" ref="E186">$D$2*SUM( ($B$12:$B$17)/(EXP($B$12:$B$17/B186)-1) + 0.5*$B$12:$B$17)</f>
        <v>106106.34608077294</v>
      </c>
      <c r="H186" s="35">
        <f t="shared" si="30"/>
        <v>1300</v>
      </c>
      <c r="I186" s="53">
        <f t="shared" si="28"/>
        <v>3.8750526768642448</v>
      </c>
      <c r="J186" s="53">
        <f t="shared" si="31"/>
        <v>3.8750526768642448</v>
      </c>
      <c r="K186" s="53" cm="1">
        <f t="array" ref="K186">$D$2*SUM( ($B$12:$B$17)/(EXP($B$12:$B$17/B186)-1) + 0.5*$B$12:$B$17)/4184</f>
        <v>25.360025353913226</v>
      </c>
      <c r="N186" s="46"/>
    </row>
    <row r="187" spans="2:14" x14ac:dyDescent="0.3">
      <c r="B187" s="35">
        <f t="shared" si="29"/>
        <v>1400</v>
      </c>
      <c r="C187" s="53">
        <f t="shared" si="26"/>
        <v>17460.391199999998</v>
      </c>
      <c r="D187" s="53">
        <f t="shared" si="27"/>
        <v>17460.391199999998</v>
      </c>
      <c r="E187" s="53" cm="1">
        <f t="array" ref="E187">$D$2*SUM( ($B$12:$B$17)/(EXP($B$12:$B$17/B187)-1) + 0.5*$B$12:$B$17)</f>
        <v>108983.33456891922</v>
      </c>
      <c r="H187" s="35">
        <f t="shared" si="30"/>
        <v>1400</v>
      </c>
      <c r="I187" s="53">
        <f t="shared" si="28"/>
        <v>4.1731336520076479</v>
      </c>
      <c r="J187" s="53">
        <f t="shared" si="31"/>
        <v>4.1731336520076479</v>
      </c>
      <c r="K187" s="53" cm="1">
        <f t="array" ref="K187">$D$2*SUM( ($B$12:$B$17)/(EXP($B$12:$B$17/B187)-1) + 0.5*$B$12:$B$17)/4184</f>
        <v>26.047642105382224</v>
      </c>
    </row>
    <row r="188" spans="2:14" ht="15" thickBot="1" x14ac:dyDescent="0.35">
      <c r="B188" s="35">
        <f t="shared" si="29"/>
        <v>1500</v>
      </c>
      <c r="C188" s="53">
        <f t="shared" si="26"/>
        <v>18707.561999999998</v>
      </c>
      <c r="D188" s="53">
        <f t="shared" si="27"/>
        <v>18707.561999999998</v>
      </c>
      <c r="E188" s="53" cm="1">
        <f t="array" ref="E188">$D$2*SUM( ($B$12:$B$17)/(EXP($B$12:$B$17/B188)-1) + 0.5*$B$12:$B$17)</f>
        <v>112033.43731835653</v>
      </c>
      <c r="H188" s="35">
        <f t="shared" si="30"/>
        <v>1500</v>
      </c>
      <c r="I188" s="53">
        <f t="shared" si="28"/>
        <v>4.4712146271510509</v>
      </c>
      <c r="J188" s="53">
        <f t="shared" si="31"/>
        <v>4.4712146271510509</v>
      </c>
      <c r="K188" s="53" cm="1">
        <f t="array" ref="K188">$D$2*SUM( ($B$12:$B$17)/(EXP($B$12:$B$17/B188)-1) + 0.5*$B$12:$B$17)/4184</f>
        <v>26.776634158307012</v>
      </c>
    </row>
    <row r="189" spans="2:14" ht="15" thickBot="1" x14ac:dyDescent="0.35">
      <c r="B189" s="35">
        <f t="shared" si="29"/>
        <v>1600</v>
      </c>
      <c r="C189" s="53">
        <f t="shared" si="26"/>
        <v>19954.732799999998</v>
      </c>
      <c r="D189" s="53">
        <f t="shared" si="27"/>
        <v>19954.732799999998</v>
      </c>
      <c r="E189" s="53" cm="1">
        <f t="array" ref="E189">$D$2*SUM( ($B$12:$B$17)/(EXP($B$12:$B$17/B189)-1) + 0.5*$B$12:$B$17)</f>
        <v>115240.65386769488</v>
      </c>
      <c r="H189" s="35">
        <f t="shared" si="30"/>
        <v>1600</v>
      </c>
      <c r="I189" s="53">
        <f t="shared" si="28"/>
        <v>4.7692956022944548</v>
      </c>
      <c r="J189" s="53">
        <f t="shared" si="31"/>
        <v>4.7692956022944548</v>
      </c>
      <c r="K189" s="53" cm="1">
        <f t="array" ref="K189">$D$2*SUM( ($B$12:$B$17)/(EXP($B$12:$B$17/B189)-1) + 0.5*$B$12:$B$17)/4184</f>
        <v>27.543177310634533</v>
      </c>
      <c r="M189" s="30" t="s">
        <v>93</v>
      </c>
      <c r="N189" s="108">
        <f>SUM(I176:L176)</f>
        <v>23.374000749117972</v>
      </c>
    </row>
    <row r="190" spans="2:14" x14ac:dyDescent="0.3">
      <c r="B190" s="35">
        <f t="shared" si="29"/>
        <v>1700</v>
      </c>
      <c r="C190" s="53">
        <f t="shared" si="26"/>
        <v>21201.903599999998</v>
      </c>
      <c r="D190" s="53">
        <f t="shared" si="27"/>
        <v>21201.903599999998</v>
      </c>
      <c r="E190" s="53" cm="1">
        <f t="array" ref="E190">$D$2*SUM( ($B$12:$B$17)/(EXP($B$12:$B$17/B190)-1) + 0.5*$B$12:$B$17)</f>
        <v>118590.06232460223</v>
      </c>
      <c r="H190" s="35">
        <f t="shared" si="30"/>
        <v>1700</v>
      </c>
      <c r="I190" s="53">
        <f t="shared" si="28"/>
        <v>5.0673765774378579</v>
      </c>
      <c r="J190" s="53">
        <f t="shared" si="31"/>
        <v>5.0673765774378579</v>
      </c>
      <c r="K190" s="53" cm="1">
        <f t="array" ref="K190">$D$2*SUM( ($B$12:$B$17)/(EXP($B$12:$B$17/B190)-1) + 0.5*$B$12:$B$17)/4184</f>
        <v>28.343705144503399</v>
      </c>
    </row>
    <row r="191" spans="2:14" x14ac:dyDescent="0.3">
      <c r="B191" s="35">
        <f t="shared" si="29"/>
        <v>1800</v>
      </c>
      <c r="C191" s="53">
        <f t="shared" si="26"/>
        <v>22449.074399999998</v>
      </c>
      <c r="D191" s="53">
        <f t="shared" si="27"/>
        <v>22449.074399999998</v>
      </c>
      <c r="E191" s="53" cm="1">
        <f t="array" ref="E191">$D$2*SUM( ($B$12:$B$17)/(EXP($B$12:$B$17/B191)-1) + 0.5*$B$12:$B$17)</f>
        <v>122067.94901458602</v>
      </c>
      <c r="H191" s="35">
        <f t="shared" si="30"/>
        <v>1800</v>
      </c>
      <c r="I191" s="53">
        <f t="shared" si="28"/>
        <v>5.3654575525812618</v>
      </c>
      <c r="J191" s="53">
        <f t="shared" si="31"/>
        <v>5.3654575525812618</v>
      </c>
      <c r="K191" s="53" cm="1">
        <f t="array" ref="K191">$D$2*SUM( ($B$12:$B$17)/(EXP($B$12:$B$17/B191)-1) + 0.5*$B$12:$B$17)/4184</f>
        <v>29.174940013046371</v>
      </c>
    </row>
    <row r="192" spans="2:14" x14ac:dyDescent="0.3">
      <c r="B192" s="35">
        <f t="shared" si="29"/>
        <v>1900</v>
      </c>
      <c r="C192" s="53">
        <f t="shared" si="26"/>
        <v>23696.245199999998</v>
      </c>
      <c r="D192" s="53">
        <f t="shared" si="27"/>
        <v>23696.245199999998</v>
      </c>
      <c r="E192" s="53" cm="1">
        <f t="array" ref="E192">$D$2*SUM( ($B$12:$B$17)/(EXP($B$12:$B$17/B192)-1) + 0.5*$B$12:$B$17)</f>
        <v>125661.8431238218</v>
      </c>
      <c r="H192" s="35">
        <f t="shared" si="30"/>
        <v>1900</v>
      </c>
      <c r="I192" s="53">
        <f t="shared" si="28"/>
        <v>5.6635385277246648</v>
      </c>
      <c r="J192" s="53">
        <f t="shared" si="31"/>
        <v>5.6635385277246648</v>
      </c>
      <c r="K192" s="53" cm="1">
        <f t="array" ref="K192">$D$2*SUM( ($B$12:$B$17)/(EXP($B$12:$B$17/B192)-1) + 0.5*$B$12:$B$17)/4184</f>
        <v>30.033901320225098</v>
      </c>
    </row>
    <row r="193" spans="1:15" x14ac:dyDescent="0.3">
      <c r="B193" s="35">
        <f t="shared" si="29"/>
        <v>2000</v>
      </c>
      <c r="C193" s="53">
        <f t="shared" si="26"/>
        <v>24943.415999999997</v>
      </c>
      <c r="D193" s="53">
        <f t="shared" si="27"/>
        <v>24943.415999999997</v>
      </c>
      <c r="E193" s="53" cm="1">
        <f t="array" ref="E193">$D$2*SUM( ($B$12:$B$17)/(EXP($B$12:$B$17/B193)-1) + 0.5*$B$12:$B$17)</f>
        <v>129360.4883249634</v>
      </c>
      <c r="H193" s="35">
        <f t="shared" si="30"/>
        <v>2000</v>
      </c>
      <c r="I193" s="53">
        <f t="shared" si="28"/>
        <v>5.9616195028680679</v>
      </c>
      <c r="J193" s="53">
        <f t="shared" si="31"/>
        <v>5.9616195028680679</v>
      </c>
      <c r="K193" s="53" cm="1">
        <f t="array" ref="K193">$D$2*SUM( ($B$12:$B$17)/(EXP($B$12:$B$17/B193)-1) + 0.5*$B$12:$B$17)/4184</f>
        <v>30.917898739235994</v>
      </c>
    </row>
    <row r="194" spans="1:15" ht="15" thickBot="1" x14ac:dyDescent="0.35">
      <c r="B194" s="26">
        <f t="shared" si="29"/>
        <v>2100</v>
      </c>
      <c r="C194" s="56">
        <f t="shared" si="26"/>
        <v>26190.586799999997</v>
      </c>
      <c r="D194" s="56">
        <f t="shared" si="27"/>
        <v>26190.586799999997</v>
      </c>
      <c r="E194" s="56" cm="1">
        <f t="array" ref="E194">$D$2*SUM( ($B$12:$B$17)/(EXP($B$12:$B$17/B194)-1) + 0.5*$B$12:$B$17)</f>
        <v>133153.77626000775</v>
      </c>
      <c r="F194" s="51"/>
      <c r="H194" s="26">
        <f t="shared" si="30"/>
        <v>2100</v>
      </c>
      <c r="I194" s="56">
        <f t="shared" si="28"/>
        <v>6.2597004780114718</v>
      </c>
      <c r="J194" s="56">
        <f t="shared" si="31"/>
        <v>6.2597004780114718</v>
      </c>
      <c r="K194" s="56" cm="1">
        <f t="array" ref="K194">$D$2*SUM( ($B$12:$B$17)/(EXP($B$12:$B$17/B194)-1) + 0.5*$B$12:$B$17)/4184</f>
        <v>31.824516314533401</v>
      </c>
      <c r="L194" s="51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0" t="s">
        <v>94</v>
      </c>
    </row>
    <row r="198" spans="1:15" ht="16.8" thickBot="1" x14ac:dyDescent="0.35">
      <c r="B198" s="109" t="s">
        <v>95</v>
      </c>
      <c r="C198" s="32">
        <f xml:space="preserve"> ($C$2*$C$2) /(8*$B$2*$B$2*$A$2*$H$198)</f>
        <v>1.8759823460194931</v>
      </c>
      <c r="F198" s="35"/>
      <c r="H198" s="51">
        <f>SQRT(E6*E6+F6*F6+G6*G6)</f>
        <v>2.1469709201799501E-46</v>
      </c>
      <c r="I198" s="36" t="s">
        <v>96</v>
      </c>
      <c r="K198" s="25">
        <v>1.18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97</v>
      </c>
      <c r="B200" s="196" t="s">
        <v>98</v>
      </c>
      <c r="C200" s="196"/>
      <c r="D200" s="196"/>
      <c r="E200" s="196"/>
      <c r="F200" s="196"/>
      <c r="H200" s="196" t="s">
        <v>99</v>
      </c>
      <c r="I200" s="196"/>
      <c r="J200" s="196"/>
      <c r="K200" s="196"/>
      <c r="L200" s="196"/>
    </row>
    <row r="201" spans="1:15" ht="18" x14ac:dyDescent="0.3">
      <c r="A201" s="5" t="s">
        <v>98</v>
      </c>
      <c r="B201" s="95" t="s">
        <v>46</v>
      </c>
      <c r="C201" s="16" t="s">
        <v>100</v>
      </c>
      <c r="D201" s="16" t="s">
        <v>88</v>
      </c>
      <c r="E201" s="16" t="s">
        <v>36</v>
      </c>
      <c r="F201" s="16" t="s">
        <v>37</v>
      </c>
      <c r="G201" s="16" t="s">
        <v>89</v>
      </c>
      <c r="H201" s="95" t="s">
        <v>46</v>
      </c>
      <c r="I201" s="16" t="s">
        <v>88</v>
      </c>
      <c r="J201" s="16" t="s">
        <v>36</v>
      </c>
      <c r="K201" s="16" t="s">
        <v>37</v>
      </c>
      <c r="L201" s="16" t="s">
        <v>89</v>
      </c>
      <c r="O201" s="80"/>
    </row>
    <row r="202" spans="1:15" ht="15" thickBot="1" x14ac:dyDescent="0.35">
      <c r="B202" s="35">
        <f>298.15</f>
        <v>298.14999999999998</v>
      </c>
      <c r="C202" s="53">
        <f>($A$2*B202)/$J$2</f>
        <v>4.062431680236861E-26</v>
      </c>
      <c r="D202" s="111">
        <f xml:space="preserve"> $D$2 *( 5/2  +   LN(  ((2*$B$2*$E$2*$A$2*B202)/($C$2*$C$2) )^1.5  * ($D$2*B202 )/($F$2*$J$2)  ) )</f>
        <v>144.09597466713683</v>
      </c>
      <c r="E202" s="53">
        <f>$D$2 *LN( (EXP(1)*B202) / ($B$6 * $C$198))</f>
        <v>50.456076301368419</v>
      </c>
      <c r="F202" s="53">
        <f>0</f>
        <v>0</v>
      </c>
      <c r="G202" s="56">
        <v>0</v>
      </c>
      <c r="H202" s="35">
        <f>298.15</f>
        <v>298.14999999999998</v>
      </c>
      <c r="I202" s="106">
        <f xml:space="preserve"> $D$2 *( 5/2  +   LN(  ((2*$B$2*$E$2*$A$2*B202)/($C$2*$C$2) )^1.5  * ($D$2*B202 )/($F$2*$J$2)  ) ) / 4.184</f>
        <v>34.439764499793696</v>
      </c>
      <c r="J202" s="106">
        <f>$D$2 *LN( (EXP(1)*B202) / ($B$6 * $C$198)) /4.184</f>
        <v>12.059291659026869</v>
      </c>
      <c r="K202" s="106">
        <f>F202</f>
        <v>0</v>
      </c>
      <c r="L202" s="112">
        <v>0</v>
      </c>
      <c r="O202" s="80"/>
    </row>
    <row r="203" spans="1:15" x14ac:dyDescent="0.3">
      <c r="B203" s="35">
        <f>300+100</f>
        <v>400</v>
      </c>
      <c r="C203" s="53">
        <f t="shared" ref="C203:C220" si="32">($A$2*B203)/$J$2</f>
        <v>5.4501850481125095E-26</v>
      </c>
      <c r="D203" s="111">
        <f t="shared" ref="D203:D220" si="33" xml:space="preserve"> $D$2 *( 5/2  +   LN(  ((2*$B$2*$E$2*$A$2*B203)/($C$2*$C$2) )^1.5  * ($D$2*B203 )/($F$2*$J$2)  ) )</f>
        <v>150.20436430971336</v>
      </c>
      <c r="E203" s="53">
        <f t="shared" ref="E203:E220" si="34">$D$2 *LN( (EXP(1)*B203) / ($B$6 * $C$198))</f>
        <v>52.899432158399044</v>
      </c>
      <c r="F203" s="53">
        <f>0</f>
        <v>0</v>
      </c>
      <c r="H203" s="35">
        <f>300+100</f>
        <v>400</v>
      </c>
      <c r="I203" s="111">
        <f xml:space="preserve"> $D$2 *( 5/2  +   LN(  ((2*$B$2*$E$2*$A$2*B203)/($C$2*$C$2) )^1.5  * ($D$2*B203 )/($F$2*$J$2)  ) )/ 4.184</f>
        <v>35.899704662933402</v>
      </c>
      <c r="J203" s="53">
        <f>$D$2 *LN( (EXP(1)*B203) / ($B$6 * $C$198)) / 4.184</f>
        <v>12.643267724282754</v>
      </c>
      <c r="K203" s="53">
        <f>F203</f>
        <v>0</v>
      </c>
      <c r="O203" s="46"/>
    </row>
    <row r="204" spans="1:15" ht="18" x14ac:dyDescent="0.3">
      <c r="B204" s="35">
        <f t="shared" ref="B204:B220" si="35">B203+100</f>
        <v>500</v>
      </c>
      <c r="C204" s="53">
        <f t="shared" si="32"/>
        <v>6.8127313101406362E-26</v>
      </c>
      <c r="D204" s="111">
        <f t="shared" si="33"/>
        <v>154.84266633316972</v>
      </c>
      <c r="E204" s="53">
        <f t="shared" si="34"/>
        <v>54.754752967781613</v>
      </c>
      <c r="F204" s="53">
        <f>0</f>
        <v>0</v>
      </c>
      <c r="H204" s="35">
        <f t="shared" ref="H204:H220" si="36">H203+100</f>
        <v>500</v>
      </c>
      <c r="I204" s="111">
        <f t="shared" ref="I204:I220" si="37" xml:space="preserve"> $D$2 *( 5/2  +   LN(  ((2*$B$2*$E$2*$A$2*B204)/($C$2*$C$2) )^1.5  * ($D$2*B204 )/($F$2*$J$2)  ) )/ 4.184</f>
        <v>37.008285452478418</v>
      </c>
      <c r="J204" s="53">
        <f t="shared" ref="J204:J220" si="38">$D$2 *LN( (EXP(1)*B204) / ($B$6 * $C$198)) / 4.184</f>
        <v>13.086700040100768</v>
      </c>
      <c r="K204" s="53">
        <f t="shared" ref="K204:K220" si="39">F204</f>
        <v>0</v>
      </c>
      <c r="M204" s="202"/>
      <c r="N204" s="202"/>
      <c r="O204" s="46"/>
    </row>
    <row r="205" spans="1:15" ht="18.600000000000001" thickBot="1" x14ac:dyDescent="0.35">
      <c r="B205" s="35">
        <f t="shared" si="35"/>
        <v>600</v>
      </c>
      <c r="C205" s="53">
        <f t="shared" si="32"/>
        <v>8.175277572168763E-26</v>
      </c>
      <c r="D205" s="111">
        <f t="shared" si="33"/>
        <v>158.63243503056921</v>
      </c>
      <c r="E205" s="53">
        <f t="shared" si="34"/>
        <v>56.270660446741353</v>
      </c>
      <c r="F205" s="53">
        <f>0</f>
        <v>0</v>
      </c>
      <c r="H205" s="35">
        <f t="shared" si="36"/>
        <v>600</v>
      </c>
      <c r="I205" s="111">
        <f t="shared" si="37"/>
        <v>37.914061909791876</v>
      </c>
      <c r="J205" s="53">
        <f t="shared" si="38"/>
        <v>13.449010623026135</v>
      </c>
      <c r="K205" s="53">
        <f t="shared" si="39"/>
        <v>0</v>
      </c>
      <c r="M205" s="202" t="s">
        <v>92</v>
      </c>
      <c r="N205" s="202"/>
      <c r="O205" s="46"/>
    </row>
    <row r="206" spans="1:15" x14ac:dyDescent="0.3">
      <c r="B206" s="35">
        <f t="shared" si="35"/>
        <v>700</v>
      </c>
      <c r="C206" s="53">
        <f t="shared" si="32"/>
        <v>9.5378238341968898E-26</v>
      </c>
      <c r="D206" s="111">
        <f t="shared" si="33"/>
        <v>161.83663880858086</v>
      </c>
      <c r="E206" s="53">
        <f t="shared" si="34"/>
        <v>57.552341957946055</v>
      </c>
      <c r="F206" s="53">
        <f>0</f>
        <v>0</v>
      </c>
      <c r="H206" s="35">
        <f t="shared" si="36"/>
        <v>700</v>
      </c>
      <c r="I206" s="111">
        <f t="shared" si="37"/>
        <v>38.679884992490642</v>
      </c>
      <c r="J206" s="53">
        <f t="shared" si="38"/>
        <v>13.755339856105653</v>
      </c>
      <c r="K206" s="53">
        <f t="shared" si="39"/>
        <v>0</v>
      </c>
      <c r="M206" s="38"/>
      <c r="N206" s="4" t="s">
        <v>30</v>
      </c>
      <c r="O206" s="46"/>
    </row>
    <row r="207" spans="1:15" x14ac:dyDescent="0.3">
      <c r="B207" s="35">
        <f t="shared" si="35"/>
        <v>800</v>
      </c>
      <c r="C207" s="53">
        <f t="shared" si="32"/>
        <v>1.0900370096225019E-25</v>
      </c>
      <c r="D207" s="111">
        <f t="shared" si="33"/>
        <v>164.61224637132494</v>
      </c>
      <c r="E207" s="53">
        <f t="shared" si="34"/>
        <v>58.662584983043658</v>
      </c>
      <c r="F207" s="53">
        <f>0</f>
        <v>0</v>
      </c>
      <c r="H207" s="35">
        <f t="shared" si="36"/>
        <v>800</v>
      </c>
      <c r="I207" s="111">
        <f t="shared" si="37"/>
        <v>39.343271121253572</v>
      </c>
      <c r="J207" s="53">
        <f t="shared" si="38"/>
        <v>14.020694307610816</v>
      </c>
      <c r="K207" s="53">
        <f t="shared" si="39"/>
        <v>0</v>
      </c>
      <c r="M207" s="39"/>
      <c r="N207" s="41" t="s">
        <v>32</v>
      </c>
      <c r="O207" s="46"/>
    </row>
    <row r="208" spans="1:15" x14ac:dyDescent="0.3">
      <c r="B208" s="35">
        <f t="shared" si="35"/>
        <v>900</v>
      </c>
      <c r="C208" s="53">
        <f t="shared" si="32"/>
        <v>1.2262916358253145E-25</v>
      </c>
      <c r="D208" s="111">
        <f t="shared" si="33"/>
        <v>167.06050575142493</v>
      </c>
      <c r="E208" s="53">
        <f t="shared" si="34"/>
        <v>59.641888735083661</v>
      </c>
      <c r="F208" s="53">
        <f>0</f>
        <v>0</v>
      </c>
      <c r="H208" s="35">
        <f t="shared" si="36"/>
        <v>900</v>
      </c>
      <c r="I208" s="111">
        <f t="shared" si="37"/>
        <v>39.928419156650314</v>
      </c>
      <c r="J208" s="53">
        <f t="shared" si="38"/>
        <v>14.254753521769517</v>
      </c>
      <c r="K208" s="53">
        <f t="shared" si="39"/>
        <v>0</v>
      </c>
      <c r="M208" s="39" t="s">
        <v>33</v>
      </c>
      <c r="N208" s="41">
        <v>48.177999999999997</v>
      </c>
    </row>
    <row r="209" spans="1:14" x14ac:dyDescent="0.3">
      <c r="B209" s="35">
        <f t="shared" si="35"/>
        <v>1000</v>
      </c>
      <c r="C209" s="53">
        <f t="shared" si="32"/>
        <v>1.3625462620281272E-25</v>
      </c>
      <c r="D209" s="111">
        <f t="shared" si="33"/>
        <v>169.25054839478125</v>
      </c>
      <c r="E209" s="53">
        <f t="shared" si="34"/>
        <v>60.51790579242622</v>
      </c>
      <c r="F209" s="53">
        <f>0</f>
        <v>0</v>
      </c>
      <c r="H209" s="35">
        <f t="shared" si="36"/>
        <v>1000</v>
      </c>
      <c r="I209" s="111">
        <f t="shared" si="37"/>
        <v>40.451851910798574</v>
      </c>
      <c r="J209" s="53">
        <f t="shared" si="38"/>
        <v>14.464126623428829</v>
      </c>
      <c r="K209" s="53">
        <f t="shared" si="39"/>
        <v>0</v>
      </c>
      <c r="M209" s="39" t="s">
        <v>34</v>
      </c>
      <c r="N209" s="41">
        <v>0</v>
      </c>
    </row>
    <row r="210" spans="1:14" x14ac:dyDescent="0.3">
      <c r="B210" s="35">
        <f t="shared" si="35"/>
        <v>1100</v>
      </c>
      <c r="C210" s="53">
        <f t="shared" si="32"/>
        <v>1.4988008882309398E-25</v>
      </c>
      <c r="D210" s="111">
        <f t="shared" si="33"/>
        <v>171.23168294802636</v>
      </c>
      <c r="E210" s="53">
        <f t="shared" si="34"/>
        <v>61.310359613724238</v>
      </c>
      <c r="F210" s="53">
        <f>0</f>
        <v>0</v>
      </c>
      <c r="H210" s="35">
        <f t="shared" si="36"/>
        <v>1100</v>
      </c>
      <c r="I210" s="111">
        <f t="shared" si="37"/>
        <v>40.925354433084692</v>
      </c>
      <c r="J210" s="53">
        <f t="shared" si="38"/>
        <v>14.653527632343268</v>
      </c>
      <c r="K210" s="53">
        <f t="shared" si="39"/>
        <v>0</v>
      </c>
      <c r="M210" s="39" t="s">
        <v>35</v>
      </c>
      <c r="N210" s="41">
        <v>34.441000000000003</v>
      </c>
    </row>
    <row r="211" spans="1:14" x14ac:dyDescent="0.3">
      <c r="A211" s="51"/>
      <c r="B211" s="35">
        <f t="shared" si="35"/>
        <v>1200</v>
      </c>
      <c r="C211" s="53">
        <f t="shared" si="32"/>
        <v>1.6350555144337526E-25</v>
      </c>
      <c r="D211" s="111">
        <f t="shared" si="33"/>
        <v>173.04031709218063</v>
      </c>
      <c r="E211" s="53">
        <f t="shared" si="34"/>
        <v>62.033813271385966</v>
      </c>
      <c r="F211" s="53">
        <f>0</f>
        <v>0</v>
      </c>
      <c r="H211" s="35">
        <f t="shared" si="36"/>
        <v>1200</v>
      </c>
      <c r="I211" s="111">
        <f t="shared" si="37"/>
        <v>41.357628368112003</v>
      </c>
      <c r="J211" s="53">
        <f t="shared" si="38"/>
        <v>14.826437206354198</v>
      </c>
      <c r="K211" s="53">
        <f t="shared" si="39"/>
        <v>0</v>
      </c>
      <c r="M211" s="39" t="s">
        <v>36</v>
      </c>
      <c r="N211" s="41">
        <v>13.632</v>
      </c>
    </row>
    <row r="212" spans="1:14" ht="15" thickBot="1" x14ac:dyDescent="0.35">
      <c r="B212" s="35">
        <f t="shared" si="35"/>
        <v>1300</v>
      </c>
      <c r="C212" s="53">
        <f t="shared" si="32"/>
        <v>1.7713101406365654E-25</v>
      </c>
      <c r="D212" s="111">
        <f t="shared" si="33"/>
        <v>174.70409922157029</v>
      </c>
      <c r="E212" s="53">
        <f t="shared" si="34"/>
        <v>62.699326123141766</v>
      </c>
      <c r="F212" s="53">
        <f>0</f>
        <v>0</v>
      </c>
      <c r="H212" s="35">
        <f t="shared" si="36"/>
        <v>1300</v>
      </c>
      <c r="I212" s="111">
        <f t="shared" si="37"/>
        <v>41.755281840719476</v>
      </c>
      <c r="J212" s="53">
        <f t="shared" si="38"/>
        <v>14.985498595397171</v>
      </c>
      <c r="K212" s="53">
        <f t="shared" si="39"/>
        <v>0</v>
      </c>
      <c r="M212" s="43" t="s">
        <v>37</v>
      </c>
      <c r="N212" s="45">
        <v>0.105</v>
      </c>
    </row>
    <row r="213" spans="1:14" x14ac:dyDescent="0.3">
      <c r="B213" s="35">
        <f t="shared" si="35"/>
        <v>1400</v>
      </c>
      <c r="C213" s="53">
        <f t="shared" si="32"/>
        <v>1.907564766839378E-25</v>
      </c>
      <c r="D213" s="111">
        <f t="shared" si="33"/>
        <v>176.24452087019239</v>
      </c>
      <c r="E213" s="53">
        <f t="shared" si="34"/>
        <v>63.315494782590669</v>
      </c>
      <c r="F213" s="53">
        <f>0</f>
        <v>0</v>
      </c>
      <c r="H213" s="35">
        <f t="shared" si="36"/>
        <v>1400</v>
      </c>
      <c r="I213" s="111">
        <f t="shared" si="37"/>
        <v>42.123451450810798</v>
      </c>
      <c r="J213" s="53">
        <f t="shared" si="38"/>
        <v>15.132766439433716</v>
      </c>
      <c r="K213" s="53">
        <f t="shared" si="39"/>
        <v>0</v>
      </c>
    </row>
    <row r="214" spans="1:14" ht="15" thickBot="1" x14ac:dyDescent="0.35">
      <c r="B214" s="35">
        <f t="shared" si="35"/>
        <v>1500</v>
      </c>
      <c r="C214" s="53">
        <f t="shared" si="32"/>
        <v>2.0438193930421908E-25</v>
      </c>
      <c r="D214" s="111">
        <f t="shared" si="33"/>
        <v>177.67861911563708</v>
      </c>
      <c r="E214" s="53">
        <f t="shared" si="34"/>
        <v>63.889134080768528</v>
      </c>
      <c r="F214" s="53">
        <f>0</f>
        <v>0</v>
      </c>
      <c r="H214" s="35">
        <f t="shared" si="36"/>
        <v>1500</v>
      </c>
      <c r="I214" s="111">
        <f t="shared" si="37"/>
        <v>42.46620915765704</v>
      </c>
      <c r="J214" s="53">
        <f t="shared" si="38"/>
        <v>15.269869522172209</v>
      </c>
      <c r="K214" s="53">
        <f t="shared" si="39"/>
        <v>0</v>
      </c>
    </row>
    <row r="215" spans="1:14" ht="15" thickBot="1" x14ac:dyDescent="0.35">
      <c r="B215" s="35">
        <f t="shared" si="35"/>
        <v>1600</v>
      </c>
      <c r="C215" s="53">
        <f t="shared" si="32"/>
        <v>2.1800740192450038E-25</v>
      </c>
      <c r="D215" s="111">
        <f t="shared" si="33"/>
        <v>179.02012843293647</v>
      </c>
      <c r="E215" s="53">
        <f t="shared" si="34"/>
        <v>64.425737807688265</v>
      </c>
      <c r="F215" s="53">
        <f>0</f>
        <v>0</v>
      </c>
      <c r="H215" s="35">
        <f t="shared" si="36"/>
        <v>1600</v>
      </c>
      <c r="I215" s="111">
        <f t="shared" si="37"/>
        <v>42.786837579573728</v>
      </c>
      <c r="J215" s="53">
        <f t="shared" si="38"/>
        <v>15.398120890938877</v>
      </c>
      <c r="K215" s="53">
        <f t="shared" si="39"/>
        <v>0</v>
      </c>
      <c r="M215" s="30" t="s">
        <v>93</v>
      </c>
      <c r="N215" s="126">
        <f>SUM(I202:L202)</f>
        <v>46.499056158820565</v>
      </c>
    </row>
    <row r="216" spans="1:14" x14ac:dyDescent="0.3">
      <c r="B216" s="35">
        <f t="shared" si="35"/>
        <v>1700</v>
      </c>
      <c r="C216" s="53">
        <f t="shared" si="32"/>
        <v>2.3163286454478159E-25</v>
      </c>
      <c r="D216" s="111">
        <f t="shared" si="33"/>
        <v>180.28028273444477</v>
      </c>
      <c r="E216" s="53">
        <f t="shared" si="34"/>
        <v>64.92979952829161</v>
      </c>
      <c r="F216" s="53">
        <f>0</f>
        <v>0</v>
      </c>
      <c r="H216" s="35">
        <f t="shared" si="36"/>
        <v>1700</v>
      </c>
      <c r="I216" s="111">
        <f t="shared" si="37"/>
        <v>43.088021686052763</v>
      </c>
      <c r="J216" s="53">
        <f t="shared" si="38"/>
        <v>15.518594533530498</v>
      </c>
      <c r="K216" s="53">
        <f t="shared" si="39"/>
        <v>0</v>
      </c>
    </row>
    <row r="217" spans="1:14" x14ac:dyDescent="0.3">
      <c r="B217" s="35">
        <f t="shared" si="35"/>
        <v>1800</v>
      </c>
      <c r="C217" s="53">
        <f t="shared" si="32"/>
        <v>2.4525832716506289E-25</v>
      </c>
      <c r="D217" s="111">
        <f t="shared" si="33"/>
        <v>181.46838781303646</v>
      </c>
      <c r="E217" s="53">
        <f t="shared" si="34"/>
        <v>65.405041559728275</v>
      </c>
      <c r="F217" s="53">
        <f>0</f>
        <v>0</v>
      </c>
      <c r="H217" s="35">
        <f t="shared" si="36"/>
        <v>1800</v>
      </c>
      <c r="I217" s="111">
        <f t="shared" si="37"/>
        <v>43.37198561497047</v>
      </c>
      <c r="J217" s="53">
        <f t="shared" si="38"/>
        <v>15.632180105097579</v>
      </c>
      <c r="K217" s="53">
        <f t="shared" si="39"/>
        <v>0</v>
      </c>
    </row>
    <row r="218" spans="1:14" x14ac:dyDescent="0.3">
      <c r="B218" s="35">
        <f t="shared" si="35"/>
        <v>1900</v>
      </c>
      <c r="C218" s="53">
        <f t="shared" si="32"/>
        <v>2.5888378978534419E-25</v>
      </c>
      <c r="D218" s="111">
        <f t="shared" si="33"/>
        <v>182.59223880646016</v>
      </c>
      <c r="E218" s="53">
        <f t="shared" si="34"/>
        <v>65.854581957097778</v>
      </c>
      <c r="F218" s="53">
        <f>0</f>
        <v>0</v>
      </c>
      <c r="H218" s="35">
        <f t="shared" si="36"/>
        <v>1900</v>
      </c>
      <c r="I218" s="111">
        <f t="shared" si="37"/>
        <v>43.640592448962749</v>
      </c>
      <c r="J218" s="53">
        <f t="shared" si="38"/>
        <v>15.739622838694498</v>
      </c>
      <c r="K218" s="53">
        <f t="shared" si="39"/>
        <v>0</v>
      </c>
    </row>
    <row r="219" spans="1:14" x14ac:dyDescent="0.3">
      <c r="B219" s="35">
        <f t="shared" si="35"/>
        <v>2000</v>
      </c>
      <c r="C219" s="53">
        <f t="shared" si="32"/>
        <v>2.7250925240562545E-25</v>
      </c>
      <c r="D219" s="111">
        <f t="shared" si="33"/>
        <v>183.65843045639281</v>
      </c>
      <c r="E219" s="53">
        <f t="shared" si="34"/>
        <v>66.281058617070826</v>
      </c>
      <c r="F219" s="53">
        <f>0</f>
        <v>0</v>
      </c>
      <c r="H219" s="35">
        <f t="shared" si="36"/>
        <v>2000</v>
      </c>
      <c r="I219" s="111">
        <f t="shared" si="37"/>
        <v>43.895418369118737</v>
      </c>
      <c r="J219" s="53">
        <f t="shared" si="38"/>
        <v>15.841553206756888</v>
      </c>
      <c r="K219" s="53">
        <f t="shared" si="39"/>
        <v>0</v>
      </c>
    </row>
    <row r="220" spans="1:14" ht="15" thickBot="1" x14ac:dyDescent="0.35">
      <c r="B220" s="26">
        <f t="shared" si="35"/>
        <v>2100</v>
      </c>
      <c r="C220" s="56">
        <f t="shared" si="32"/>
        <v>2.8613471502590675E-25</v>
      </c>
      <c r="D220" s="111">
        <f t="shared" si="33"/>
        <v>184.67259159104825</v>
      </c>
      <c r="E220" s="56">
        <f t="shared" si="34"/>
        <v>66.68672307093297</v>
      </c>
      <c r="F220" s="56">
        <f>0</f>
        <v>0</v>
      </c>
      <c r="G220" s="51"/>
      <c r="H220" s="26">
        <f t="shared" si="36"/>
        <v>2100</v>
      </c>
      <c r="I220" s="114">
        <f t="shared" si="37"/>
        <v>44.137808697669271</v>
      </c>
      <c r="J220" s="56">
        <f t="shared" si="38"/>
        <v>15.938509338177095</v>
      </c>
      <c r="K220" s="56">
        <f t="shared" si="39"/>
        <v>0</v>
      </c>
      <c r="L220" s="51"/>
    </row>
    <row r="224" spans="1:14" ht="15" thickBot="1" x14ac:dyDescent="0.35">
      <c r="A224" s="5" t="s">
        <v>101</v>
      </c>
      <c r="B224" s="196" t="s">
        <v>102</v>
      </c>
      <c r="C224" s="196"/>
      <c r="D224" s="196"/>
      <c r="E224" s="196"/>
      <c r="F224" s="196"/>
      <c r="H224" s="196" t="s">
        <v>103</v>
      </c>
      <c r="I224" s="196"/>
      <c r="J224" s="196"/>
      <c r="K224" s="196"/>
      <c r="L224" s="196"/>
    </row>
    <row r="225" spans="1:15" ht="18" x14ac:dyDescent="0.3">
      <c r="A225" s="5" t="s">
        <v>98</v>
      </c>
      <c r="B225" s="95" t="s">
        <v>46</v>
      </c>
      <c r="C225" s="16" t="s">
        <v>88</v>
      </c>
      <c r="D225" s="16" t="s">
        <v>36</v>
      </c>
      <c r="E225" s="16" t="s">
        <v>37</v>
      </c>
      <c r="F225" s="16" t="s">
        <v>89</v>
      </c>
      <c r="H225" s="95" t="s">
        <v>46</v>
      </c>
      <c r="I225" s="16" t="s">
        <v>88</v>
      </c>
      <c r="J225" s="16" t="s">
        <v>36</v>
      </c>
      <c r="K225" s="16" t="s">
        <v>37</v>
      </c>
      <c r="L225" s="16" t="s">
        <v>89</v>
      </c>
    </row>
    <row r="226" spans="1:15" ht="15" thickBot="1" x14ac:dyDescent="0.35">
      <c r="B226" s="35">
        <f>298.15</f>
        <v>298.14999999999998</v>
      </c>
      <c r="C226" s="53">
        <f>3/2*$D$2</f>
        <v>12.471708</v>
      </c>
      <c r="D226" s="53">
        <f>3/2*$D$2</f>
        <v>12.471708</v>
      </c>
      <c r="E226" s="53" cm="1">
        <f t="array" ref="E226">$D$2*SUM( ( ($B$12:$B$17) * ($B$12:$B$17)* EXP($B$12:$B$17/B226) ) / ( B226*B226* ( EXP(( $B$12:$B$17)/B226 )  -1)^2 ) )</f>
        <v>1.9188156785305162</v>
      </c>
      <c r="F226" s="56">
        <v>0</v>
      </c>
      <c r="H226" s="35">
        <f>298.15</f>
        <v>298.14999999999998</v>
      </c>
      <c r="I226" s="106">
        <f>3/2*$D$2 / 4.184</f>
        <v>2.9808097514340344</v>
      </c>
      <c r="J226" s="106">
        <f>D226 /4.184</f>
        <v>2.9808097514340344</v>
      </c>
      <c r="K226" s="106">
        <f>E226 / 4.184</f>
        <v>0.45860795375968355</v>
      </c>
      <c r="L226" s="112">
        <v>0</v>
      </c>
    </row>
    <row r="227" spans="1:15" x14ac:dyDescent="0.3">
      <c r="B227" s="35">
        <f>300+100</f>
        <v>400</v>
      </c>
      <c r="C227" s="53">
        <f t="shared" ref="C227:D244" si="40">3/2*$D$2</f>
        <v>12.471708</v>
      </c>
      <c r="D227" s="53">
        <f t="shared" si="40"/>
        <v>12.471708</v>
      </c>
      <c r="E227" s="53" cm="1">
        <f t="array" ref="E227">$D$2*SUM( ( ($B$12:$B$17) * ($B$12:$B$17)* EXP($B$12:$B$17/B227) ) / ( B227*B227* ( EXP(( $B$12:$B$17)/B227 )  -1)^2 ) )</f>
        <v>4.6028061191180996</v>
      </c>
      <c r="H227" s="35">
        <f>300+100</f>
        <v>400</v>
      </c>
      <c r="I227" s="53">
        <f t="shared" ref="I227:I244" si="41">3/2*$D$2 / 4.184</f>
        <v>2.9808097514340344</v>
      </c>
      <c r="J227" s="53">
        <f>D227/4.184</f>
        <v>2.9808097514340344</v>
      </c>
      <c r="K227" s="53">
        <f xml:space="preserve">  E227/4.184</f>
        <v>1.1000970647987809</v>
      </c>
    </row>
    <row r="228" spans="1:15" ht="18.600000000000001" thickBot="1" x14ac:dyDescent="0.35">
      <c r="B228" s="35">
        <f t="shared" ref="B228:B244" si="42">B227+100</f>
        <v>500</v>
      </c>
      <c r="C228" s="53">
        <f t="shared" si="40"/>
        <v>12.471708</v>
      </c>
      <c r="D228" s="53">
        <f t="shared" si="40"/>
        <v>12.471708</v>
      </c>
      <c r="E228" s="53" cm="1">
        <f t="array" ref="E228">$D$2*SUM( ( ($B$12:$B$17) * ($B$12:$B$17)* EXP($B$12:$B$17/B228) ) / ( B228*B228* ( EXP(( $B$12:$B$17)/B228 )  -1)^2 ) )</f>
        <v>7.6186060119211838</v>
      </c>
      <c r="H228" s="35">
        <f t="shared" ref="H228:H244" si="43">H227+100</f>
        <v>500</v>
      </c>
      <c r="I228" s="53">
        <f t="shared" si="41"/>
        <v>2.9808097514340344</v>
      </c>
      <c r="J228" s="53">
        <f t="shared" ref="J228:J244" si="44">D228/4.184</f>
        <v>2.9808097514340344</v>
      </c>
      <c r="K228" s="53">
        <f t="shared" ref="K228:K244" si="45" xml:space="preserve">  E228/4.184</f>
        <v>1.8208905382220801</v>
      </c>
      <c r="M228" s="202" t="s">
        <v>92</v>
      </c>
      <c r="N228" s="202"/>
    </row>
    <row r="229" spans="1:15" x14ac:dyDescent="0.3">
      <c r="B229" s="35">
        <f t="shared" si="42"/>
        <v>600</v>
      </c>
      <c r="C229" s="53">
        <f t="shared" si="40"/>
        <v>12.471708</v>
      </c>
      <c r="D229" s="53">
        <f t="shared" si="40"/>
        <v>12.471708</v>
      </c>
      <c r="E229" s="53" cm="1">
        <f t="array" ref="E229">$D$2*SUM( ( ($B$12:$B$17) * ($B$12:$B$17)* EXP($B$12:$B$17/B229) ) / ( B229*B229* ( EXP(( $B$12:$B$17)/B229 )  -1)^2 ) )</f>
        <v>10.628641068418903</v>
      </c>
      <c r="H229" s="35">
        <f t="shared" si="43"/>
        <v>600</v>
      </c>
      <c r="I229" s="53">
        <f t="shared" si="41"/>
        <v>2.9808097514340344</v>
      </c>
      <c r="J229" s="53">
        <f t="shared" si="44"/>
        <v>2.9808097514340344</v>
      </c>
      <c r="K229" s="53">
        <f t="shared" si="45"/>
        <v>2.5403061827005025</v>
      </c>
      <c r="M229" s="38"/>
      <c r="N229" s="4" t="s">
        <v>29</v>
      </c>
      <c r="O229" s="80"/>
    </row>
    <row r="230" spans="1:15" x14ac:dyDescent="0.3">
      <c r="B230" s="35">
        <f t="shared" si="42"/>
        <v>700</v>
      </c>
      <c r="C230" s="53">
        <f t="shared" si="40"/>
        <v>12.471708</v>
      </c>
      <c r="D230" s="53">
        <f t="shared" si="40"/>
        <v>12.471708</v>
      </c>
      <c r="E230" s="53" cm="1">
        <f t="array" ref="E230">$D$2*SUM( ( ($B$12:$B$17) * ($B$12:$B$17)* EXP($B$12:$B$17/B230) ) / ( B230*B230* ( EXP(( $B$12:$B$17)/B230 )  -1)^2 ) )</f>
        <v>13.518215936747724</v>
      </c>
      <c r="H230" s="35">
        <f t="shared" si="43"/>
        <v>700</v>
      </c>
      <c r="I230" s="53">
        <f t="shared" si="41"/>
        <v>2.9808097514340344</v>
      </c>
      <c r="J230" s="53">
        <f t="shared" si="44"/>
        <v>2.9808097514340344</v>
      </c>
      <c r="K230" s="53">
        <f t="shared" si="45"/>
        <v>3.2309311512303354</v>
      </c>
      <c r="M230" s="39"/>
      <c r="N230" s="41" t="s">
        <v>32</v>
      </c>
      <c r="O230" s="80"/>
    </row>
    <row r="231" spans="1:15" x14ac:dyDescent="0.3">
      <c r="B231" s="35">
        <f t="shared" si="42"/>
        <v>800</v>
      </c>
      <c r="C231" s="53">
        <f t="shared" si="40"/>
        <v>12.471708</v>
      </c>
      <c r="D231" s="53">
        <f t="shared" si="40"/>
        <v>12.471708</v>
      </c>
      <c r="E231" s="53" cm="1">
        <f t="array" ref="E231">$D$2*SUM( ( ($B$12:$B$17) * ($B$12:$B$17)* EXP($B$12:$B$17/B231) ) / ( B231*B231* ( EXP(( $B$12:$B$17)/B231 )  -1)^2 ) )</f>
        <v>16.275351800511974</v>
      </c>
      <c r="H231" s="35">
        <f t="shared" si="43"/>
        <v>800</v>
      </c>
      <c r="I231" s="53">
        <f t="shared" si="41"/>
        <v>2.9808097514340344</v>
      </c>
      <c r="J231" s="53">
        <f t="shared" si="44"/>
        <v>2.9808097514340344</v>
      </c>
      <c r="K231" s="53">
        <f t="shared" si="45"/>
        <v>3.8899024379808731</v>
      </c>
      <c r="M231" s="39" t="s">
        <v>33</v>
      </c>
      <c r="N231" s="41">
        <v>6.42</v>
      </c>
    </row>
    <row r="232" spans="1:15" x14ac:dyDescent="0.3">
      <c r="B232" s="35">
        <f t="shared" si="42"/>
        <v>900</v>
      </c>
      <c r="C232" s="53">
        <f t="shared" si="40"/>
        <v>12.471708</v>
      </c>
      <c r="D232" s="53">
        <f t="shared" si="40"/>
        <v>12.471708</v>
      </c>
      <c r="E232" s="53" cm="1">
        <f t="array" ref="E232">$D$2*SUM( ( ($B$12:$B$17) * ($B$12:$B$17)* EXP($B$12:$B$17/B232) ) / ( B232*B232* ( EXP(( $B$12:$B$17)/B232 )  -1)^2 ) )</f>
        <v>18.899484980221015</v>
      </c>
      <c r="H232" s="35">
        <f t="shared" si="43"/>
        <v>900</v>
      </c>
      <c r="I232" s="53">
        <f t="shared" si="41"/>
        <v>2.9808097514340344</v>
      </c>
      <c r="J232" s="53">
        <f t="shared" si="44"/>
        <v>2.9808097514340344</v>
      </c>
      <c r="K232" s="53">
        <f t="shared" si="45"/>
        <v>4.5170853203205104</v>
      </c>
      <c r="M232" s="39" t="s">
        <v>34</v>
      </c>
      <c r="N232" s="41">
        <v>0</v>
      </c>
    </row>
    <row r="233" spans="1:15" x14ac:dyDescent="0.3">
      <c r="B233" s="35">
        <f t="shared" si="42"/>
        <v>1000</v>
      </c>
      <c r="C233" s="53">
        <f t="shared" si="40"/>
        <v>12.471708</v>
      </c>
      <c r="D233" s="53">
        <f t="shared" si="40"/>
        <v>12.471708</v>
      </c>
      <c r="E233" s="53" cm="1">
        <f t="array" ref="E233">$D$2*SUM( ( ($B$12:$B$17) * ($B$12:$B$17)* EXP($B$12:$B$17/B233) ) / ( B233*B233* ( EXP(( $B$12:$B$17)/B233 )  -1)^2 ) )</f>
        <v>21.380967781185856</v>
      </c>
      <c r="H233" s="35">
        <f t="shared" si="43"/>
        <v>1000</v>
      </c>
      <c r="I233" s="53">
        <f t="shared" si="41"/>
        <v>2.9808097514340344</v>
      </c>
      <c r="J233" s="53">
        <f t="shared" si="44"/>
        <v>2.9808097514340344</v>
      </c>
      <c r="K233" s="53">
        <f t="shared" si="45"/>
        <v>5.1101739438780722</v>
      </c>
      <c r="M233" s="39" t="s">
        <v>35</v>
      </c>
      <c r="N233" s="41">
        <v>2.9809999999999999</v>
      </c>
    </row>
    <row r="234" spans="1:15" x14ac:dyDescent="0.3">
      <c r="B234" s="35">
        <f t="shared" si="42"/>
        <v>1100</v>
      </c>
      <c r="C234" s="53">
        <f t="shared" si="40"/>
        <v>12.471708</v>
      </c>
      <c r="D234" s="53">
        <f t="shared" si="40"/>
        <v>12.471708</v>
      </c>
      <c r="E234" s="53" cm="1">
        <f t="array" ref="E234">$D$2*SUM( ( ($B$12:$B$17) * ($B$12:$B$17)* EXP($B$12:$B$17/B234) ) / ( B234*B234* ( EXP(( $B$12:$B$17)/B234 )  -1)^2 ) )</f>
        <v>23.705994659115859</v>
      </c>
      <c r="H234" s="35">
        <f t="shared" si="43"/>
        <v>1100</v>
      </c>
      <c r="I234" s="53">
        <f t="shared" si="41"/>
        <v>2.9808097514340344</v>
      </c>
      <c r="J234" s="53">
        <f t="shared" si="44"/>
        <v>2.9808097514340344</v>
      </c>
      <c r="K234" s="53">
        <f t="shared" si="45"/>
        <v>5.665868704377595</v>
      </c>
      <c r="M234" s="39" t="s">
        <v>36</v>
      </c>
      <c r="N234" s="41">
        <v>2.9809999999999999</v>
      </c>
    </row>
    <row r="235" spans="1:15" ht="15" thickBot="1" x14ac:dyDescent="0.35">
      <c r="B235" s="35">
        <f t="shared" si="42"/>
        <v>1200</v>
      </c>
      <c r="C235" s="53">
        <f t="shared" si="40"/>
        <v>12.471708</v>
      </c>
      <c r="D235" s="53">
        <f t="shared" si="40"/>
        <v>12.471708</v>
      </c>
      <c r="E235" s="53" cm="1">
        <f t="array" ref="E235">$D$2*SUM( ( ($B$12:$B$17) * ($B$12:$B$17)* EXP($B$12:$B$17/B235) ) / ( B235*B235* ( EXP(( $B$12:$B$17)/B235 )  -1)^2 ) )</f>
        <v>25.86356345043799</v>
      </c>
      <c r="H235" s="35">
        <f t="shared" si="43"/>
        <v>1200</v>
      </c>
      <c r="I235" s="53">
        <f t="shared" si="41"/>
        <v>2.9808097514340344</v>
      </c>
      <c r="J235" s="53">
        <f t="shared" si="44"/>
        <v>2.9808097514340344</v>
      </c>
      <c r="K235" s="53">
        <f t="shared" si="45"/>
        <v>6.1815400216151986</v>
      </c>
      <c r="M235" s="43" t="s">
        <v>37</v>
      </c>
      <c r="N235" s="45">
        <v>0.45900000000000002</v>
      </c>
    </row>
    <row r="236" spans="1:15" x14ac:dyDescent="0.3">
      <c r="B236" s="35">
        <f t="shared" si="42"/>
        <v>1300</v>
      </c>
      <c r="C236" s="53">
        <f t="shared" si="40"/>
        <v>12.471708</v>
      </c>
      <c r="D236" s="53">
        <f t="shared" si="40"/>
        <v>12.471708</v>
      </c>
      <c r="E236" s="53" cm="1">
        <f t="array" ref="E236">$D$2*SUM( ( ($B$12:$B$17) * ($B$12:$B$17)* EXP($B$12:$B$17/B236) ) / ( B236*B236* ( EXP(( $B$12:$B$17)/B236 )  -1)^2 ) )</f>
        <v>27.84875137361486</v>
      </c>
      <c r="H236" s="35">
        <f t="shared" si="43"/>
        <v>1300</v>
      </c>
      <c r="I236" s="53">
        <f t="shared" si="41"/>
        <v>2.9808097514340344</v>
      </c>
      <c r="J236" s="53">
        <f t="shared" si="44"/>
        <v>2.9808097514340344</v>
      </c>
      <c r="K236" s="53">
        <f t="shared" si="45"/>
        <v>6.6560113225656927</v>
      </c>
      <c r="N236" s="46"/>
      <c r="O236" s="46"/>
    </row>
    <row r="237" spans="1:15" x14ac:dyDescent="0.3">
      <c r="B237" s="35">
        <f t="shared" si="42"/>
        <v>1400</v>
      </c>
      <c r="C237" s="53">
        <f t="shared" si="40"/>
        <v>12.471708</v>
      </c>
      <c r="D237" s="53">
        <f t="shared" si="40"/>
        <v>12.471708</v>
      </c>
      <c r="E237" s="53" cm="1">
        <f t="array" ref="E237">$D$2*SUM( ( ($B$12:$B$17) * ($B$12:$B$17)* EXP($B$12:$B$17/B237) ) / ( B237*B237* ( EXP(( $B$12:$B$17)/B237 )  -1)^2 ) )</f>
        <v>29.662917364459943</v>
      </c>
      <c r="H237" s="35">
        <f t="shared" si="43"/>
        <v>1400</v>
      </c>
      <c r="I237" s="53">
        <f t="shared" si="41"/>
        <v>2.9808097514340344</v>
      </c>
      <c r="J237" s="53">
        <f t="shared" si="44"/>
        <v>2.9808097514340344</v>
      </c>
      <c r="K237" s="53">
        <f t="shared" si="45"/>
        <v>7.0896074006835423</v>
      </c>
    </row>
    <row r="238" spans="1:15" ht="15" thickBot="1" x14ac:dyDescent="0.35">
      <c r="B238" s="35">
        <f t="shared" si="42"/>
        <v>1500</v>
      </c>
      <c r="C238" s="53">
        <f t="shared" si="40"/>
        <v>12.471708</v>
      </c>
      <c r="D238" s="53">
        <f t="shared" si="40"/>
        <v>12.471708</v>
      </c>
      <c r="E238" s="53" cm="1">
        <f t="array" ref="E238">$D$2*SUM( ( ($B$12:$B$17) * ($B$12:$B$17)* EXP($B$12:$B$17/B238) ) / ( B238*B238* ( EXP(( $B$12:$B$17)/B238 )  -1)^2 ) )</f>
        <v>31.312427572224031</v>
      </c>
      <c r="H238" s="35">
        <f t="shared" si="43"/>
        <v>1500</v>
      </c>
      <c r="I238" s="53">
        <f t="shared" si="41"/>
        <v>2.9808097514340344</v>
      </c>
      <c r="J238" s="53">
        <f t="shared" si="44"/>
        <v>2.9808097514340344</v>
      </c>
      <c r="K238" s="53">
        <f t="shared" si="45"/>
        <v>7.4838498021567945</v>
      </c>
    </row>
    <row r="239" spans="1:15" ht="15" thickBot="1" x14ac:dyDescent="0.35">
      <c r="B239" s="35">
        <f t="shared" si="42"/>
        <v>1600</v>
      </c>
      <c r="C239" s="53">
        <f t="shared" si="40"/>
        <v>12.471708</v>
      </c>
      <c r="D239" s="53">
        <f t="shared" si="40"/>
        <v>12.471708</v>
      </c>
      <c r="E239" s="53" cm="1">
        <f t="array" ref="E239">$D$2*SUM( ( ($B$12:$B$17) * ($B$12:$B$17)* EXP($B$12:$B$17/B239) ) / ( B239*B239* ( EXP(( $B$12:$B$17)/B239 )  -1)^2 ) )</f>
        <v>32.807012873648709</v>
      </c>
      <c r="H239" s="35">
        <f t="shared" si="43"/>
        <v>1600</v>
      </c>
      <c r="I239" s="53">
        <f t="shared" si="41"/>
        <v>2.9808097514340344</v>
      </c>
      <c r="J239" s="53">
        <f t="shared" si="44"/>
        <v>2.9808097514340344</v>
      </c>
      <c r="K239" s="53">
        <f t="shared" si="45"/>
        <v>7.8410642623443376</v>
      </c>
      <c r="M239" s="30" t="s">
        <v>93</v>
      </c>
      <c r="N239" s="108">
        <f>SUM(I226:L226)</f>
        <v>6.4202274566277522</v>
      </c>
    </row>
    <row r="240" spans="1:15" x14ac:dyDescent="0.3">
      <c r="B240" s="35">
        <f t="shared" si="42"/>
        <v>1700</v>
      </c>
      <c r="C240" s="53">
        <f t="shared" si="40"/>
        <v>12.471708</v>
      </c>
      <c r="D240" s="53">
        <f t="shared" si="40"/>
        <v>12.471708</v>
      </c>
      <c r="E240" s="53" cm="1">
        <f t="array" ref="E240">$D$2*SUM( ( ($B$12:$B$17) * ($B$12:$B$17)* EXP($B$12:$B$17/B240) ) / ( B240*B240* ( EXP(( $B$12:$B$17)/B240 )  -1)^2 ) )</f>
        <v>34.158295139033712</v>
      </c>
      <c r="H240" s="35">
        <f t="shared" si="43"/>
        <v>1700</v>
      </c>
      <c r="I240" s="53">
        <f t="shared" si="41"/>
        <v>2.9808097514340344</v>
      </c>
      <c r="J240" s="53">
        <f t="shared" si="44"/>
        <v>2.9808097514340344</v>
      </c>
      <c r="K240" s="53">
        <f t="shared" si="45"/>
        <v>8.1640284749124543</v>
      </c>
    </row>
    <row r="241" spans="2:12" x14ac:dyDescent="0.3">
      <c r="B241" s="35">
        <f t="shared" si="42"/>
        <v>1800</v>
      </c>
      <c r="C241" s="53">
        <f t="shared" si="40"/>
        <v>12.471708</v>
      </c>
      <c r="D241" s="53">
        <f t="shared" si="40"/>
        <v>12.471708</v>
      </c>
      <c r="E241" s="53" cm="1">
        <f t="array" ref="E241">$D$2*SUM( ( ($B$12:$B$17) * ($B$12:$B$17)* EXP($B$12:$B$17/B241) ) / ( B241*B241* ( EXP(( $B$12:$B$17)/B241 )  -1)^2 ) )</f>
        <v>35.378659290572145</v>
      </c>
      <c r="H241" s="35">
        <f t="shared" si="43"/>
        <v>1800</v>
      </c>
      <c r="I241" s="53">
        <f t="shared" si="41"/>
        <v>2.9808097514340344</v>
      </c>
      <c r="J241" s="53">
        <f t="shared" si="44"/>
        <v>2.9808097514340344</v>
      </c>
      <c r="K241" s="53">
        <f t="shared" si="45"/>
        <v>8.455702507306917</v>
      </c>
    </row>
    <row r="242" spans="2:12" x14ac:dyDescent="0.3">
      <c r="B242" s="35">
        <f t="shared" si="42"/>
        <v>1900</v>
      </c>
      <c r="C242" s="53">
        <f t="shared" si="40"/>
        <v>12.471708</v>
      </c>
      <c r="D242" s="53">
        <f t="shared" si="40"/>
        <v>12.471708</v>
      </c>
      <c r="E242" s="53" cm="1">
        <f t="array" ref="E242">$D$2*SUM( ( ($B$12:$B$17) * ($B$12:$B$17)* EXP($B$12:$B$17/B242) ) / ( B242*B242* ( EXP(( $B$12:$B$17)/B242 )  -1)^2 ) )</f>
        <v>36.480473852553601</v>
      </c>
      <c r="H242" s="35">
        <f t="shared" si="43"/>
        <v>1900</v>
      </c>
      <c r="I242" s="53">
        <f t="shared" si="41"/>
        <v>2.9808097514340344</v>
      </c>
      <c r="J242" s="53">
        <f t="shared" si="44"/>
        <v>2.9808097514340344</v>
      </c>
      <c r="K242" s="53">
        <f t="shared" si="45"/>
        <v>8.7190425077804967</v>
      </c>
    </row>
    <row r="243" spans="2:12" x14ac:dyDescent="0.3">
      <c r="B243" s="35">
        <f t="shared" si="42"/>
        <v>2000</v>
      </c>
      <c r="C243" s="53">
        <f t="shared" si="40"/>
        <v>12.471708</v>
      </c>
      <c r="D243" s="53">
        <f t="shared" si="40"/>
        <v>12.471708</v>
      </c>
      <c r="E243" s="53" cm="1">
        <f t="array" ref="E243">$D$2*SUM( ( ($B$12:$B$17) * ($B$12:$B$17)* EXP($B$12:$B$17/B243) ) / ( B243*B243* ( EXP(( $B$12:$B$17)/B243 )  -1)^2 ) )</f>
        <v>37.475597664678673</v>
      </c>
      <c r="H243" s="35">
        <f t="shared" si="43"/>
        <v>2000</v>
      </c>
      <c r="I243" s="53">
        <f t="shared" si="41"/>
        <v>2.9808097514340344</v>
      </c>
      <c r="J243" s="53">
        <f t="shared" si="44"/>
        <v>2.9808097514340344</v>
      </c>
      <c r="K243" s="53">
        <f t="shared" si="45"/>
        <v>8.9568828070455719</v>
      </c>
    </row>
    <row r="244" spans="2:12" ht="15" thickBot="1" x14ac:dyDescent="0.35">
      <c r="B244" s="26">
        <f t="shared" si="42"/>
        <v>2100</v>
      </c>
      <c r="C244" s="56">
        <f t="shared" si="40"/>
        <v>12.471708</v>
      </c>
      <c r="D244" s="56">
        <f t="shared" si="40"/>
        <v>12.471708</v>
      </c>
      <c r="E244" s="56" cm="1">
        <f t="array" ref="E244">$D$2*SUM( ( ($B$12:$B$17) * ($B$12:$B$17)* EXP($B$12:$B$17/B244) ) / ( B244*B244* ( EXP(( $B$12:$B$17)/B244 )  -1)^2 ) )</f>
        <v>38.375098319762138</v>
      </c>
      <c r="F244" s="51"/>
      <c r="H244" s="26">
        <f t="shared" si="43"/>
        <v>2100</v>
      </c>
      <c r="I244" s="56">
        <f t="shared" si="41"/>
        <v>2.9808097514340344</v>
      </c>
      <c r="J244" s="56">
        <f t="shared" si="44"/>
        <v>2.9808097514340344</v>
      </c>
      <c r="K244" s="56">
        <f t="shared" si="45"/>
        <v>9.1718686232701092</v>
      </c>
      <c r="L244" s="51"/>
    </row>
    <row r="248" spans="2:12" ht="18" x14ac:dyDescent="0.3">
      <c r="B248" s="82"/>
    </row>
    <row r="249" spans="2:12" x14ac:dyDescent="0.3">
      <c r="C249" s="51"/>
      <c r="D249" s="51"/>
      <c r="E249" s="51"/>
      <c r="F249" s="51"/>
    </row>
    <row r="250" spans="2:12" x14ac:dyDescent="0.3">
      <c r="C250" s="51"/>
      <c r="D250" s="51"/>
      <c r="E250" s="51"/>
    </row>
    <row r="251" spans="2:12" x14ac:dyDescent="0.3">
      <c r="C251" s="51"/>
      <c r="D251" s="51"/>
      <c r="E251" s="51"/>
    </row>
    <row r="252" spans="2:12" x14ac:dyDescent="0.3">
      <c r="C252" s="51"/>
      <c r="D252" s="51"/>
      <c r="E252" s="51"/>
    </row>
    <row r="253" spans="2:12" x14ac:dyDescent="0.3">
      <c r="C253" s="51"/>
      <c r="D253" s="51"/>
      <c r="E253" s="51"/>
    </row>
    <row r="254" spans="2:12" x14ac:dyDescent="0.3">
      <c r="C254" s="51"/>
      <c r="D254" s="51"/>
      <c r="E254" s="51"/>
    </row>
    <row r="255" spans="2:12" x14ac:dyDescent="0.3">
      <c r="C255" s="51"/>
      <c r="D255" s="51"/>
      <c r="E255" s="51"/>
    </row>
    <row r="256" spans="2:12" x14ac:dyDescent="0.3">
      <c r="C256" s="51"/>
      <c r="D256" s="51"/>
      <c r="E256" s="51"/>
    </row>
    <row r="257" spans="1:12" x14ac:dyDescent="0.3">
      <c r="C257" s="51"/>
      <c r="D257" s="51"/>
      <c r="E257" s="51"/>
    </row>
    <row r="258" spans="1:12" x14ac:dyDescent="0.3">
      <c r="C258" s="51"/>
      <c r="D258" s="51"/>
      <c r="E258" s="51"/>
    </row>
    <row r="259" spans="1:12" x14ac:dyDescent="0.3">
      <c r="C259" s="51"/>
      <c r="D259" s="51"/>
      <c r="E259" s="51"/>
    </row>
    <row r="260" spans="1:12" x14ac:dyDescent="0.3">
      <c r="C260" s="51"/>
      <c r="D260" s="51"/>
      <c r="E260" s="51"/>
    </row>
    <row r="261" spans="1:12" x14ac:dyDescent="0.3">
      <c r="C261" s="51"/>
      <c r="D261" s="51"/>
      <c r="E261" s="51"/>
    </row>
    <row r="262" spans="1:12" x14ac:dyDescent="0.3">
      <c r="C262" s="51"/>
      <c r="D262" s="51"/>
      <c r="E262" s="51"/>
    </row>
    <row r="263" spans="1:12" x14ac:dyDescent="0.3">
      <c r="C263" s="51"/>
      <c r="D263" s="51"/>
      <c r="E263" s="51"/>
    </row>
    <row r="264" spans="1:12" x14ac:dyDescent="0.3">
      <c r="C264" s="51"/>
      <c r="D264" s="51"/>
      <c r="E264" s="51"/>
    </row>
    <row r="265" spans="1:12" x14ac:dyDescent="0.3">
      <c r="C265" s="51"/>
      <c r="D265" s="51"/>
      <c r="E265" s="51"/>
    </row>
    <row r="266" spans="1:12" x14ac:dyDescent="0.3">
      <c r="C266" s="51"/>
      <c r="D266" s="51"/>
      <c r="E266" s="51"/>
    </row>
    <row r="267" spans="1:12" x14ac:dyDescent="0.3">
      <c r="C267" s="51"/>
      <c r="D267" s="51"/>
      <c r="E267" s="51"/>
      <c r="F267" s="51"/>
    </row>
    <row r="272" spans="1:12" ht="15" thickBot="1" x14ac:dyDescent="0.35">
      <c r="A272" s="5" t="s">
        <v>104</v>
      </c>
      <c r="B272" s="196" t="s">
        <v>102</v>
      </c>
      <c r="C272" s="196"/>
      <c r="D272" s="196"/>
      <c r="E272" s="196"/>
      <c r="F272" s="196"/>
      <c r="H272" s="196" t="s">
        <v>103</v>
      </c>
      <c r="I272" s="196"/>
      <c r="J272" s="196"/>
      <c r="K272" s="196"/>
      <c r="L272" s="196"/>
    </row>
    <row r="273" spans="1:12" ht="18" x14ac:dyDescent="0.3">
      <c r="A273" s="5" t="s">
        <v>98</v>
      </c>
      <c r="B273" s="95" t="s">
        <v>46</v>
      </c>
      <c r="C273" s="16" t="s">
        <v>88</v>
      </c>
      <c r="D273" s="16" t="s">
        <v>36</v>
      </c>
      <c r="E273" s="16" t="s">
        <v>37</v>
      </c>
      <c r="F273" s="16" t="s">
        <v>89</v>
      </c>
      <c r="H273" s="95" t="s">
        <v>46</v>
      </c>
      <c r="I273" s="118" t="s">
        <v>88</v>
      </c>
      <c r="J273" s="118" t="s">
        <v>36</v>
      </c>
      <c r="K273" s="118" t="s">
        <v>37</v>
      </c>
      <c r="L273" s="16" t="s">
        <v>89</v>
      </c>
    </row>
    <row r="274" spans="1:12" ht="15" thickBot="1" x14ac:dyDescent="0.35">
      <c r="B274" s="35">
        <f>298.15</f>
        <v>298.14999999999998</v>
      </c>
      <c r="C274" s="53">
        <f>3/2*$D$2 + $D$2</f>
        <v>20.786180000000002</v>
      </c>
      <c r="D274" s="53">
        <f>3/2*$D$2  + $D$2</f>
        <v>20.786180000000002</v>
      </c>
      <c r="E274" s="53" t="e" cm="1">
        <f t="array" ref="E274">$D$2*SUM( ( ($B$12:$B$20) * ($B$12:$B$20)* EXP($B$12:$B$20/B274) ) / ( B274*B274* ( EXP(( $B$12:$B$20)/B274 )  -1)^2 ) ) +   $D$2</f>
        <v>#DIV/0!</v>
      </c>
      <c r="F274" s="56" t="s">
        <v>105</v>
      </c>
      <c r="H274" s="35">
        <f>298.15</f>
        <v>298.14999999999998</v>
      </c>
      <c r="I274" s="106">
        <f>(3/2*$D$2  + $D$2)/ 4.184</f>
        <v>4.9680162523900577</v>
      </c>
      <c r="J274" s="106">
        <f>(3/2*$D$2 + $D$2) / 4.184</f>
        <v>4.9680162523900577</v>
      </c>
      <c r="K274" s="106" t="e" cm="1">
        <f t="array" ref="K274" xml:space="preserve"> ($D$2*SUM( ( ($B$12:$B$20) * ($B$12:$B$20)* EXP($B$12:$B$20/B274) ) / ( B274*B274* ( EXP(( $B$12:$B$20)/B274 )  -1)^2 ) ) +   $D$2 ) / 4.184</f>
        <v>#DIV/0!</v>
      </c>
      <c r="L274" s="119" t="s">
        <v>105</v>
      </c>
    </row>
    <row r="275" spans="1:12" x14ac:dyDescent="0.3">
      <c r="B275" s="35">
        <f>300+100</f>
        <v>400</v>
      </c>
      <c r="C275" s="53">
        <f t="shared" ref="C275:C292" si="46">3/2*$D$2 + $D$2</f>
        <v>20.786180000000002</v>
      </c>
      <c r="D275" s="53">
        <f t="shared" ref="D275:D292" si="47">3/2*$D$2  + $D$2</f>
        <v>20.786180000000002</v>
      </c>
      <c r="E275" s="53" t="e" cm="1">
        <f t="array" ref="E275">$D$2*SUM( ( ($B$12:$B$20) * ($B$12:$B$20)* EXP($B$12:$B$20/B275) ) / ( B275*B275* ( EXP(( $B$12:$B$20)/B275 )  -1)^2 ) ) +   $D$2</f>
        <v>#DIV/0!</v>
      </c>
      <c r="H275" s="35">
        <f>300+100</f>
        <v>400</v>
      </c>
      <c r="I275" s="53">
        <f t="shared" ref="I275:I292" si="48">(3/2*$D$2  + $D$2)/ 4.184</f>
        <v>4.9680162523900577</v>
      </c>
      <c r="J275" s="53">
        <f t="shared" ref="J275:J292" si="49">(3/2*$D$2 + $D$2) / 4.184</f>
        <v>4.9680162523900577</v>
      </c>
      <c r="K275" s="53" t="e" cm="1">
        <f t="array" ref="K275" xml:space="preserve"> ($D$2*SUM( ( ($B$12:$B$20) * ($B$12:$B$20)* EXP($B$12:$B$20/B275) ) / ( B275*B275* ( EXP(( $B$12:$B$20)/B275)  -1)^2 ) ) +   $D$2 ) / 4.184</f>
        <v>#DIV/0!</v>
      </c>
    </row>
    <row r="276" spans="1:12" x14ac:dyDescent="0.3">
      <c r="B276" s="35">
        <f t="shared" ref="B276:B292" si="50">B275+100</f>
        <v>500</v>
      </c>
      <c r="C276" s="53">
        <f t="shared" si="46"/>
        <v>20.786180000000002</v>
      </c>
      <c r="D276" s="53">
        <f t="shared" si="47"/>
        <v>20.786180000000002</v>
      </c>
      <c r="E276" s="53" t="e" cm="1">
        <f t="array" ref="E276">$D$2*SUM( ( ($B$12:$B$20) * ($B$12:$B$20)* EXP($B$12:$B$20/B276) ) / ( B276*B276* ( EXP(( $B$12:$B$20)/B276 )  -1)^2 ) ) +   $D$2</f>
        <v>#DIV/0!</v>
      </c>
      <c r="H276" s="35">
        <f t="shared" ref="H276:H292" si="51">H275+100</f>
        <v>500</v>
      </c>
      <c r="I276" s="53">
        <f t="shared" si="48"/>
        <v>4.9680162523900577</v>
      </c>
      <c r="J276" s="53">
        <f t="shared" si="49"/>
        <v>4.9680162523900577</v>
      </c>
      <c r="K276" s="53" t="e" cm="1">
        <f t="array" ref="K276" xml:space="preserve"> ($D$2*SUM( ( ($B$12:$B$20) * ($B$12:$B$20)* EXP($B$12:$B$20/B276) ) / ( B276*B276* ( EXP(( $B$12:$B$20)/B276)  -1)^2 ) ) +   $D$2 ) / 4.184</f>
        <v>#DIV/0!</v>
      </c>
    </row>
    <row r="277" spans="1:12" x14ac:dyDescent="0.3">
      <c r="B277" s="35">
        <f t="shared" si="50"/>
        <v>600</v>
      </c>
      <c r="C277" s="53">
        <f t="shared" si="46"/>
        <v>20.786180000000002</v>
      </c>
      <c r="D277" s="53">
        <f t="shared" si="47"/>
        <v>20.786180000000002</v>
      </c>
      <c r="E277" s="53" t="e" cm="1">
        <f t="array" ref="E277">$D$2*SUM( ( ($B$12:$B$20) * ($B$12:$B$20)* EXP($B$12:$B$20/B277) ) / ( B277*B277* ( EXP(( $B$12:$B$20)/B277 )  -1)^2 ) ) +   $D$2</f>
        <v>#DIV/0!</v>
      </c>
      <c r="H277" s="35">
        <f t="shared" si="51"/>
        <v>600</v>
      </c>
      <c r="I277" s="53">
        <f t="shared" si="48"/>
        <v>4.9680162523900577</v>
      </c>
      <c r="J277" s="53">
        <f t="shared" si="49"/>
        <v>4.9680162523900577</v>
      </c>
      <c r="K277" s="53" t="e" cm="1">
        <f t="array" ref="K277" xml:space="preserve"> ($D$2*SUM( ( ($B$12:$B$20) * ($B$12:$B$20)* EXP($B$12:$B$20/B277) ) / ( B277*B277* ( EXP(( $B$12:$B$20)/B277)  -1)^2 ) ) +   $D$2 ) / 4.184</f>
        <v>#DIV/0!</v>
      </c>
    </row>
    <row r="278" spans="1:12" x14ac:dyDescent="0.3">
      <c r="B278" s="35">
        <f t="shared" si="50"/>
        <v>700</v>
      </c>
      <c r="C278" s="53">
        <f t="shared" si="46"/>
        <v>20.786180000000002</v>
      </c>
      <c r="D278" s="53">
        <f t="shared" si="47"/>
        <v>20.786180000000002</v>
      </c>
      <c r="E278" s="53" t="e" cm="1">
        <f t="array" ref="E278">$D$2*SUM( ( ($B$12:$B$20) * ($B$12:$B$20)* EXP($B$12:$B$20/B278) ) / ( B278*B278* ( EXP(( $B$12:$B$20)/B278 )  -1)^2 ) ) +   $D$2</f>
        <v>#DIV/0!</v>
      </c>
      <c r="H278" s="35">
        <f t="shared" si="51"/>
        <v>700</v>
      </c>
      <c r="I278" s="53">
        <f t="shared" si="48"/>
        <v>4.9680162523900577</v>
      </c>
      <c r="J278" s="53">
        <f t="shared" si="49"/>
        <v>4.9680162523900577</v>
      </c>
      <c r="K278" s="53" t="e" cm="1">
        <f t="array" ref="K278" xml:space="preserve"> ($D$2*SUM( ( ($B$12:$B$20) * ($B$12:$B$20)* EXP($B$12:$B$20/B278) ) / ( B278*B278* ( EXP(( $B$12:$B$20)/B278)  -1)^2 ) ) +   $D$2 ) / 4.184</f>
        <v>#DIV/0!</v>
      </c>
    </row>
    <row r="279" spans="1:12" x14ac:dyDescent="0.3">
      <c r="B279" s="35">
        <f t="shared" si="50"/>
        <v>800</v>
      </c>
      <c r="C279" s="53">
        <f t="shared" si="46"/>
        <v>20.786180000000002</v>
      </c>
      <c r="D279" s="53">
        <f t="shared" si="47"/>
        <v>20.786180000000002</v>
      </c>
      <c r="E279" s="53" t="e" cm="1">
        <f t="array" ref="E279">$D$2*SUM( ( ($B$12:$B$20) * ($B$12:$B$20)* EXP($B$12:$B$20/B279) ) / ( B279*B279* ( EXP(( $B$12:$B$20)/B279 )  -1)^2 ) ) +   $D$2</f>
        <v>#DIV/0!</v>
      </c>
      <c r="H279" s="35">
        <f t="shared" si="51"/>
        <v>800</v>
      </c>
      <c r="I279" s="53">
        <f t="shared" si="48"/>
        <v>4.9680162523900577</v>
      </c>
      <c r="J279" s="53">
        <f t="shared" si="49"/>
        <v>4.9680162523900577</v>
      </c>
      <c r="K279" s="53" t="e" cm="1">
        <f t="array" ref="K279" xml:space="preserve"> ($D$2*SUM( ( ($B$12:$B$20) * ($B$12:$B$20)* EXP($B$12:$B$20/B279) ) / ( B279*B279* ( EXP(( $B$12:$B$20)/B279)  -1)^2 ) ) +   $D$2 ) / 4.184</f>
        <v>#DIV/0!</v>
      </c>
    </row>
    <row r="280" spans="1:12" x14ac:dyDescent="0.3">
      <c r="B280" s="35">
        <f t="shared" si="50"/>
        <v>900</v>
      </c>
      <c r="C280" s="53">
        <f t="shared" si="46"/>
        <v>20.786180000000002</v>
      </c>
      <c r="D280" s="53">
        <f t="shared" si="47"/>
        <v>20.786180000000002</v>
      </c>
      <c r="E280" s="53" t="e" cm="1">
        <f t="array" ref="E280">$D$2*SUM( ( ($B$12:$B$20) * ($B$12:$B$20)* EXP($B$12:$B$20/B280) ) / ( B280*B280* ( EXP(( $B$12:$B$20)/B280 )  -1)^2 ) ) +   $D$2</f>
        <v>#DIV/0!</v>
      </c>
      <c r="H280" s="35">
        <f t="shared" si="51"/>
        <v>900</v>
      </c>
      <c r="I280" s="53">
        <f t="shared" si="48"/>
        <v>4.9680162523900577</v>
      </c>
      <c r="J280" s="53">
        <f t="shared" si="49"/>
        <v>4.9680162523900577</v>
      </c>
      <c r="K280" s="53" t="e" cm="1">
        <f t="array" ref="K280" xml:space="preserve"> ($D$2*SUM( ( ($B$12:$B$20) * ($B$12:$B$20)* EXP($B$12:$B$20/B280) ) / ( B280*B280* ( EXP(( $B$12:$B$20)/B280)  -1)^2 ) ) +   $D$2 ) / 4.184</f>
        <v>#DIV/0!</v>
      </c>
    </row>
    <row r="281" spans="1:12" x14ac:dyDescent="0.3">
      <c r="B281" s="35">
        <f t="shared" si="50"/>
        <v>1000</v>
      </c>
      <c r="C281" s="53">
        <f t="shared" si="46"/>
        <v>20.786180000000002</v>
      </c>
      <c r="D281" s="53">
        <f t="shared" si="47"/>
        <v>20.786180000000002</v>
      </c>
      <c r="E281" s="53" t="e" cm="1">
        <f t="array" ref="E281">$D$2*SUM( ( ($B$12:$B$20) * ($B$12:$B$20)* EXP($B$12:$B$20/B281) ) / ( B281*B281* ( EXP(( $B$12:$B$20)/B281 )  -1)^2 ) ) +   $D$2</f>
        <v>#DIV/0!</v>
      </c>
      <c r="H281" s="35">
        <f t="shared" si="51"/>
        <v>1000</v>
      </c>
      <c r="I281" s="53">
        <f t="shared" si="48"/>
        <v>4.9680162523900577</v>
      </c>
      <c r="J281" s="53">
        <f t="shared" si="49"/>
        <v>4.9680162523900577</v>
      </c>
      <c r="K281" s="53" t="e" cm="1">
        <f t="array" ref="K281" xml:space="preserve"> ($D$2*SUM( ( ($B$12:$B$20) * ($B$12:$B$20)* EXP($B$12:$B$20/B281) ) / ( B281*B281* ( EXP(( $B$12:$B$20)/B281)  -1)^2 ) ) +   $D$2 ) / 4.184</f>
        <v>#DIV/0!</v>
      </c>
    </row>
    <row r="282" spans="1:12" x14ac:dyDescent="0.3">
      <c r="B282" s="35">
        <f t="shared" si="50"/>
        <v>1100</v>
      </c>
      <c r="C282" s="53">
        <f t="shared" si="46"/>
        <v>20.786180000000002</v>
      </c>
      <c r="D282" s="53">
        <f t="shared" si="47"/>
        <v>20.786180000000002</v>
      </c>
      <c r="E282" s="53" t="e" cm="1">
        <f t="array" ref="E282">$D$2*SUM( ( ($B$12:$B$20) * ($B$12:$B$20)* EXP($B$12:$B$20/B282) ) / ( B282*B282* ( EXP(( $B$12:$B$20)/B282 )  -1)^2 ) ) +   $D$2</f>
        <v>#DIV/0!</v>
      </c>
      <c r="H282" s="35">
        <f t="shared" si="51"/>
        <v>1100</v>
      </c>
      <c r="I282" s="53">
        <f t="shared" si="48"/>
        <v>4.9680162523900577</v>
      </c>
      <c r="J282" s="53">
        <f t="shared" si="49"/>
        <v>4.9680162523900577</v>
      </c>
      <c r="K282" s="53" t="e" cm="1">
        <f t="array" ref="K282" xml:space="preserve"> ($D$2*SUM( ( ($B$12:$B$20) * ($B$12:$B$20)* EXP($B$12:$B$20/B282) ) / ( B282*B282* ( EXP(( $B$12:$B$20)/B282)  -1)^2 ) ) +   $D$2 ) / 4.184</f>
        <v>#DIV/0!</v>
      </c>
    </row>
    <row r="283" spans="1:12" x14ac:dyDescent="0.3">
      <c r="B283" s="35">
        <f t="shared" si="50"/>
        <v>1200</v>
      </c>
      <c r="C283" s="53">
        <f t="shared" si="46"/>
        <v>20.786180000000002</v>
      </c>
      <c r="D283" s="53">
        <f t="shared" si="47"/>
        <v>20.786180000000002</v>
      </c>
      <c r="E283" s="53" t="e" cm="1">
        <f t="array" ref="E283">$D$2*SUM( ( ($B$12:$B$20) * ($B$12:$B$20)* EXP($B$12:$B$20/B283) ) / ( B283*B283* ( EXP(( $B$12:$B$20)/B283 )  -1)^2 ) ) +   $D$2</f>
        <v>#DIV/0!</v>
      </c>
      <c r="H283" s="35">
        <f t="shared" si="51"/>
        <v>1200</v>
      </c>
      <c r="I283" s="53">
        <f t="shared" si="48"/>
        <v>4.9680162523900577</v>
      </c>
      <c r="J283" s="53">
        <f t="shared" si="49"/>
        <v>4.9680162523900577</v>
      </c>
      <c r="K283" s="53" t="e" cm="1">
        <f t="array" ref="K283" xml:space="preserve"> ($D$2*SUM( ( ($B$12:$B$20) * ($B$12:$B$20)* EXP($B$12:$B$20/B283) ) / ( B283*B283* ( EXP(( $B$12:$B$20)/B283)  -1)^2 ) ) +   $D$2 ) / 4.184</f>
        <v>#DIV/0!</v>
      </c>
    </row>
    <row r="284" spans="1:12" x14ac:dyDescent="0.3">
      <c r="B284" s="35">
        <f t="shared" si="50"/>
        <v>1300</v>
      </c>
      <c r="C284" s="53">
        <f t="shared" si="46"/>
        <v>20.786180000000002</v>
      </c>
      <c r="D284" s="53">
        <f t="shared" si="47"/>
        <v>20.786180000000002</v>
      </c>
      <c r="E284" s="53" t="e" cm="1">
        <f t="array" ref="E284">$D$2*SUM( ( ($B$12:$B$20) * ($B$12:$B$20)* EXP($B$12:$B$20/B284) ) / ( B284*B284* ( EXP(( $B$12:$B$20)/B284 )  -1)^2 ) ) +   $D$2</f>
        <v>#DIV/0!</v>
      </c>
      <c r="H284" s="35">
        <f t="shared" si="51"/>
        <v>1300</v>
      </c>
      <c r="I284" s="53">
        <f t="shared" si="48"/>
        <v>4.9680162523900577</v>
      </c>
      <c r="J284" s="53">
        <f t="shared" si="49"/>
        <v>4.9680162523900577</v>
      </c>
      <c r="K284" s="53" t="e" cm="1">
        <f t="array" ref="K284" xml:space="preserve"> ($D$2*SUM( ( ($B$12:$B$20) * ($B$12:$B$20)* EXP($B$12:$B$20/B284) ) / ( B284*B284* ( EXP(( $B$12:$B$20)/B284)  -1)^2 ) ) +   $D$2 ) / 4.184</f>
        <v>#DIV/0!</v>
      </c>
    </row>
    <row r="285" spans="1:12" x14ac:dyDescent="0.3">
      <c r="B285" s="35">
        <f t="shared" si="50"/>
        <v>1400</v>
      </c>
      <c r="C285" s="53">
        <f t="shared" si="46"/>
        <v>20.786180000000002</v>
      </c>
      <c r="D285" s="53">
        <f t="shared" si="47"/>
        <v>20.786180000000002</v>
      </c>
      <c r="E285" s="53" t="e" cm="1">
        <f t="array" ref="E285">$D$2*SUM( ( ($B$12:$B$20) * ($B$12:$B$20)* EXP($B$12:$B$20/B285) ) / ( B285*B285* ( EXP(( $B$12:$B$20)/B285 )  -1)^2 ) ) +   $D$2</f>
        <v>#DIV/0!</v>
      </c>
      <c r="H285" s="35">
        <f t="shared" si="51"/>
        <v>1400</v>
      </c>
      <c r="I285" s="53">
        <f t="shared" si="48"/>
        <v>4.9680162523900577</v>
      </c>
      <c r="J285" s="53">
        <f t="shared" si="49"/>
        <v>4.9680162523900577</v>
      </c>
      <c r="K285" s="53" t="e" cm="1">
        <f t="array" ref="K285" xml:space="preserve"> ($D$2*SUM( ( ($B$12:$B$20) * ($B$12:$B$20)* EXP($B$12:$B$20/B285) ) / ( B285*B285* ( EXP(( $B$12:$B$20)/B285)  -1)^2 ) ) +   $D$2 ) / 4.184</f>
        <v>#DIV/0!</v>
      </c>
    </row>
    <row r="286" spans="1:12" x14ac:dyDescent="0.3">
      <c r="B286" s="35">
        <f t="shared" si="50"/>
        <v>1500</v>
      </c>
      <c r="C286" s="53">
        <f t="shared" si="46"/>
        <v>20.786180000000002</v>
      </c>
      <c r="D286" s="53">
        <f t="shared" si="47"/>
        <v>20.786180000000002</v>
      </c>
      <c r="E286" s="53" t="e" cm="1">
        <f t="array" ref="E286">$D$2*SUM( ( ($B$12:$B$20) * ($B$12:$B$20)* EXP($B$12:$B$20/B286) ) / ( B286*B286* ( EXP(( $B$12:$B$20)/B286 )  -1)^2 ) ) +   $D$2</f>
        <v>#DIV/0!</v>
      </c>
      <c r="H286" s="35">
        <f t="shared" si="51"/>
        <v>1500</v>
      </c>
      <c r="I286" s="53">
        <f t="shared" si="48"/>
        <v>4.9680162523900577</v>
      </c>
      <c r="J286" s="53">
        <f t="shared" si="49"/>
        <v>4.9680162523900577</v>
      </c>
      <c r="K286" s="53" t="e" cm="1">
        <f t="array" ref="K286" xml:space="preserve"> ($D$2*SUM( ( ($B$12:$B$20) * ($B$12:$B$20)* EXP($B$12:$B$20/B286) ) / ( B286*B286* ( EXP(( $B$12:$B$20)/B286)  -1)^2 ) ) +   $D$2 ) / 4.184</f>
        <v>#DIV/0!</v>
      </c>
    </row>
    <row r="287" spans="1:12" x14ac:dyDescent="0.3">
      <c r="B287" s="35">
        <f t="shared" si="50"/>
        <v>1600</v>
      </c>
      <c r="C287" s="53">
        <f t="shared" si="46"/>
        <v>20.786180000000002</v>
      </c>
      <c r="D287" s="53">
        <f t="shared" si="47"/>
        <v>20.786180000000002</v>
      </c>
      <c r="E287" s="53" t="e" cm="1">
        <f t="array" ref="E287">$D$2*SUM( ( ($B$12:$B$20) * ($B$12:$B$20)* EXP($B$12:$B$20/B287) ) / ( B287*B287* ( EXP(( $B$12:$B$20)/B287 )  -1)^2 ) ) +   $D$2</f>
        <v>#DIV/0!</v>
      </c>
      <c r="H287" s="35">
        <f t="shared" si="51"/>
        <v>1600</v>
      </c>
      <c r="I287" s="53">
        <f t="shared" si="48"/>
        <v>4.9680162523900577</v>
      </c>
      <c r="J287" s="53">
        <f t="shared" si="49"/>
        <v>4.9680162523900577</v>
      </c>
      <c r="K287" s="53" t="e" cm="1">
        <f t="array" ref="K287" xml:space="preserve"> ($D$2*SUM( ( ($B$12:$B$20) * ($B$12:$B$20)* EXP($B$12:$B$20/B287) ) / ( B287*B287* ( EXP(( $B$12:$B$20)/B287)  -1)^2 ) ) +   $D$2 ) / 4.184</f>
        <v>#DIV/0!</v>
      </c>
    </row>
    <row r="288" spans="1:12" x14ac:dyDescent="0.3">
      <c r="B288" s="35">
        <f t="shared" si="50"/>
        <v>1700</v>
      </c>
      <c r="C288" s="53">
        <f t="shared" si="46"/>
        <v>20.786180000000002</v>
      </c>
      <c r="D288" s="53">
        <f t="shared" si="47"/>
        <v>20.786180000000002</v>
      </c>
      <c r="E288" s="53" t="e" cm="1">
        <f t="array" ref="E288">$D$2*SUM( ( ($B$12:$B$20) * ($B$12:$B$20)* EXP($B$12:$B$20/B288) ) / ( B288*B288* ( EXP(( $B$12:$B$20)/B288 )  -1)^2 ) ) +   $D$2</f>
        <v>#DIV/0!</v>
      </c>
      <c r="H288" s="35">
        <f t="shared" si="51"/>
        <v>1700</v>
      </c>
      <c r="I288" s="53">
        <f t="shared" si="48"/>
        <v>4.9680162523900577</v>
      </c>
      <c r="J288" s="53">
        <f t="shared" si="49"/>
        <v>4.9680162523900577</v>
      </c>
      <c r="K288" s="53" t="e" cm="1">
        <f t="array" ref="K288" xml:space="preserve"> ($D$2*SUM( ( ($B$12:$B$20) * ($B$12:$B$20)* EXP($B$12:$B$20/B288) ) / ( B288*B288* ( EXP(( $B$12:$B$20)/B288)  -1)^2 ) ) +   $D$2 ) / 4.184</f>
        <v>#DIV/0!</v>
      </c>
    </row>
    <row r="289" spans="2:12" x14ac:dyDescent="0.3">
      <c r="B289" s="35">
        <f t="shared" si="50"/>
        <v>1800</v>
      </c>
      <c r="C289" s="53">
        <f t="shared" si="46"/>
        <v>20.786180000000002</v>
      </c>
      <c r="D289" s="53">
        <f t="shared" si="47"/>
        <v>20.786180000000002</v>
      </c>
      <c r="E289" s="53" t="e" cm="1">
        <f t="array" ref="E289">$D$2*SUM( ( ($B$12:$B$20) * ($B$12:$B$20)* EXP($B$12:$B$20/B289) ) / ( B289*B289* ( EXP(( $B$12:$B$20)/B289 )  -1)^2 ) ) +   $D$2</f>
        <v>#DIV/0!</v>
      </c>
      <c r="H289" s="35">
        <f t="shared" si="51"/>
        <v>1800</v>
      </c>
      <c r="I289" s="53">
        <f t="shared" si="48"/>
        <v>4.9680162523900577</v>
      </c>
      <c r="J289" s="53">
        <f t="shared" si="49"/>
        <v>4.9680162523900577</v>
      </c>
      <c r="K289" s="53" t="e" cm="1">
        <f t="array" ref="K289" xml:space="preserve"> ($D$2*SUM( ( ($B$12:$B$20) * ($B$12:$B$20)* EXP($B$12:$B$20/B289) ) / ( B289*B289* ( EXP(( $B$12:$B$20)/B289)  -1)^2 ) ) +   $D$2 ) / 4.184</f>
        <v>#DIV/0!</v>
      </c>
    </row>
    <row r="290" spans="2:12" x14ac:dyDescent="0.3">
      <c r="B290" s="35">
        <f t="shared" si="50"/>
        <v>1900</v>
      </c>
      <c r="C290" s="53">
        <f t="shared" si="46"/>
        <v>20.786180000000002</v>
      </c>
      <c r="D290" s="53">
        <f t="shared" si="47"/>
        <v>20.786180000000002</v>
      </c>
      <c r="E290" s="53" t="e" cm="1">
        <f t="array" ref="E290">$D$2*SUM( ( ($B$12:$B$20) * ($B$12:$B$20)* EXP($B$12:$B$20/B290) ) / ( B290*B290* ( EXP(( $B$12:$B$20)/B290 )  -1)^2 ) ) +   $D$2</f>
        <v>#DIV/0!</v>
      </c>
      <c r="H290" s="35">
        <f t="shared" si="51"/>
        <v>1900</v>
      </c>
      <c r="I290" s="53">
        <f t="shared" si="48"/>
        <v>4.9680162523900577</v>
      </c>
      <c r="J290" s="53">
        <f t="shared" si="49"/>
        <v>4.9680162523900577</v>
      </c>
      <c r="K290" s="53" t="e" cm="1">
        <f t="array" ref="K290" xml:space="preserve"> ($D$2*SUM( ( ($B$12:$B$20) * ($B$12:$B$20)* EXP($B$12:$B$20/B290) ) / ( B290*B290* ( EXP(( $B$12:$B$20)/B290)  -1)^2 ) ) +   $D$2 ) / 4.184</f>
        <v>#DIV/0!</v>
      </c>
    </row>
    <row r="291" spans="2:12" x14ac:dyDescent="0.3">
      <c r="B291" s="35">
        <f t="shared" si="50"/>
        <v>2000</v>
      </c>
      <c r="C291" s="53">
        <f t="shared" si="46"/>
        <v>20.786180000000002</v>
      </c>
      <c r="D291" s="53">
        <f t="shared" si="47"/>
        <v>20.786180000000002</v>
      </c>
      <c r="E291" s="53" t="e" cm="1">
        <f t="array" ref="E291">$D$2*SUM( ( ($B$12:$B$20) * ($B$12:$B$20)* EXP($B$12:$B$20/B291) ) / ( B291*B291* ( EXP(( $B$12:$B$20)/B291 )  -1)^2 ) ) +   $D$2</f>
        <v>#DIV/0!</v>
      </c>
      <c r="H291" s="35">
        <f t="shared" si="51"/>
        <v>2000</v>
      </c>
      <c r="I291" s="53">
        <f t="shared" si="48"/>
        <v>4.9680162523900577</v>
      </c>
      <c r="J291" s="53">
        <f t="shared" si="49"/>
        <v>4.9680162523900577</v>
      </c>
      <c r="K291" s="53" t="e" cm="1">
        <f t="array" ref="K291" xml:space="preserve"> ($D$2*SUM( ( ($B$12:$B$20) * ($B$12:$B$20)* EXP($B$12:$B$20/B291) ) / ( B291*B291* ( EXP(( $B$12:$B$20)/B291)  -1)^2 ) ) +   $D$2 ) / 4.184</f>
        <v>#DIV/0!</v>
      </c>
    </row>
    <row r="292" spans="2:12" ht="15" thickBot="1" x14ac:dyDescent="0.35">
      <c r="B292" s="26">
        <f t="shared" si="50"/>
        <v>2100</v>
      </c>
      <c r="C292" s="56">
        <f t="shared" si="46"/>
        <v>20.786180000000002</v>
      </c>
      <c r="D292" s="56">
        <f t="shared" si="47"/>
        <v>20.786180000000002</v>
      </c>
      <c r="E292" s="56" t="e" cm="1">
        <f t="array" ref="E292">$D$2*SUM( ( ($B$12:$B$20) * ($B$12:$B$20)* EXP($B$12:$B$20/B292) ) / ( B292*B292* ( EXP(( $B$12:$B$20)/B292 )  -1)^2 ) ) +   $D$2</f>
        <v>#DIV/0!</v>
      </c>
      <c r="F292" s="51"/>
      <c r="H292" s="26">
        <f t="shared" si="51"/>
        <v>2100</v>
      </c>
      <c r="I292" s="56">
        <f t="shared" si="48"/>
        <v>4.9680162523900577</v>
      </c>
      <c r="J292" s="56">
        <f t="shared" si="49"/>
        <v>4.9680162523900577</v>
      </c>
      <c r="K292" s="56" t="e" cm="1">
        <f t="array" ref="K292" xml:space="preserve"> ($D$2*SUM( ( ($B$12:$B$20) * ($B$12:$B$20)* EXP($B$12:$B$20/B292) ) / ( B292*B292* ( EXP(( $B$12:$B$20)/B292)  -1)^2 ) ) +   $D$2 ) / 4.184</f>
        <v>#DIV/0!</v>
      </c>
      <c r="L292" s="51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6E53-17CF-4FF9-9FA8-C2448B7BB13A}">
  <dimension ref="A1:W292"/>
  <sheetViews>
    <sheetView workbookViewId="0">
      <selection activeCell="L159" sqref="L159"/>
    </sheetView>
  </sheetViews>
  <sheetFormatPr defaultRowHeight="14.4" x14ac:dyDescent="0.3"/>
  <cols>
    <col min="1" max="1" width="29.88671875" style="5" bestFit="1" customWidth="1"/>
    <col min="2" max="2" width="16.55468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6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16.01872*1.66E-27</f>
        <v>2.6591075199999997E-26</v>
      </c>
      <c r="F2" s="7">
        <v>6.0221407599999999E+23</v>
      </c>
      <c r="G2" s="7">
        <f>((2*$E$2*$B$2*$A$2*$H$2)/($C$2*$C$2))^1.5</f>
        <v>6.1995398817905934E+31</v>
      </c>
      <c r="H2" s="8">
        <f>298.15</f>
        <v>298.14999999999998</v>
      </c>
      <c r="I2" s="9">
        <v>29979300000</v>
      </c>
      <c r="J2" s="10">
        <v>101325</v>
      </c>
      <c r="K2" s="9">
        <f>(E2*1000)/1.00783</f>
        <v>2.6384484684917097E-23</v>
      </c>
      <c r="L2" s="10">
        <f>F2*K2</f>
        <v>15.8891080652635</v>
      </c>
    </row>
    <row r="3" spans="1:21" ht="15" thickBot="1" x14ac:dyDescent="0.35"/>
    <row r="4" spans="1:21" ht="15" thickBot="1" x14ac:dyDescent="0.35">
      <c r="E4" s="11" t="s">
        <v>12</v>
      </c>
      <c r="F4" s="12" t="s">
        <v>13</v>
      </c>
      <c r="G4" s="13" t="s">
        <v>14</v>
      </c>
      <c r="I4" s="11" t="s">
        <v>15</v>
      </c>
      <c r="J4" s="12" t="s">
        <v>16</v>
      </c>
      <c r="K4" s="12" t="s">
        <v>17</v>
      </c>
      <c r="L4" s="14" t="s">
        <v>18</v>
      </c>
    </row>
    <row r="5" spans="1:21" ht="16.8" thickBot="1" x14ac:dyDescent="0.35">
      <c r="B5" s="15" t="s">
        <v>19</v>
      </c>
      <c r="D5" s="16" t="s">
        <v>20</v>
      </c>
      <c r="E5" s="17">
        <v>2.57192</v>
      </c>
      <c r="F5" s="18">
        <v>4.7159300000000002</v>
      </c>
      <c r="G5" s="19">
        <v>7.2878499999999997</v>
      </c>
      <c r="I5" s="20">
        <v>1.8966E-2</v>
      </c>
      <c r="J5" s="21">
        <f>I5*627.509474</f>
        <v>11.901344683884</v>
      </c>
      <c r="K5" s="21">
        <f>I5*4.35974E-18</f>
        <v>8.2686828839999991E-20</v>
      </c>
      <c r="L5" s="22">
        <f>(2*K5)/(C2)</f>
        <v>249580381124974.84</v>
      </c>
    </row>
    <row r="6" spans="1:21" ht="16.8" thickBot="1" x14ac:dyDescent="0.35">
      <c r="A6" s="23" t="s">
        <v>21</v>
      </c>
      <c r="B6" s="24">
        <v>2</v>
      </c>
      <c r="D6" s="25" t="s">
        <v>22</v>
      </c>
      <c r="E6" s="26">
        <f>E5*1.66E-47</f>
        <v>4.2693871999999999E-47</v>
      </c>
      <c r="F6" s="27">
        <f>F5*1.66E-47</f>
        <v>7.8284438000000005E-47</v>
      </c>
      <c r="G6" s="28">
        <f>G5*1.66E-47</f>
        <v>1.2097831E-46</v>
      </c>
      <c r="U6" s="29"/>
    </row>
    <row r="7" spans="1:21" ht="15" thickBot="1" x14ac:dyDescent="0.35">
      <c r="U7" s="29"/>
    </row>
    <row r="8" spans="1:21" ht="15" thickBot="1" x14ac:dyDescent="0.35">
      <c r="A8" s="5" t="s">
        <v>23</v>
      </c>
      <c r="D8" s="23" t="s">
        <v>24</v>
      </c>
      <c r="E8" s="120">
        <v>701.71065999999996</v>
      </c>
      <c r="F8" s="18">
        <v>382.69029</v>
      </c>
      <c r="G8" s="19">
        <v>247.63704999999999</v>
      </c>
      <c r="H8" s="29"/>
      <c r="U8" s="29"/>
    </row>
    <row r="9" spans="1:21" ht="15" thickBot="1" x14ac:dyDescent="0.35">
      <c r="E9" s="26">
        <f>E8*1000000000</f>
        <v>701710660000</v>
      </c>
      <c r="F9" s="27">
        <f>F8*1000000000</f>
        <v>382690290000</v>
      </c>
      <c r="G9" s="28">
        <f>G8*1000000000</f>
        <v>247637050000</v>
      </c>
    </row>
    <row r="10" spans="1:21" ht="15" customHeight="1" thickBot="1" x14ac:dyDescent="0.35"/>
    <row r="11" spans="1:21" ht="15" customHeight="1" thickBot="1" x14ac:dyDescent="0.35">
      <c r="D11" s="30" t="s">
        <v>25</v>
      </c>
      <c r="E11" s="121">
        <v>33.676760000000002</v>
      </c>
      <c r="F11" s="31">
        <v>18.366219999999998</v>
      </c>
      <c r="G11" s="32">
        <v>11.884690000000001</v>
      </c>
    </row>
    <row r="12" spans="1:21" ht="27" customHeight="1" x14ac:dyDescent="0.3">
      <c r="A12" s="33" t="s">
        <v>26</v>
      </c>
      <c r="B12" s="34">
        <v>2185.88</v>
      </c>
    </row>
    <row r="13" spans="1:21" ht="15" thickBot="1" x14ac:dyDescent="0.35">
      <c r="A13" s="35"/>
      <c r="B13" s="36">
        <v>4822.4399999999996</v>
      </c>
      <c r="S13" s="29"/>
      <c r="T13" s="29"/>
    </row>
    <row r="14" spans="1:21" ht="15.6" x14ac:dyDescent="0.3">
      <c r="A14" s="35"/>
      <c r="B14" s="36">
        <v>4969.7299999999996</v>
      </c>
      <c r="D14" s="37" t="s">
        <v>27</v>
      </c>
      <c r="E14" s="38"/>
      <c r="F14" s="3" t="s">
        <v>28</v>
      </c>
      <c r="G14" s="3" t="s">
        <v>29</v>
      </c>
      <c r="H14" s="4" t="s">
        <v>30</v>
      </c>
    </row>
    <row r="15" spans="1:21" x14ac:dyDescent="0.3">
      <c r="A15" s="35"/>
      <c r="B15" s="36"/>
      <c r="E15" s="39"/>
      <c r="F15" s="40" t="s">
        <v>31</v>
      </c>
      <c r="G15" s="40" t="s">
        <v>32</v>
      </c>
      <c r="H15" s="41" t="s">
        <v>32</v>
      </c>
    </row>
    <row r="16" spans="1:21" x14ac:dyDescent="0.3">
      <c r="A16" s="35"/>
      <c r="B16" s="36"/>
      <c r="E16" s="39" t="s">
        <v>33</v>
      </c>
      <c r="F16" s="40">
        <v>13.682</v>
      </c>
      <c r="G16" s="40">
        <v>6.032</v>
      </c>
      <c r="H16" s="41">
        <v>46.526000000000003</v>
      </c>
    </row>
    <row r="17" spans="1:8" x14ac:dyDescent="0.3">
      <c r="A17" s="35"/>
      <c r="B17" s="36"/>
      <c r="E17" s="39" t="s">
        <v>34</v>
      </c>
      <c r="F17" s="40">
        <v>0</v>
      </c>
      <c r="G17" s="40">
        <v>0</v>
      </c>
      <c r="H17" s="41">
        <v>1.377</v>
      </c>
    </row>
    <row r="18" spans="1:8" x14ac:dyDescent="0.3">
      <c r="A18" s="35"/>
      <c r="B18" s="36"/>
      <c r="E18" s="39" t="s">
        <v>35</v>
      </c>
      <c r="F18" s="40">
        <v>0.88900000000000001</v>
      </c>
      <c r="G18" s="40">
        <v>2.9809999999999999</v>
      </c>
      <c r="H18" s="41">
        <v>34.259</v>
      </c>
    </row>
    <row r="19" spans="1:8" x14ac:dyDescent="0.3">
      <c r="A19" s="35"/>
      <c r="B19" s="36"/>
      <c r="E19" s="39" t="s">
        <v>36</v>
      </c>
      <c r="F19" s="40">
        <v>0.88900000000000001</v>
      </c>
      <c r="G19" s="40">
        <v>2.9809999999999999</v>
      </c>
      <c r="H19" s="41">
        <v>10.879</v>
      </c>
    </row>
    <row r="20" spans="1:8" ht="15" thickBot="1" x14ac:dyDescent="0.35">
      <c r="A20" s="26"/>
      <c r="B20" s="28"/>
      <c r="E20" s="43" t="s">
        <v>37</v>
      </c>
      <c r="F20" s="127">
        <v>11.904</v>
      </c>
      <c r="G20" s="127">
        <v>7.0000000000000007E-2</v>
      </c>
      <c r="H20" s="45">
        <v>1.0999999999999999E-2</v>
      </c>
    </row>
    <row r="21" spans="1:8" ht="15" thickBot="1" x14ac:dyDescent="0.35">
      <c r="F21" s="46"/>
      <c r="G21" s="46"/>
      <c r="H21" s="46"/>
    </row>
    <row r="22" spans="1:8" x14ac:dyDescent="0.3">
      <c r="E22" s="38"/>
      <c r="F22" s="4" t="s">
        <v>38</v>
      </c>
    </row>
    <row r="23" spans="1:8" x14ac:dyDescent="0.3">
      <c r="E23" s="39" t="s">
        <v>39</v>
      </c>
      <c r="F23" s="128">
        <v>0.50691799999999998</v>
      </c>
    </row>
    <row r="24" spans="1:8" x14ac:dyDescent="0.3">
      <c r="E24" s="39" t="s">
        <v>40</v>
      </c>
      <c r="F24" s="128">
        <v>268374000</v>
      </c>
    </row>
    <row r="25" spans="1:8" x14ac:dyDescent="0.3">
      <c r="E25" s="39" t="s">
        <v>41</v>
      </c>
      <c r="F25" s="128">
        <v>1.89009E-9</v>
      </c>
    </row>
    <row r="26" spans="1:8" x14ac:dyDescent="0.3">
      <c r="E26" s="39" t="s">
        <v>42</v>
      </c>
      <c r="F26" s="128">
        <v>1.0006600000000001</v>
      </c>
      <c r="G26" s="5" t="s">
        <v>43</v>
      </c>
    </row>
    <row r="27" spans="1:8" x14ac:dyDescent="0.3">
      <c r="E27" s="39" t="s">
        <v>34</v>
      </c>
      <c r="F27" s="128">
        <v>2</v>
      </c>
      <c r="G27" s="48"/>
    </row>
    <row r="28" spans="1:8" x14ac:dyDescent="0.3">
      <c r="E28" s="39" t="s">
        <v>35</v>
      </c>
      <c r="F28" s="128">
        <v>2519980</v>
      </c>
      <c r="G28" s="48"/>
    </row>
    <row r="29" spans="1:8" ht="15" thickBot="1" x14ac:dyDescent="0.35">
      <c r="E29" s="43" t="s">
        <v>36</v>
      </c>
      <c r="F29" s="129">
        <v>53.214300000000001</v>
      </c>
      <c r="G29" s="48"/>
    </row>
    <row r="30" spans="1:8" ht="15" thickBot="1" x14ac:dyDescent="0.35"/>
    <row r="31" spans="1:8" ht="16.2" x14ac:dyDescent="0.3">
      <c r="A31" s="17" t="s">
        <v>44</v>
      </c>
      <c r="B31" s="19" t="s">
        <v>45</v>
      </c>
      <c r="C31" s="50" t="s">
        <v>46</v>
      </c>
      <c r="D31" s="13" t="s">
        <v>47</v>
      </c>
      <c r="E31" s="16" t="s">
        <v>48</v>
      </c>
    </row>
    <row r="32" spans="1:8" x14ac:dyDescent="0.3">
      <c r="A32" s="130">
        <v>1519.2654</v>
      </c>
      <c r="B32" s="63">
        <f t="shared" ref="B32:B34" si="0">A32*$I$2</f>
        <v>45546513206220</v>
      </c>
      <c r="C32" s="52">
        <f>298.15</f>
        <v>298.14999999999998</v>
      </c>
      <c r="D32" s="63">
        <f>($A$2*C32)/$J$2</f>
        <v>4.062431680236861E-26</v>
      </c>
      <c r="E32" s="54">
        <f>$F$2*($F$83*D32)/($D$2*C32)</f>
        <v>0.99996338110898686</v>
      </c>
    </row>
    <row r="33" spans="1:5" x14ac:dyDescent="0.3">
      <c r="A33" s="35">
        <v>3351.7685000000001</v>
      </c>
      <c r="B33" s="63">
        <f t="shared" si="0"/>
        <v>100483673392050</v>
      </c>
      <c r="C33" s="52">
        <f>300+100</f>
        <v>400</v>
      </c>
      <c r="D33" s="63">
        <f t="shared" ref="D33:D50" si="1">($A$2*C33)/$J$2</f>
        <v>5.4501850481125095E-26</v>
      </c>
      <c r="E33" s="54">
        <f t="shared" ref="E33:E50" si="2">$F$2*($F$83*D33)/($D$2*C33)</f>
        <v>0.99996338110898686</v>
      </c>
    </row>
    <row r="34" spans="1:5" ht="15" thickBot="1" x14ac:dyDescent="0.35">
      <c r="A34" s="26">
        <v>3454.1415000000002</v>
      </c>
      <c r="B34" s="65">
        <f t="shared" si="0"/>
        <v>103552744270950</v>
      </c>
      <c r="C34" s="52">
        <f t="shared" ref="C34:C50" si="3">C33+100</f>
        <v>500</v>
      </c>
      <c r="D34" s="63">
        <f t="shared" si="1"/>
        <v>6.8127313101406362E-26</v>
      </c>
      <c r="E34" s="54">
        <f t="shared" si="2"/>
        <v>0.99996338110898675</v>
      </c>
    </row>
    <row r="35" spans="1:5" x14ac:dyDescent="0.3">
      <c r="B35" s="51"/>
      <c r="C35" s="52">
        <f t="shared" si="3"/>
        <v>600</v>
      </c>
      <c r="D35" s="63">
        <f t="shared" si="1"/>
        <v>8.175277572168763E-26</v>
      </c>
      <c r="E35" s="54">
        <f t="shared" si="2"/>
        <v>0.99996338110898653</v>
      </c>
    </row>
    <row r="36" spans="1:5" x14ac:dyDescent="0.3">
      <c r="B36" s="51"/>
      <c r="C36" s="52">
        <f t="shared" si="3"/>
        <v>700</v>
      </c>
      <c r="D36" s="63">
        <f t="shared" si="1"/>
        <v>9.5378238341968898E-26</v>
      </c>
      <c r="E36" s="54">
        <f t="shared" si="2"/>
        <v>0.99996338110898653</v>
      </c>
    </row>
    <row r="37" spans="1:5" x14ac:dyDescent="0.3">
      <c r="B37" s="51"/>
      <c r="C37" s="52">
        <f t="shared" si="3"/>
        <v>800</v>
      </c>
      <c r="D37" s="63">
        <f t="shared" si="1"/>
        <v>1.0900370096225019E-25</v>
      </c>
      <c r="E37" s="54">
        <f t="shared" si="2"/>
        <v>0.99996338110898686</v>
      </c>
    </row>
    <row r="38" spans="1:5" x14ac:dyDescent="0.3">
      <c r="B38" s="51"/>
      <c r="C38" s="52">
        <f t="shared" si="3"/>
        <v>900</v>
      </c>
      <c r="D38" s="63">
        <f t="shared" si="1"/>
        <v>1.2262916358253145E-25</v>
      </c>
      <c r="E38" s="54">
        <f t="shared" si="2"/>
        <v>0.99996338110898675</v>
      </c>
    </row>
    <row r="39" spans="1:5" x14ac:dyDescent="0.3">
      <c r="B39" s="51"/>
      <c r="C39" s="52">
        <f t="shared" si="3"/>
        <v>1000</v>
      </c>
      <c r="D39" s="63">
        <f t="shared" si="1"/>
        <v>1.3625462620281272E-25</v>
      </c>
      <c r="E39" s="54">
        <f t="shared" si="2"/>
        <v>0.99996338110898675</v>
      </c>
    </row>
    <row r="40" spans="1:5" x14ac:dyDescent="0.3">
      <c r="B40" s="51"/>
      <c r="C40" s="52">
        <f t="shared" si="3"/>
        <v>1100</v>
      </c>
      <c r="D40" s="63">
        <f t="shared" si="1"/>
        <v>1.4988008882309398E-25</v>
      </c>
      <c r="E40" s="54">
        <f t="shared" si="2"/>
        <v>0.99996338110898653</v>
      </c>
    </row>
    <row r="41" spans="1:5" x14ac:dyDescent="0.3">
      <c r="B41" s="51"/>
      <c r="C41" s="52">
        <f t="shared" si="3"/>
        <v>1200</v>
      </c>
      <c r="D41" s="63">
        <f t="shared" si="1"/>
        <v>1.6350555144337526E-25</v>
      </c>
      <c r="E41" s="54">
        <f t="shared" si="2"/>
        <v>0.99996338110898653</v>
      </c>
    </row>
    <row r="42" spans="1:5" x14ac:dyDescent="0.3">
      <c r="B42" s="51"/>
      <c r="C42" s="52">
        <f t="shared" si="3"/>
        <v>1300</v>
      </c>
      <c r="D42" s="63">
        <f t="shared" si="1"/>
        <v>1.7713101406365654E-25</v>
      </c>
      <c r="E42" s="54">
        <f t="shared" si="2"/>
        <v>0.99996338110898675</v>
      </c>
    </row>
    <row r="43" spans="1:5" x14ac:dyDescent="0.3">
      <c r="B43" s="51"/>
      <c r="C43" s="52">
        <f t="shared" si="3"/>
        <v>1400</v>
      </c>
      <c r="D43" s="63">
        <f t="shared" si="1"/>
        <v>1.907564766839378E-25</v>
      </c>
      <c r="E43" s="54">
        <f t="shared" si="2"/>
        <v>0.99996338110898653</v>
      </c>
    </row>
    <row r="44" spans="1:5" x14ac:dyDescent="0.3">
      <c r="B44" s="51"/>
      <c r="C44" s="52">
        <f t="shared" si="3"/>
        <v>1500</v>
      </c>
      <c r="D44" s="63">
        <f t="shared" si="1"/>
        <v>2.0438193930421908E-25</v>
      </c>
      <c r="E44" s="54">
        <f t="shared" si="2"/>
        <v>0.99996338110898675</v>
      </c>
    </row>
    <row r="45" spans="1:5" x14ac:dyDescent="0.3">
      <c r="B45" s="51"/>
      <c r="C45" s="52">
        <f t="shared" si="3"/>
        <v>1600</v>
      </c>
      <c r="D45" s="63">
        <f t="shared" si="1"/>
        <v>2.1800740192450038E-25</v>
      </c>
      <c r="E45" s="54">
        <f t="shared" si="2"/>
        <v>0.99996338110898686</v>
      </c>
    </row>
    <row r="46" spans="1:5" x14ac:dyDescent="0.3">
      <c r="B46" s="51"/>
      <c r="C46" s="52">
        <f t="shared" si="3"/>
        <v>1700</v>
      </c>
      <c r="D46" s="63">
        <f t="shared" si="1"/>
        <v>2.3163286454478159E-25</v>
      </c>
      <c r="E46" s="54">
        <f t="shared" si="2"/>
        <v>0.99996338110898664</v>
      </c>
    </row>
    <row r="47" spans="1:5" x14ac:dyDescent="0.3">
      <c r="B47" s="51"/>
      <c r="C47" s="52">
        <f t="shared" si="3"/>
        <v>1800</v>
      </c>
      <c r="D47" s="63">
        <f t="shared" si="1"/>
        <v>2.4525832716506289E-25</v>
      </c>
      <c r="E47" s="54">
        <f t="shared" si="2"/>
        <v>0.99996338110898675</v>
      </c>
    </row>
    <row r="48" spans="1:5" x14ac:dyDescent="0.3">
      <c r="B48" s="51"/>
      <c r="C48" s="52">
        <f t="shared" si="3"/>
        <v>1900</v>
      </c>
      <c r="D48" s="63">
        <f t="shared" si="1"/>
        <v>2.5888378978534419E-25</v>
      </c>
      <c r="E48" s="54">
        <f t="shared" si="2"/>
        <v>0.99996338110898686</v>
      </c>
    </row>
    <row r="49" spans="1:23" x14ac:dyDescent="0.3">
      <c r="B49" s="51"/>
      <c r="C49" s="52">
        <f t="shared" si="3"/>
        <v>2000</v>
      </c>
      <c r="D49" s="63">
        <f t="shared" si="1"/>
        <v>2.7250925240562545E-25</v>
      </c>
      <c r="E49" s="54">
        <f t="shared" si="2"/>
        <v>0.99996338110898675</v>
      </c>
    </row>
    <row r="50" spans="1:23" ht="15" thickBot="1" x14ac:dyDescent="0.35">
      <c r="C50" s="25">
        <f t="shared" si="3"/>
        <v>2100</v>
      </c>
      <c r="D50" s="65">
        <f t="shared" si="1"/>
        <v>2.8613471502590675E-25</v>
      </c>
      <c r="E50" s="57">
        <f t="shared" si="2"/>
        <v>0.99996338110898664</v>
      </c>
    </row>
    <row r="51" spans="1:23" ht="15" thickBot="1" x14ac:dyDescent="0.35"/>
    <row r="52" spans="1:23" ht="18.600000000000001" thickBot="1" x14ac:dyDescent="0.35">
      <c r="D52" s="203" t="s">
        <v>49</v>
      </c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5"/>
    </row>
    <row r="53" spans="1:23" ht="15" thickBot="1" x14ac:dyDescent="0.35">
      <c r="A53" s="11" t="s">
        <v>50</v>
      </c>
      <c r="B53" s="59">
        <f>E54</f>
        <v>1.0006548482228059</v>
      </c>
      <c r="D53" s="11" t="s">
        <v>51</v>
      </c>
      <c r="E53" s="69">
        <v>298.14999999999998</v>
      </c>
      <c r="F53" s="69">
        <f>300+100</f>
        <v>400</v>
      </c>
      <c r="G53" s="69">
        <f t="shared" ref="G53:W53" si="4">F53+100</f>
        <v>500</v>
      </c>
      <c r="H53" s="69">
        <f t="shared" si="4"/>
        <v>600</v>
      </c>
      <c r="I53" s="69">
        <f t="shared" si="4"/>
        <v>700</v>
      </c>
      <c r="J53" s="69">
        <f t="shared" si="4"/>
        <v>800</v>
      </c>
      <c r="K53" s="69">
        <f t="shared" si="4"/>
        <v>900</v>
      </c>
      <c r="L53" s="69">
        <f t="shared" si="4"/>
        <v>1000</v>
      </c>
      <c r="M53" s="69">
        <f t="shared" si="4"/>
        <v>1100</v>
      </c>
      <c r="N53" s="69">
        <f t="shared" si="4"/>
        <v>1200</v>
      </c>
      <c r="O53" s="69">
        <f t="shared" si="4"/>
        <v>1300</v>
      </c>
      <c r="P53" s="69">
        <f t="shared" si="4"/>
        <v>1400</v>
      </c>
      <c r="Q53" s="69">
        <f t="shared" si="4"/>
        <v>1500</v>
      </c>
      <c r="R53" s="69">
        <f t="shared" si="4"/>
        <v>1600</v>
      </c>
      <c r="S53" s="69">
        <f t="shared" si="4"/>
        <v>1700</v>
      </c>
      <c r="T53" s="69">
        <f t="shared" si="4"/>
        <v>1800</v>
      </c>
      <c r="U53" s="69">
        <f t="shared" si="4"/>
        <v>1900</v>
      </c>
      <c r="V53" s="69">
        <f t="shared" si="4"/>
        <v>2000</v>
      </c>
      <c r="W53" s="70">
        <f t="shared" si="4"/>
        <v>2100</v>
      </c>
    </row>
    <row r="54" spans="1:23" x14ac:dyDescent="0.3">
      <c r="A54" s="17"/>
      <c r="B54" s="59">
        <f t="shared" ref="B54:B55" si="5">E55</f>
        <v>1.0000000944529024</v>
      </c>
      <c r="D54" s="64">
        <f t="shared" ref="D54:D56" si="6">A32*$I$2</f>
        <v>45546513206220</v>
      </c>
      <c r="E54" s="51">
        <f>1/(1 - EXP((-$C$2*$D$54)/($A$2*E53)))</f>
        <v>1.0006548482228059</v>
      </c>
      <c r="F54" s="51">
        <f t="shared" ref="F54:W54" si="7">1/(1 - EXP((-$C$2*$D$54)/($A$2*F53)))</f>
        <v>1.0042507060399208</v>
      </c>
      <c r="G54" s="51">
        <f t="shared" si="7"/>
        <v>1.0127883298499492</v>
      </c>
      <c r="H54" s="51">
        <f t="shared" si="7"/>
        <v>1.0268696029615985</v>
      </c>
      <c r="I54" s="51">
        <f t="shared" si="7"/>
        <v>1.0460616536848868</v>
      </c>
      <c r="J54" s="51">
        <f t="shared" si="7"/>
        <v>1.069586565579371</v>
      </c>
      <c r="K54" s="51">
        <f t="shared" si="7"/>
        <v>1.0966573589848709</v>
      </c>
      <c r="L54" s="51">
        <f t="shared" si="7"/>
        <v>1.1265946180343036</v>
      </c>
      <c r="M54" s="51">
        <f t="shared" si="7"/>
        <v>1.1588467544013019</v>
      </c>
      <c r="N54" s="51">
        <f t="shared" si="7"/>
        <v>1.1929767326246938</v>
      </c>
      <c r="O54" s="51">
        <f t="shared" si="7"/>
        <v>1.2286408662560449</v>
      </c>
      <c r="P54" s="51">
        <f t="shared" si="7"/>
        <v>1.2655686686640744</v>
      </c>
      <c r="Q54" s="51">
        <f t="shared" si="7"/>
        <v>1.3035462071696455</v>
      </c>
      <c r="R54" s="51">
        <f t="shared" si="7"/>
        <v>1.3424030894346957</v>
      </c>
      <c r="S54" s="51">
        <f t="shared" si="7"/>
        <v>1.382002521835539</v>
      </c>
      <c r="T54" s="51">
        <f t="shared" si="7"/>
        <v>1.4222337770971187</v>
      </c>
      <c r="U54" s="51">
        <f t="shared" si="7"/>
        <v>1.463006491083654</v>
      </c>
      <c r="V54" s="51">
        <f t="shared" si="7"/>
        <v>1.5042463297337936</v>
      </c>
      <c r="W54" s="63">
        <f t="shared" si="7"/>
        <v>1.5458916783230887</v>
      </c>
    </row>
    <row r="55" spans="1:23" ht="15" thickBot="1" x14ac:dyDescent="0.35">
      <c r="A55" s="26"/>
      <c r="B55" s="65">
        <f t="shared" si="5"/>
        <v>1.0000000576311689</v>
      </c>
      <c r="D55" s="64">
        <f t="shared" si="6"/>
        <v>100483673392050</v>
      </c>
      <c r="E55" s="51">
        <f>1/(1 - EXP((-$C$2*$D$55)/($A$2*E53)))</f>
        <v>1.0000000944529024</v>
      </c>
      <c r="F55" s="51">
        <f t="shared" ref="F55:W55" si="8">1/(1 - EXP((-$C$2*$D$55)/($A$2*F53)))</f>
        <v>1.0000058063552142</v>
      </c>
      <c r="G55" s="51">
        <f t="shared" si="8"/>
        <v>1.0000647364645032</v>
      </c>
      <c r="H55" s="51">
        <f t="shared" si="8"/>
        <v>1.0003231526390701</v>
      </c>
      <c r="I55" s="51">
        <f t="shared" si="8"/>
        <v>1.0010194971366848</v>
      </c>
      <c r="J55" s="51">
        <f t="shared" si="8"/>
        <v>1.0024154513348673</v>
      </c>
      <c r="K55" s="51">
        <f t="shared" si="8"/>
        <v>1.0047303628029822</v>
      </c>
      <c r="L55" s="51">
        <f t="shared" si="8"/>
        <v>1.0081108942626775</v>
      </c>
      <c r="M55" s="51">
        <f t="shared" si="8"/>
        <v>1.0126303377218644</v>
      </c>
      <c r="N55" s="51">
        <f t="shared" si="8"/>
        <v>1.0183025037591256</v>
      </c>
      <c r="O55" s="51">
        <f t="shared" si="8"/>
        <v>1.0250991203291915</v>
      </c>
      <c r="P55" s="51">
        <f t="shared" si="8"/>
        <v>1.0329653342848399</v>
      </c>
      <c r="Q55" s="51">
        <f t="shared" si="8"/>
        <v>1.0418316004435442</v>
      </c>
      <c r="R55" s="51">
        <f t="shared" si="8"/>
        <v>1.0516220132958327</v>
      </c>
      <c r="S55" s="51">
        <f t="shared" si="8"/>
        <v>1.0622597618882008</v>
      </c>
      <c r="T55" s="51">
        <f t="shared" si="8"/>
        <v>1.0736704754749966</v>
      </c>
      <c r="U55" s="51">
        <f t="shared" si="8"/>
        <v>1.0857841136266888</v>
      </c>
      <c r="V55" s="51">
        <f t="shared" si="8"/>
        <v>1.0985358956086426</v>
      </c>
      <c r="W55" s="63">
        <f t="shared" si="8"/>
        <v>1.1118666201712473</v>
      </c>
    </row>
    <row r="56" spans="1:23" ht="15" thickBot="1" x14ac:dyDescent="0.35">
      <c r="B56" s="51"/>
      <c r="D56" s="66">
        <f t="shared" si="6"/>
        <v>103552744270950</v>
      </c>
      <c r="E56" s="55">
        <f>1/(1 - EXP((-$C$2*$D$56)/($A$2*E53)))</f>
        <v>1.0000000576311689</v>
      </c>
      <c r="F56" s="55">
        <f t="shared" ref="F56:W56" si="9">1/(1 - EXP((-$C$2*$D$56)/($A$2*F53)))</f>
        <v>1.0000040176930791</v>
      </c>
      <c r="G56" s="55">
        <f t="shared" si="9"/>
        <v>1.000048217084814</v>
      </c>
      <c r="H56" s="55">
        <f t="shared" si="9"/>
        <v>1.0002527899357061</v>
      </c>
      <c r="I56" s="55">
        <f t="shared" si="9"/>
        <v>1.0008258775786014</v>
      </c>
      <c r="J56" s="55">
        <f t="shared" si="9"/>
        <v>1.002008440108894</v>
      </c>
      <c r="K56" s="55">
        <f t="shared" si="9"/>
        <v>1.0040133418703356</v>
      </c>
      <c r="L56" s="55">
        <f t="shared" si="9"/>
        <v>1.0069922367925306</v>
      </c>
      <c r="M56" s="55">
        <f t="shared" si="9"/>
        <v>1.0110299390242894</v>
      </c>
      <c r="N56" s="55">
        <f t="shared" si="9"/>
        <v>1.016154168443802</v>
      </c>
      <c r="O56" s="55">
        <f t="shared" si="9"/>
        <v>1.0223503521389468</v>
      </c>
      <c r="P56" s="55">
        <f t="shared" si="9"/>
        <v>1.0295758280546692</v>
      </c>
      <c r="Q56" s="55">
        <f t="shared" si="9"/>
        <v>1.0377712753291606</v>
      </c>
      <c r="R56" s="55">
        <f t="shared" si="9"/>
        <v>1.0468690457731631</v>
      </c>
      <c r="S56" s="55">
        <f t="shared" si="9"/>
        <v>1.0567988294042847</v>
      </c>
      <c r="T56" s="55">
        <f t="shared" si="9"/>
        <v>1.0674912812138886</v>
      </c>
      <c r="U56" s="55">
        <f t="shared" si="9"/>
        <v>1.0788801919930353</v>
      </c>
      <c r="V56" s="55">
        <f t="shared" si="9"/>
        <v>1.0909036672885812</v>
      </c>
      <c r="W56" s="65">
        <f t="shared" si="9"/>
        <v>1.1035046560489383</v>
      </c>
    </row>
    <row r="57" spans="1:23" x14ac:dyDescent="0.3">
      <c r="B57" s="51"/>
      <c r="D57" s="67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</row>
    <row r="58" spans="1:23" x14ac:dyDescent="0.3">
      <c r="B58" s="51"/>
      <c r="D58" s="67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</row>
    <row r="59" spans="1:23" x14ac:dyDescent="0.3">
      <c r="B59" s="51"/>
      <c r="D59" s="67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</row>
    <row r="60" spans="1:23" x14ac:dyDescent="0.3">
      <c r="B60" s="51"/>
      <c r="D60" s="67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</row>
    <row r="61" spans="1:23" x14ac:dyDescent="0.3">
      <c r="B61" s="51"/>
      <c r="D61" s="67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</row>
    <row r="62" spans="1:23" x14ac:dyDescent="0.3">
      <c r="B62" s="51"/>
      <c r="D62" s="67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</row>
    <row r="63" spans="1:23" x14ac:dyDescent="0.3">
      <c r="B63" s="51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</row>
    <row r="64" spans="1:23" ht="15" thickBot="1" x14ac:dyDescent="0.35">
      <c r="B64" s="51"/>
      <c r="D64" s="67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</row>
    <row r="65" spans="1:23" x14ac:dyDescent="0.3">
      <c r="B65" s="51"/>
      <c r="D65" s="68" t="s">
        <v>52</v>
      </c>
      <c r="E65" s="69">
        <v>298.14999999999998</v>
      </c>
      <c r="F65" s="69">
        <f>300+100</f>
        <v>400</v>
      </c>
      <c r="G65" s="69">
        <f t="shared" ref="G65:W65" si="10">F65+100</f>
        <v>500</v>
      </c>
      <c r="H65" s="69">
        <f t="shared" si="10"/>
        <v>600</v>
      </c>
      <c r="I65" s="69">
        <f t="shared" si="10"/>
        <v>700</v>
      </c>
      <c r="J65" s="69">
        <f t="shared" si="10"/>
        <v>800</v>
      </c>
      <c r="K65" s="69">
        <f t="shared" si="10"/>
        <v>900</v>
      </c>
      <c r="L65" s="69">
        <f t="shared" si="10"/>
        <v>1000</v>
      </c>
      <c r="M65" s="69">
        <f t="shared" si="10"/>
        <v>1100</v>
      </c>
      <c r="N65" s="69">
        <f t="shared" si="10"/>
        <v>1200</v>
      </c>
      <c r="O65" s="69">
        <f t="shared" si="10"/>
        <v>1300</v>
      </c>
      <c r="P65" s="69">
        <f t="shared" si="10"/>
        <v>1400</v>
      </c>
      <c r="Q65" s="69">
        <f t="shared" si="10"/>
        <v>1500</v>
      </c>
      <c r="R65" s="69">
        <f t="shared" si="10"/>
        <v>1600</v>
      </c>
      <c r="S65" s="69">
        <f t="shared" si="10"/>
        <v>1700</v>
      </c>
      <c r="T65" s="69">
        <f t="shared" si="10"/>
        <v>1800</v>
      </c>
      <c r="U65" s="69">
        <f t="shared" si="10"/>
        <v>1900</v>
      </c>
      <c r="V65" s="69">
        <f t="shared" si="10"/>
        <v>2000</v>
      </c>
      <c r="W65" s="70">
        <f t="shared" si="10"/>
        <v>2100</v>
      </c>
    </row>
    <row r="66" spans="1:23" ht="15" thickBot="1" x14ac:dyDescent="0.35">
      <c r="B66" s="51"/>
      <c r="D66" s="66" t="s">
        <v>53</v>
      </c>
      <c r="E66" s="55">
        <f>PRODUCT(E54:E62)</f>
        <v>1.0006550004064747</v>
      </c>
      <c r="F66" s="55">
        <f>PRODUCT(F54:F62)</f>
        <v>1.0042605718707829</v>
      </c>
      <c r="G66" s="55">
        <f t="shared" ref="G66:W66" si="11">PRODUCT(G54:G62)</f>
        <v>1.0129027310478338</v>
      </c>
      <c r="H66" s="55">
        <f t="shared" si="11"/>
        <v>1.0274611047693933</v>
      </c>
      <c r="I66" s="55">
        <f t="shared" si="11"/>
        <v>1.0479929101740371</v>
      </c>
      <c r="J66" s="55">
        <f t="shared" si="11"/>
        <v>1.0743234893091056</v>
      </c>
      <c r="K66" s="55">
        <f t="shared" si="11"/>
        <v>1.106267026620485</v>
      </c>
      <c r="L66" s="55">
        <f t="shared" si="11"/>
        <v>1.1436736170875523</v>
      </c>
      <c r="M66" s="55">
        <f t="shared" si="11"/>
        <v>1.1864268304077521</v>
      </c>
      <c r="N66" s="55">
        <f t="shared" si="11"/>
        <v>1.2344354584094912</v>
      </c>
      <c r="O66" s="55">
        <f t="shared" si="11"/>
        <v>1.2876284630123704</v>
      </c>
      <c r="P66" s="55">
        <f t="shared" si="11"/>
        <v>1.3459527046407871</v>
      </c>
      <c r="Q66" s="55">
        <f t="shared" si="11"/>
        <v>1.4093718798540982</v>
      </c>
      <c r="R66" s="55">
        <f t="shared" si="11"/>
        <v>1.4778657014596763</v>
      </c>
      <c r="S66" s="55">
        <f t="shared" si="11"/>
        <v>1.5514289453290999</v>
      </c>
      <c r="T66" s="55">
        <f t="shared" si="11"/>
        <v>1.6300703050745007</v>
      </c>
      <c r="U66" s="55">
        <f t="shared" si="11"/>
        <v>1.7138111173152806</v>
      </c>
      <c r="V66" s="55">
        <f t="shared" si="11"/>
        <v>1.8026840438739704</v>
      </c>
      <c r="W66" s="65">
        <f t="shared" si="11"/>
        <v>1.896731782760064</v>
      </c>
    </row>
    <row r="67" spans="1:23" x14ac:dyDescent="0.3">
      <c r="B67" s="51"/>
      <c r="D67" s="67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</row>
    <row r="68" spans="1:23" x14ac:dyDescent="0.3">
      <c r="B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</row>
    <row r="69" spans="1:23" x14ac:dyDescent="0.3">
      <c r="B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</row>
    <row r="70" spans="1:23" x14ac:dyDescent="0.3">
      <c r="B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</row>
    <row r="71" spans="1:23" ht="15" thickBot="1" x14ac:dyDescent="0.35"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</row>
    <row r="72" spans="1:23" x14ac:dyDescent="0.3">
      <c r="A72" s="17" t="s">
        <v>54</v>
      </c>
      <c r="B72" s="19">
        <f>COUNT(B53:B70)</f>
        <v>3</v>
      </c>
    </row>
    <row r="73" spans="1:23" ht="21" thickBot="1" x14ac:dyDescent="0.35">
      <c r="A73" s="71" t="s">
        <v>55</v>
      </c>
      <c r="B73" s="123">
        <f>PRODUCT(B53:B58)</f>
        <v>1.0006550004064747</v>
      </c>
    </row>
    <row r="76" spans="1:23" ht="15" thickBot="1" x14ac:dyDescent="0.35"/>
    <row r="77" spans="1:23" x14ac:dyDescent="0.3">
      <c r="A77" s="16" t="s">
        <v>56</v>
      </c>
    </row>
    <row r="78" spans="1:23" x14ac:dyDescent="0.3">
      <c r="A78" s="73">
        <v>1.0006600000000001</v>
      </c>
    </row>
    <row r="79" spans="1:23" x14ac:dyDescent="0.3">
      <c r="A79" s="74" t="s">
        <v>57</v>
      </c>
    </row>
    <row r="80" spans="1:23" ht="15" thickBot="1" x14ac:dyDescent="0.35">
      <c r="A80" s="75">
        <f>ABS(B73-A78)/B73</f>
        <v>4.9963209331589275E-6</v>
      </c>
    </row>
    <row r="81" spans="2:10" ht="15" thickBot="1" x14ac:dyDescent="0.35"/>
    <row r="82" spans="2:10" ht="18" x14ac:dyDescent="0.3">
      <c r="D82" s="11" t="s">
        <v>46</v>
      </c>
      <c r="E82" s="58" t="s">
        <v>58</v>
      </c>
      <c r="F82" s="50" t="s">
        <v>9</v>
      </c>
    </row>
    <row r="83" spans="2:10" ht="18.600000000000001" thickBot="1" x14ac:dyDescent="0.35">
      <c r="B83" s="76"/>
      <c r="D83" s="35">
        <f>298.15</f>
        <v>298.14999999999998</v>
      </c>
      <c r="E83" s="63">
        <f xml:space="preserve"> ( (2*$B$2*$E$2*$A$2*D83)/($C$2*$C$2) )^(1.5) * ($A$2*D83) /$F$83</f>
        <v>2518520.7218677993</v>
      </c>
      <c r="F83" s="25">
        <v>101325</v>
      </c>
      <c r="H83" s="5" t="s">
        <v>59</v>
      </c>
    </row>
    <row r="84" spans="2:10" ht="15" thickBot="1" x14ac:dyDescent="0.35">
      <c r="D84" s="35">
        <f>300+100</f>
        <v>400</v>
      </c>
      <c r="E84" s="63">
        <f t="shared" ref="E84:E101" si="12" xml:space="preserve"> ( (2*$B$2*$E$2*$A$2*D84)/($C$2*$C$2) )^(1.5) * ($A$2*D84) /$F$83</f>
        <v>5250594.4190884829</v>
      </c>
    </row>
    <row r="85" spans="2:10" ht="15" thickBot="1" x14ac:dyDescent="0.35">
      <c r="D85" s="35">
        <f t="shared" ref="D85:D101" si="13">D84+100</f>
        <v>500</v>
      </c>
      <c r="E85" s="63">
        <f t="shared" si="12"/>
        <v>9172410.9713771623</v>
      </c>
      <c r="J85" s="16" t="s">
        <v>60</v>
      </c>
    </row>
    <row r="86" spans="2:10" x14ac:dyDescent="0.3">
      <c r="D86" s="35">
        <f t="shared" si="13"/>
        <v>600</v>
      </c>
      <c r="E86" s="63">
        <f t="shared" si="12"/>
        <v>14468936.819705728</v>
      </c>
      <c r="H86" s="77" t="s">
        <v>61</v>
      </c>
      <c r="I86" s="17" t="s">
        <v>62</v>
      </c>
      <c r="J86" s="78">
        <f xml:space="preserve"> ( (2*$B$2*$E$2*$A$2*298.15)/($C$2*$C$2) )^(1.5) * ($A$2*D83) /$F$83</f>
        <v>2518520.7218677993</v>
      </c>
    </row>
    <row r="87" spans="2:10" ht="15" thickBot="1" x14ac:dyDescent="0.35">
      <c r="D87" s="35">
        <f t="shared" si="13"/>
        <v>700</v>
      </c>
      <c r="E87" s="63">
        <f t="shared" si="12"/>
        <v>21271768.323137898</v>
      </c>
      <c r="H87" s="61" t="s">
        <v>63</v>
      </c>
      <c r="I87" s="26" t="s">
        <v>62</v>
      </c>
      <c r="J87" s="79">
        <v>2519980</v>
      </c>
    </row>
    <row r="88" spans="2:10" x14ac:dyDescent="0.3">
      <c r="D88" s="35">
        <f t="shared" si="13"/>
        <v>800</v>
      </c>
      <c r="E88" s="63">
        <f t="shared" si="12"/>
        <v>29701847.351981319</v>
      </c>
      <c r="J88" s="80" t="s">
        <v>57</v>
      </c>
    </row>
    <row r="89" spans="2:10" x14ac:dyDescent="0.3">
      <c r="D89" s="35">
        <f t="shared" si="13"/>
        <v>900</v>
      </c>
      <c r="E89" s="63">
        <f t="shared" si="12"/>
        <v>39871701.369952664</v>
      </c>
      <c r="J89" s="81">
        <f>ABS(J86-J87)/J87</f>
        <v>5.790832197877391E-4</v>
      </c>
    </row>
    <row r="90" spans="2:10" x14ac:dyDescent="0.3">
      <c r="D90" s="35">
        <f t="shared" si="13"/>
        <v>1000</v>
      </c>
      <c r="E90" s="63">
        <f t="shared" si="12"/>
        <v>51886991.981525585</v>
      </c>
    </row>
    <row r="91" spans="2:10" x14ac:dyDescent="0.3">
      <c r="D91" s="35">
        <f t="shared" si="13"/>
        <v>1100</v>
      </c>
      <c r="E91" s="63">
        <f t="shared" si="12"/>
        <v>65847638.917141274</v>
      </c>
    </row>
    <row r="92" spans="2:10" x14ac:dyDescent="0.3">
      <c r="D92" s="35">
        <f t="shared" si="13"/>
        <v>1200</v>
      </c>
      <c r="E92" s="63">
        <f t="shared" si="12"/>
        <v>81848666.734189332</v>
      </c>
    </row>
    <row r="93" spans="2:10" x14ac:dyDescent="0.3">
      <c r="D93" s="35">
        <f t="shared" si="13"/>
        <v>1300</v>
      </c>
      <c r="E93" s="63">
        <f t="shared" si="12"/>
        <v>99980861.606011331</v>
      </c>
    </row>
    <row r="94" spans="2:10" x14ac:dyDescent="0.3">
      <c r="D94" s="35">
        <f t="shared" si="13"/>
        <v>1400</v>
      </c>
      <c r="E94" s="63">
        <f t="shared" si="12"/>
        <v>120331293.03296037</v>
      </c>
    </row>
    <row r="95" spans="2:10" x14ac:dyDescent="0.3">
      <c r="D95" s="35">
        <f t="shared" si="13"/>
        <v>1500</v>
      </c>
      <c r="E95" s="63">
        <f t="shared" si="12"/>
        <v>142983736.47294649</v>
      </c>
    </row>
    <row r="96" spans="2:10" x14ac:dyDescent="0.3">
      <c r="D96" s="35">
        <f t="shared" si="13"/>
        <v>1600</v>
      </c>
      <c r="E96" s="63">
        <f t="shared" si="12"/>
        <v>168019021.41083002</v>
      </c>
    </row>
    <row r="97" spans="1:10" x14ac:dyDescent="0.3">
      <c r="D97" s="35">
        <f t="shared" si="13"/>
        <v>1700</v>
      </c>
      <c r="E97" s="63">
        <f t="shared" si="12"/>
        <v>195515322.09047285</v>
      </c>
    </row>
    <row r="98" spans="1:10" x14ac:dyDescent="0.3">
      <c r="D98" s="35">
        <f t="shared" si="13"/>
        <v>1800</v>
      </c>
      <c r="E98" s="63">
        <f t="shared" si="12"/>
        <v>225548403.32910854</v>
      </c>
    </row>
    <row r="99" spans="1:10" x14ac:dyDescent="0.3">
      <c r="D99" s="35">
        <f t="shared" si="13"/>
        <v>1900</v>
      </c>
      <c r="E99" s="63">
        <f t="shared" si="12"/>
        <v>258191830.57323104</v>
      </c>
    </row>
    <row r="100" spans="1:10" x14ac:dyDescent="0.3">
      <c r="D100" s="35">
        <f t="shared" si="13"/>
        <v>2000</v>
      </c>
      <c r="E100" s="63">
        <f t="shared" si="12"/>
        <v>293517151.08406669</v>
      </c>
    </row>
    <row r="101" spans="1:10" ht="15" thickBot="1" x14ac:dyDescent="0.35">
      <c r="D101" s="26">
        <f t="shared" si="13"/>
        <v>2100</v>
      </c>
      <c r="E101" s="65">
        <f t="shared" si="12"/>
        <v>331594051.52258044</v>
      </c>
    </row>
    <row r="104" spans="1:10" ht="15" thickBot="1" x14ac:dyDescent="0.35"/>
    <row r="105" spans="1:10" ht="18" x14ac:dyDescent="0.3">
      <c r="D105" s="11" t="s">
        <v>46</v>
      </c>
      <c r="E105" s="58" t="s">
        <v>64</v>
      </c>
    </row>
    <row r="106" spans="1:10" x14ac:dyDescent="0.3">
      <c r="D106" s="35">
        <f>298.15</f>
        <v>298.14999999999998</v>
      </c>
      <c r="E106" s="63">
        <f xml:space="preserve"> ( SQRT($B$2)/$B$6) * SQRT(  (D106*D106*D106) / ($E$11 * $F$11 * $G$11 ) )</f>
        <v>53.214257486051885</v>
      </c>
    </row>
    <row r="107" spans="1:10" x14ac:dyDescent="0.3">
      <c r="D107" s="35">
        <f>300+100</f>
        <v>400</v>
      </c>
      <c r="E107" s="63">
        <f t="shared" ref="E107:E124" si="14" xml:space="preserve"> ( SQRT($B$2)/$B$6) * SQRT(  (D107*D107*D107) / ($E$11 * $F$11 * $G$11 ) )</f>
        <v>82.692433592168015</v>
      </c>
    </row>
    <row r="108" spans="1:10" x14ac:dyDescent="0.3">
      <c r="D108" s="35">
        <f t="shared" ref="D108:D124" si="15">D107+100</f>
        <v>500</v>
      </c>
      <c r="E108" s="63">
        <f t="shared" si="14"/>
        <v>115.56618921060927</v>
      </c>
      <c r="H108" s="5" t="s">
        <v>59</v>
      </c>
    </row>
    <row r="109" spans="1:10" ht="15" thickBot="1" x14ac:dyDescent="0.35">
      <c r="D109" s="35">
        <f t="shared" si="15"/>
        <v>600</v>
      </c>
      <c r="E109" s="63">
        <f t="shared" si="14"/>
        <v>151.91570091734604</v>
      </c>
    </row>
    <row r="110" spans="1:10" ht="18.600000000000001" thickBot="1" x14ac:dyDescent="0.35">
      <c r="A110" s="82"/>
      <c r="B110" s="76"/>
      <c r="D110" s="35">
        <f t="shared" si="15"/>
        <v>700</v>
      </c>
      <c r="E110" s="63">
        <f t="shared" si="14"/>
        <v>191.43566276765017</v>
      </c>
      <c r="J110" s="16" t="s">
        <v>60</v>
      </c>
    </row>
    <row r="111" spans="1:10" x14ac:dyDescent="0.3">
      <c r="D111" s="35">
        <f t="shared" si="15"/>
        <v>800</v>
      </c>
      <c r="E111" s="63">
        <f t="shared" si="14"/>
        <v>233.88952218336107</v>
      </c>
      <c r="H111" s="77" t="s">
        <v>61</v>
      </c>
      <c r="I111" s="17" t="s">
        <v>65</v>
      </c>
      <c r="J111" s="83">
        <f>E106</f>
        <v>53.214257486051885</v>
      </c>
    </row>
    <row r="112" spans="1:10" ht="15" thickBot="1" x14ac:dyDescent="0.35">
      <c r="B112" s="51"/>
      <c r="C112" s="124"/>
      <c r="D112" s="35">
        <f t="shared" si="15"/>
        <v>900</v>
      </c>
      <c r="E112" s="63">
        <f t="shared" si="14"/>
        <v>279.08696337356713</v>
      </c>
      <c r="H112" s="61" t="s">
        <v>63</v>
      </c>
      <c r="I112" s="26" t="s">
        <v>65</v>
      </c>
      <c r="J112" s="84">
        <v>53.214300000000001</v>
      </c>
    </row>
    <row r="113" spans="2:10" x14ac:dyDescent="0.3">
      <c r="D113" s="35">
        <f t="shared" si="15"/>
        <v>1000</v>
      </c>
      <c r="E113" s="63">
        <f t="shared" si="14"/>
        <v>326.87054426683778</v>
      </c>
      <c r="J113" s="80" t="s">
        <v>57</v>
      </c>
    </row>
    <row r="114" spans="2:10" x14ac:dyDescent="0.3">
      <c r="D114" s="35">
        <f t="shared" si="15"/>
        <v>1100</v>
      </c>
      <c r="E114" s="63">
        <f t="shared" si="14"/>
        <v>377.10719093657792</v>
      </c>
      <c r="J114" s="81">
        <f>ABS(J111-J112)/J112</f>
        <v>7.9891961590412772E-7</v>
      </c>
    </row>
    <row r="115" spans="2:10" x14ac:dyDescent="0.3">
      <c r="D115" s="35">
        <f t="shared" si="15"/>
        <v>1200</v>
      </c>
      <c r="E115" s="63">
        <f t="shared" si="14"/>
        <v>429.68248914945121</v>
      </c>
    </row>
    <row r="116" spans="2:10" x14ac:dyDescent="0.3">
      <c r="C116" s="124"/>
      <c r="D116" s="35">
        <f t="shared" si="15"/>
        <v>1300</v>
      </c>
      <c r="E116" s="63">
        <f t="shared" si="14"/>
        <v>484.49669029037688</v>
      </c>
      <c r="H116" s="85"/>
    </row>
    <row r="117" spans="2:10" x14ac:dyDescent="0.3">
      <c r="D117" s="35">
        <f t="shared" si="15"/>
        <v>1400</v>
      </c>
      <c r="E117" s="63">
        <f t="shared" si="14"/>
        <v>541.46182121578602</v>
      </c>
    </row>
    <row r="118" spans="2:10" x14ac:dyDescent="0.3">
      <c r="D118" s="35">
        <f t="shared" si="15"/>
        <v>1500</v>
      </c>
      <c r="E118" s="63">
        <f t="shared" si="14"/>
        <v>600.49953404968039</v>
      </c>
    </row>
    <row r="119" spans="2:10" x14ac:dyDescent="0.3">
      <c r="D119" s="35">
        <f t="shared" si="15"/>
        <v>1600</v>
      </c>
      <c r="E119" s="63">
        <f t="shared" si="14"/>
        <v>661.53946873734412</v>
      </c>
    </row>
    <row r="120" spans="2:10" x14ac:dyDescent="0.3">
      <c r="B120" s="51"/>
      <c r="C120" s="124"/>
      <c r="D120" s="35">
        <f t="shared" si="15"/>
        <v>1700</v>
      </c>
      <c r="E120" s="63">
        <f t="shared" si="14"/>
        <v>724.51798104725094</v>
      </c>
    </row>
    <row r="121" spans="2:10" x14ac:dyDescent="0.3">
      <c r="D121" s="35">
        <f t="shared" si="15"/>
        <v>1800</v>
      </c>
      <c r="E121" s="63">
        <f t="shared" si="14"/>
        <v>789.37713736884371</v>
      </c>
    </row>
    <row r="122" spans="2:10" x14ac:dyDescent="0.3">
      <c r="D122" s="35">
        <f t="shared" si="15"/>
        <v>1900</v>
      </c>
      <c r="E122" s="63">
        <f t="shared" si="14"/>
        <v>856.06390838130778</v>
      </c>
    </row>
    <row r="123" spans="2:10" x14ac:dyDescent="0.3">
      <c r="D123" s="35">
        <f t="shared" si="15"/>
        <v>2000</v>
      </c>
      <c r="E123" s="63">
        <f t="shared" si="14"/>
        <v>924.52951368487413</v>
      </c>
    </row>
    <row r="124" spans="2:10" ht="15" thickBot="1" x14ac:dyDescent="0.35">
      <c r="D124" s="26">
        <f t="shared" si="15"/>
        <v>2100</v>
      </c>
      <c r="E124" s="65">
        <f t="shared" si="14"/>
        <v>994.72888288257514</v>
      </c>
    </row>
    <row r="126" spans="2:10" ht="15" thickBot="1" x14ac:dyDescent="0.35"/>
    <row r="127" spans="2:10" ht="18" x14ac:dyDescent="0.3">
      <c r="D127" s="11" t="s">
        <v>46</v>
      </c>
      <c r="E127" s="13" t="s">
        <v>66</v>
      </c>
      <c r="F127" s="50" t="s">
        <v>67</v>
      </c>
    </row>
    <row r="128" spans="2:10" ht="15.6" x14ac:dyDescent="0.3">
      <c r="D128" s="35">
        <f>298.15</f>
        <v>298.14999999999998</v>
      </c>
      <c r="E128" s="86">
        <f>$B$135*EXP($B$134/($A$2*D128) )</f>
        <v>0</v>
      </c>
      <c r="F128" s="87">
        <f>$B$135</f>
        <v>2</v>
      </c>
      <c r="G128" s="5" t="s">
        <v>68</v>
      </c>
      <c r="H128" s="88">
        <f>$B$135*EXP($B$134/($A$2*298.15) )</f>
        <v>0</v>
      </c>
    </row>
    <row r="129" spans="1:10" ht="15.6" x14ac:dyDescent="0.2">
      <c r="A129" s="89"/>
      <c r="D129" s="35">
        <f>300+100</f>
        <v>400</v>
      </c>
      <c r="E129" s="86">
        <f t="shared" ref="E129:E146" si="16">$B$135*EXP($B$134/($A$2*D129) )</f>
        <v>0</v>
      </c>
      <c r="F129" s="87">
        <f t="shared" ref="F129:F146" si="17">$B$135</f>
        <v>2</v>
      </c>
    </row>
    <row r="130" spans="1:10" ht="16.2" thickBot="1" x14ac:dyDescent="0.35">
      <c r="D130" s="35">
        <f t="shared" ref="D130:D146" si="18">D129+100</f>
        <v>500</v>
      </c>
      <c r="E130" s="86">
        <f t="shared" si="16"/>
        <v>0</v>
      </c>
      <c r="F130" s="87">
        <f t="shared" si="17"/>
        <v>2</v>
      </c>
    </row>
    <row r="131" spans="1:10" ht="15.6" x14ac:dyDescent="0.3">
      <c r="A131" s="131" t="s">
        <v>69</v>
      </c>
      <c r="B131" s="132">
        <v>-55.885447058899999</v>
      </c>
      <c r="D131" s="35">
        <f t="shared" si="18"/>
        <v>600</v>
      </c>
      <c r="E131" s="86">
        <f t="shared" si="16"/>
        <v>0</v>
      </c>
      <c r="F131" s="87">
        <f t="shared" si="17"/>
        <v>2</v>
      </c>
      <c r="H131" s="17"/>
      <c r="I131" s="18" t="s">
        <v>157</v>
      </c>
      <c r="J131" s="19" t="s">
        <v>119</v>
      </c>
    </row>
    <row r="132" spans="1:10" ht="18.600000000000001" thickBot="1" x14ac:dyDescent="0.35">
      <c r="A132" s="133" t="s">
        <v>70</v>
      </c>
      <c r="B132" s="86">
        <f>B131/(229400000000000000)</f>
        <v>-2.436157238836094E-16</v>
      </c>
      <c r="D132" s="35">
        <f t="shared" si="18"/>
        <v>700</v>
      </c>
      <c r="E132" s="86">
        <f t="shared" si="16"/>
        <v>0</v>
      </c>
      <c r="F132" s="87">
        <f t="shared" si="17"/>
        <v>2</v>
      </c>
      <c r="H132" s="190" t="s">
        <v>156</v>
      </c>
      <c r="I132" s="191">
        <f>$I$5+$B$131</f>
        <v>-55.8664810589</v>
      </c>
      <c r="J132" s="28">
        <f>$I$132*627.503</f>
        <v>-35056.384463902927</v>
      </c>
    </row>
    <row r="133" spans="1:10" ht="15.6" x14ac:dyDescent="0.3">
      <c r="A133" s="133" t="s">
        <v>71</v>
      </c>
      <c r="B133" s="134">
        <f>K5</f>
        <v>8.2686828839999991E-20</v>
      </c>
      <c r="D133" s="35">
        <f t="shared" si="18"/>
        <v>800</v>
      </c>
      <c r="E133" s="86">
        <f t="shared" si="16"/>
        <v>0</v>
      </c>
      <c r="F133" s="87">
        <f t="shared" si="17"/>
        <v>2</v>
      </c>
    </row>
    <row r="134" spans="1:10" ht="18" x14ac:dyDescent="0.3">
      <c r="A134" s="133" t="s">
        <v>72</v>
      </c>
      <c r="B134" s="86">
        <f>B132+B133</f>
        <v>-2.435330370547694E-16</v>
      </c>
      <c r="D134" s="35">
        <f t="shared" si="18"/>
        <v>900</v>
      </c>
      <c r="E134" s="86">
        <f t="shared" si="16"/>
        <v>0</v>
      </c>
      <c r="F134" s="87">
        <f t="shared" si="17"/>
        <v>2</v>
      </c>
    </row>
    <row r="135" spans="1:10" ht="18" x14ac:dyDescent="0.3">
      <c r="A135" s="133" t="s">
        <v>73</v>
      </c>
      <c r="B135" s="134">
        <v>2</v>
      </c>
      <c r="D135" s="35">
        <f t="shared" si="18"/>
        <v>1000</v>
      </c>
      <c r="E135" s="86">
        <f t="shared" si="16"/>
        <v>0</v>
      </c>
      <c r="F135" s="87">
        <f t="shared" si="17"/>
        <v>2</v>
      </c>
    </row>
    <row r="136" spans="1:10" ht="16.2" thickBot="1" x14ac:dyDescent="0.35">
      <c r="A136" s="26" t="s">
        <v>74</v>
      </c>
      <c r="B136" s="65">
        <f>A2*D128</f>
        <v>4.1162588999999997E-21</v>
      </c>
      <c r="D136" s="35">
        <f t="shared" si="18"/>
        <v>1100</v>
      </c>
      <c r="E136" s="86">
        <f t="shared" si="16"/>
        <v>0</v>
      </c>
      <c r="F136" s="87">
        <f t="shared" si="17"/>
        <v>2</v>
      </c>
    </row>
    <row r="137" spans="1:10" ht="15.6" x14ac:dyDescent="0.3">
      <c r="D137" s="35">
        <f t="shared" si="18"/>
        <v>1200</v>
      </c>
      <c r="E137" s="86">
        <f t="shared" si="16"/>
        <v>0</v>
      </c>
      <c r="F137" s="87">
        <f t="shared" si="17"/>
        <v>2</v>
      </c>
    </row>
    <row r="138" spans="1:10" ht="15.6" x14ac:dyDescent="0.3">
      <c r="D138" s="35">
        <f t="shared" si="18"/>
        <v>1300</v>
      </c>
      <c r="E138" s="86">
        <f t="shared" si="16"/>
        <v>0</v>
      </c>
      <c r="F138" s="87">
        <f t="shared" si="17"/>
        <v>2</v>
      </c>
    </row>
    <row r="139" spans="1:10" ht="15.6" x14ac:dyDescent="0.3">
      <c r="D139" s="35">
        <f t="shared" si="18"/>
        <v>1400</v>
      </c>
      <c r="E139" s="86">
        <f t="shared" si="16"/>
        <v>0</v>
      </c>
      <c r="F139" s="87">
        <f t="shared" si="17"/>
        <v>2</v>
      </c>
    </row>
    <row r="140" spans="1:10" ht="15.6" x14ac:dyDescent="0.3">
      <c r="D140" s="35">
        <f t="shared" si="18"/>
        <v>1500</v>
      </c>
      <c r="E140" s="86">
        <f t="shared" si="16"/>
        <v>0</v>
      </c>
      <c r="F140" s="87">
        <f t="shared" si="17"/>
        <v>2</v>
      </c>
    </row>
    <row r="141" spans="1:10" ht="15.6" x14ac:dyDescent="0.3">
      <c r="D141" s="35">
        <f t="shared" si="18"/>
        <v>1600</v>
      </c>
      <c r="E141" s="86">
        <f t="shared" si="16"/>
        <v>0</v>
      </c>
      <c r="F141" s="87">
        <f t="shared" si="17"/>
        <v>2</v>
      </c>
    </row>
    <row r="142" spans="1:10" ht="15.6" x14ac:dyDescent="0.3">
      <c r="D142" s="35">
        <f t="shared" si="18"/>
        <v>1700</v>
      </c>
      <c r="E142" s="86">
        <f t="shared" si="16"/>
        <v>0</v>
      </c>
      <c r="F142" s="87">
        <f t="shared" si="17"/>
        <v>2</v>
      </c>
    </row>
    <row r="143" spans="1:10" ht="15.6" x14ac:dyDescent="0.3">
      <c r="D143" s="35">
        <f t="shared" si="18"/>
        <v>1800</v>
      </c>
      <c r="E143" s="86">
        <f t="shared" si="16"/>
        <v>0</v>
      </c>
      <c r="F143" s="87">
        <f t="shared" si="17"/>
        <v>2</v>
      </c>
    </row>
    <row r="144" spans="1:10" ht="15.6" x14ac:dyDescent="0.3">
      <c r="D144" s="35">
        <f t="shared" si="18"/>
        <v>1900</v>
      </c>
      <c r="E144" s="86">
        <f t="shared" si="16"/>
        <v>0</v>
      </c>
      <c r="F144" s="87">
        <f t="shared" si="17"/>
        <v>2</v>
      </c>
    </row>
    <row r="145" spans="4:13" ht="15.6" x14ac:dyDescent="0.3">
      <c r="D145" s="35">
        <f t="shared" si="18"/>
        <v>2000</v>
      </c>
      <c r="E145" s="86">
        <f t="shared" si="16"/>
        <v>0</v>
      </c>
      <c r="F145" s="87">
        <f t="shared" si="17"/>
        <v>2</v>
      </c>
    </row>
    <row r="146" spans="4:13" ht="16.2" thickBot="1" x14ac:dyDescent="0.35">
      <c r="D146" s="26">
        <f t="shared" si="18"/>
        <v>2100</v>
      </c>
      <c r="E146" s="93">
        <f t="shared" si="16"/>
        <v>0</v>
      </c>
      <c r="F146" s="94">
        <f t="shared" si="17"/>
        <v>2</v>
      </c>
    </row>
    <row r="151" spans="4:13" ht="15" thickBot="1" x14ac:dyDescent="0.35">
      <c r="H151" s="5" t="s">
        <v>75</v>
      </c>
    </row>
    <row r="152" spans="4:13" ht="20.399999999999999" x14ac:dyDescent="0.3">
      <c r="D152" s="95" t="s">
        <v>46</v>
      </c>
      <c r="E152" s="96" t="s">
        <v>76</v>
      </c>
      <c r="F152" s="97" t="s">
        <v>77</v>
      </c>
      <c r="G152" s="97" t="s">
        <v>78</v>
      </c>
      <c r="H152" s="97" t="s">
        <v>79</v>
      </c>
      <c r="I152" s="98" t="s">
        <v>80</v>
      </c>
    </row>
    <row r="153" spans="4:13" ht="15.6" x14ac:dyDescent="0.3">
      <c r="D153" s="35">
        <f>298.15</f>
        <v>298.14999999999998</v>
      </c>
      <c r="E153" s="99">
        <f xml:space="preserve"> ( SQRT($B$2)/$B$6) * SQRT(  (D153*D153*D153) / ($E$11 * $F$11 * $G$11 ) )</f>
        <v>53.214257486051885</v>
      </c>
      <c r="F153" s="92">
        <v>2</v>
      </c>
      <c r="G153" s="51">
        <f xml:space="preserve"> ( (2*$B$2*$E$2*$A$2*D153)/($C$2*$C$2) )^(1.5) * ($A$2*D153) /$F$83</f>
        <v>2518520.7218677993</v>
      </c>
      <c r="H153" s="51">
        <f>PRODUCT(E54:E62)</f>
        <v>1.0006550004064747</v>
      </c>
      <c r="I153" s="100">
        <f>PRODUCT(E153:H153)</f>
        <v>268217988.24914557</v>
      </c>
      <c r="J153" s="61"/>
      <c r="K153" s="85"/>
      <c r="M153" s="51"/>
    </row>
    <row r="154" spans="4:13" ht="15.6" x14ac:dyDescent="0.3">
      <c r="D154" s="35">
        <f>300+100</f>
        <v>400</v>
      </c>
      <c r="E154" s="99">
        <f t="shared" ref="E154:E171" si="19" xml:space="preserve"> ( SQRT($B$2)/$B$6) * SQRT(  (D154*D154*D154) / ($E$11 * $F$11 * $G$11 ) )</f>
        <v>82.692433592168015</v>
      </c>
      <c r="F154" s="92">
        <v>2</v>
      </c>
      <c r="G154" s="51">
        <f t="shared" ref="G154:G171" si="20" xml:space="preserve"> ( (2*$B$2*$E$2*$A$2*D154)/($C$2*$C$2) )^(1.5) * ($A$2*D154) /$F$83</f>
        <v>5250594.4190884829</v>
      </c>
      <c r="H154" s="51">
        <f>PRODUCT(F54:F62)</f>
        <v>1.0042605718707829</v>
      </c>
      <c r="I154" s="63">
        <f>PRODUCT(E154:H154)</f>
        <v>872068608.58087039</v>
      </c>
      <c r="M154" s="101"/>
    </row>
    <row r="155" spans="4:13" ht="15.6" x14ac:dyDescent="0.3">
      <c r="D155" s="35">
        <f t="shared" ref="D155:D171" si="21">D154+100</f>
        <v>500</v>
      </c>
      <c r="E155" s="99">
        <f t="shared" si="19"/>
        <v>115.56618921060927</v>
      </c>
      <c r="F155" s="92">
        <v>2</v>
      </c>
      <c r="G155" s="51">
        <f t="shared" si="20"/>
        <v>9172410.9713771623</v>
      </c>
      <c r="H155" s="51">
        <f>PRODUCT(G54:G62)</f>
        <v>1.0129027310478338</v>
      </c>
      <c r="I155" s="63">
        <f>PRODUCT(E155:H155)</f>
        <v>2147395484.6164701</v>
      </c>
      <c r="J155" s="5" t="s">
        <v>81</v>
      </c>
    </row>
    <row r="156" spans="4:13" ht="16.2" thickBot="1" x14ac:dyDescent="0.35">
      <c r="D156" s="35">
        <f t="shared" si="21"/>
        <v>600</v>
      </c>
      <c r="E156" s="99">
        <f t="shared" si="19"/>
        <v>151.91570091734604</v>
      </c>
      <c r="F156" s="92">
        <v>2</v>
      </c>
      <c r="G156" s="51">
        <f t="shared" si="20"/>
        <v>14468936.819705728</v>
      </c>
      <c r="H156" s="51">
        <f>PRODUCT(H54:H62)</f>
        <v>1.0274611047693933</v>
      </c>
      <c r="I156" s="63">
        <f t="shared" ref="I156:I171" si="22">PRODUCT(E156:H156)</f>
        <v>4516839596.3076</v>
      </c>
    </row>
    <row r="157" spans="4:13" ht="16.2" thickBot="1" x14ac:dyDescent="0.35">
      <c r="D157" s="35">
        <f t="shared" si="21"/>
        <v>700</v>
      </c>
      <c r="E157" s="99">
        <f t="shared" si="19"/>
        <v>191.43566276765017</v>
      </c>
      <c r="F157" s="92">
        <v>2</v>
      </c>
      <c r="G157" s="51">
        <f t="shared" si="20"/>
        <v>21271768.323137898</v>
      </c>
      <c r="H157" s="51">
        <f>PRODUCT(I54:I62)</f>
        <v>1.0479929101740371</v>
      </c>
      <c r="I157" s="63">
        <f t="shared" si="22"/>
        <v>8535221198.7838478</v>
      </c>
      <c r="L157" s="16" t="s">
        <v>60</v>
      </c>
    </row>
    <row r="158" spans="4:13" ht="15.6" x14ac:dyDescent="0.3">
      <c r="D158" s="35">
        <f t="shared" si="21"/>
        <v>800</v>
      </c>
      <c r="E158" s="99">
        <f t="shared" si="19"/>
        <v>233.88952218336107</v>
      </c>
      <c r="F158" s="92">
        <v>2</v>
      </c>
      <c r="G158" s="51">
        <f t="shared" si="20"/>
        <v>29701847.351981319</v>
      </c>
      <c r="H158" s="51">
        <f>PRODUCT(J54:J62)</f>
        <v>1.0743234893091056</v>
      </c>
      <c r="I158" s="63">
        <f t="shared" si="22"/>
        <v>14926545029.917982</v>
      </c>
      <c r="J158" s="77" t="s">
        <v>61</v>
      </c>
      <c r="K158" s="17" t="s">
        <v>82</v>
      </c>
      <c r="L158" s="83">
        <f>I153</f>
        <v>268217988.24914557</v>
      </c>
    </row>
    <row r="159" spans="4:13" ht="16.2" thickBot="1" x14ac:dyDescent="0.35">
      <c r="D159" s="35">
        <f t="shared" si="21"/>
        <v>900</v>
      </c>
      <c r="E159" s="99">
        <f t="shared" si="19"/>
        <v>279.08696337356713</v>
      </c>
      <c r="F159" s="92">
        <v>2</v>
      </c>
      <c r="G159" s="51">
        <f t="shared" si="20"/>
        <v>39871701.369952664</v>
      </c>
      <c r="H159" s="51">
        <f>PRODUCT(K54:K62)</f>
        <v>1.106267026620485</v>
      </c>
      <c r="I159" s="63">
        <f t="shared" si="22"/>
        <v>24620353365.777691</v>
      </c>
      <c r="J159" s="61" t="s">
        <v>63</v>
      </c>
      <c r="K159" s="26" t="s">
        <v>82</v>
      </c>
      <c r="L159" s="84">
        <v>268374000</v>
      </c>
    </row>
    <row r="160" spans="4:13" ht="15.6" x14ac:dyDescent="0.3">
      <c r="D160" s="35">
        <f t="shared" si="21"/>
        <v>1000</v>
      </c>
      <c r="E160" s="99">
        <f t="shared" si="19"/>
        <v>326.87054426683778</v>
      </c>
      <c r="F160" s="92">
        <v>2</v>
      </c>
      <c r="G160" s="51">
        <f t="shared" si="20"/>
        <v>51886991.981525585</v>
      </c>
      <c r="H160" s="51">
        <f>PRODUCT(L54:L62)</f>
        <v>1.1436736170875523</v>
      </c>
      <c r="I160" s="63">
        <f t="shared" si="22"/>
        <v>38794162336.487152</v>
      </c>
      <c r="L160" s="80" t="s">
        <v>57</v>
      </c>
    </row>
    <row r="161" spans="1:12" ht="15.6" x14ac:dyDescent="0.3">
      <c r="D161" s="35">
        <f t="shared" si="21"/>
        <v>1100</v>
      </c>
      <c r="E161" s="99">
        <f t="shared" si="19"/>
        <v>377.10719093657792</v>
      </c>
      <c r="F161" s="92">
        <v>2</v>
      </c>
      <c r="G161" s="51">
        <f t="shared" si="20"/>
        <v>65847638.917141274</v>
      </c>
      <c r="H161" s="51">
        <f>PRODUCT(M54:M62)</f>
        <v>1.1864268304077521</v>
      </c>
      <c r="I161" s="63">
        <f t="shared" si="22"/>
        <v>58921796011.859634</v>
      </c>
      <c r="L161" s="125">
        <f>ABS(L158-L159)/L159</f>
        <v>5.8132215063468366E-4</v>
      </c>
    </row>
    <row r="162" spans="1:12" ht="15.6" x14ac:dyDescent="0.3">
      <c r="D162" s="35">
        <f t="shared" si="21"/>
        <v>1200</v>
      </c>
      <c r="E162" s="99">
        <f t="shared" si="19"/>
        <v>429.68248914945121</v>
      </c>
      <c r="F162" s="92">
        <v>2</v>
      </c>
      <c r="G162" s="51">
        <f t="shared" si="20"/>
        <v>81848666.734189332</v>
      </c>
      <c r="H162" s="51">
        <f>PRODUCT(N54:N62)</f>
        <v>1.2344354584094912</v>
      </c>
      <c r="I162" s="63">
        <f t="shared" si="22"/>
        <v>86827570316.742126</v>
      </c>
    </row>
    <row r="163" spans="1:12" ht="15.6" x14ac:dyDescent="0.3">
      <c r="D163" s="35">
        <f t="shared" si="21"/>
        <v>1300</v>
      </c>
      <c r="E163" s="99">
        <f t="shared" si="19"/>
        <v>484.49669029037688</v>
      </c>
      <c r="F163" s="92">
        <v>2</v>
      </c>
      <c r="G163" s="51">
        <f t="shared" si="20"/>
        <v>99980861.606011331</v>
      </c>
      <c r="H163" s="51">
        <f>PRODUCT(O54:O62)</f>
        <v>1.2876284630123704</v>
      </c>
      <c r="I163" s="63">
        <f t="shared" si="22"/>
        <v>124746466690.28874</v>
      </c>
      <c r="J163" s="85"/>
    </row>
    <row r="164" spans="1:12" ht="15.6" x14ac:dyDescent="0.3">
      <c r="D164" s="35">
        <f t="shared" si="21"/>
        <v>1400</v>
      </c>
      <c r="E164" s="99">
        <f t="shared" si="19"/>
        <v>541.46182121578602</v>
      </c>
      <c r="F164" s="92">
        <v>2</v>
      </c>
      <c r="G164" s="51">
        <f t="shared" si="20"/>
        <v>120331293.03296037</v>
      </c>
      <c r="H164" s="51">
        <f>PRODUCT(P54:P62)</f>
        <v>1.3459527046407871</v>
      </c>
      <c r="I164" s="63">
        <f t="shared" si="22"/>
        <v>175390561454.12671</v>
      </c>
    </row>
    <row r="165" spans="1:12" ht="15.6" x14ac:dyDescent="0.3">
      <c r="D165" s="35">
        <f t="shared" si="21"/>
        <v>1500</v>
      </c>
      <c r="E165" s="99">
        <f t="shared" si="19"/>
        <v>600.49953404968039</v>
      </c>
      <c r="F165" s="92">
        <v>2</v>
      </c>
      <c r="G165" s="51">
        <f t="shared" si="20"/>
        <v>142983736.47294649</v>
      </c>
      <c r="H165" s="51">
        <f>PRODUCT(Q54:Q62)</f>
        <v>1.4093718798540982</v>
      </c>
      <c r="I165" s="63">
        <f t="shared" si="22"/>
        <v>242022038417.1279</v>
      </c>
    </row>
    <row r="166" spans="1:12" ht="15.6" x14ac:dyDescent="0.3">
      <c r="D166" s="35">
        <f t="shared" si="21"/>
        <v>1600</v>
      </c>
      <c r="E166" s="99">
        <f t="shared" si="19"/>
        <v>661.53946873734412</v>
      </c>
      <c r="F166" s="92">
        <v>2</v>
      </c>
      <c r="G166" s="51">
        <f t="shared" si="20"/>
        <v>168019021.41083002</v>
      </c>
      <c r="H166" s="51">
        <f>PRODUCT(R54:R62)</f>
        <v>1.4778657014596763</v>
      </c>
      <c r="I166" s="63">
        <f t="shared" si="22"/>
        <v>328533134170.90942</v>
      </c>
    </row>
    <row r="167" spans="1:12" ht="15.6" x14ac:dyDescent="0.3">
      <c r="D167" s="35">
        <f t="shared" si="21"/>
        <v>1700</v>
      </c>
      <c r="E167" s="99">
        <f t="shared" si="19"/>
        <v>724.51798104725094</v>
      </c>
      <c r="F167" s="92">
        <v>2</v>
      </c>
      <c r="G167" s="51">
        <f t="shared" si="20"/>
        <v>195515322.09047285</v>
      </c>
      <c r="H167" s="51">
        <f>PRODUCT(S54:S62)</f>
        <v>1.5514289453290999</v>
      </c>
      <c r="I167" s="63">
        <f t="shared" si="22"/>
        <v>439533368607.35492</v>
      </c>
    </row>
    <row r="168" spans="1:12" ht="15.6" x14ac:dyDescent="0.3">
      <c r="D168" s="35">
        <f t="shared" si="21"/>
        <v>1800</v>
      </c>
      <c r="E168" s="99">
        <f t="shared" si="19"/>
        <v>789.37713736884371</v>
      </c>
      <c r="F168" s="92">
        <v>2</v>
      </c>
      <c r="G168" s="51">
        <f t="shared" si="20"/>
        <v>225548403.32910854</v>
      </c>
      <c r="H168" s="51">
        <f>PRODUCT(T54:T62)</f>
        <v>1.6300703050745007</v>
      </c>
      <c r="I168" s="63">
        <f t="shared" si="22"/>
        <v>580444409261.24902</v>
      </c>
    </row>
    <row r="169" spans="1:12" ht="15.6" x14ac:dyDescent="0.3">
      <c r="D169" s="35">
        <f t="shared" si="21"/>
        <v>1900</v>
      </c>
      <c r="E169" s="99">
        <f t="shared" si="19"/>
        <v>856.06390838130778</v>
      </c>
      <c r="F169" s="92">
        <v>2</v>
      </c>
      <c r="G169" s="51">
        <f t="shared" si="20"/>
        <v>258191830.57323104</v>
      </c>
      <c r="H169" s="51">
        <f>PRODUCT(U54:U62)</f>
        <v>1.7138111173152806</v>
      </c>
      <c r="I169" s="63">
        <f>PRODUCT(E169:H169)</f>
        <v>757602912636.20532</v>
      </c>
    </row>
    <row r="170" spans="1:12" ht="15.6" x14ac:dyDescent="0.3">
      <c r="D170" s="35">
        <f t="shared" si="21"/>
        <v>2000</v>
      </c>
      <c r="E170" s="99">
        <f t="shared" si="19"/>
        <v>924.52951368487413</v>
      </c>
      <c r="F170" s="92">
        <v>2</v>
      </c>
      <c r="G170" s="51">
        <f t="shared" si="20"/>
        <v>293517151.08406669</v>
      </c>
      <c r="H170" s="51">
        <f>PRODUCT(V54:V62)</f>
        <v>1.8026840438739704</v>
      </c>
      <c r="I170" s="63">
        <f t="shared" si="22"/>
        <v>978371680795.18555</v>
      </c>
    </row>
    <row r="171" spans="1:12" ht="16.2" thickBot="1" x14ac:dyDescent="0.35">
      <c r="D171" s="26">
        <f t="shared" si="21"/>
        <v>2100</v>
      </c>
      <c r="E171" s="103">
        <f t="shared" si="19"/>
        <v>994.72888288257514</v>
      </c>
      <c r="F171" s="104">
        <v>2</v>
      </c>
      <c r="G171" s="55">
        <f t="shared" si="20"/>
        <v>331594051.52258044</v>
      </c>
      <c r="H171" s="55">
        <f>PRODUCT(W54:W62)</f>
        <v>1.896731782760064</v>
      </c>
      <c r="I171" s="65">
        <f t="shared" si="22"/>
        <v>1251259467731.0491</v>
      </c>
    </row>
    <row r="174" spans="1:12" ht="15" thickBot="1" x14ac:dyDescent="0.35">
      <c r="A174" s="5" t="s">
        <v>84</v>
      </c>
      <c r="B174" s="196" t="s">
        <v>85</v>
      </c>
      <c r="C174" s="196"/>
      <c r="D174" s="196"/>
      <c r="E174" s="206"/>
      <c r="F174" s="196"/>
      <c r="G174" s="105"/>
      <c r="H174" s="196" t="s">
        <v>86</v>
      </c>
      <c r="I174" s="196"/>
      <c r="J174" s="196"/>
      <c r="K174" s="206"/>
    </row>
    <row r="175" spans="1:12" ht="18" x14ac:dyDescent="0.3">
      <c r="A175" s="5" t="s">
        <v>87</v>
      </c>
      <c r="B175" s="96" t="s">
        <v>46</v>
      </c>
      <c r="C175" s="16" t="s">
        <v>88</v>
      </c>
      <c r="D175" s="16" t="s">
        <v>36</v>
      </c>
      <c r="E175" s="16" t="s">
        <v>37</v>
      </c>
      <c r="F175" s="19" t="s">
        <v>89</v>
      </c>
      <c r="G175" s="105" t="s">
        <v>90</v>
      </c>
      <c r="H175" s="96" t="s">
        <v>46</v>
      </c>
      <c r="I175" s="16" t="s">
        <v>88</v>
      </c>
      <c r="J175" s="17" t="s">
        <v>36</v>
      </c>
      <c r="K175" s="16" t="s">
        <v>37</v>
      </c>
      <c r="L175" s="19" t="s">
        <v>89</v>
      </c>
    </row>
    <row r="176" spans="1:12" ht="15" thickBot="1" x14ac:dyDescent="0.35">
      <c r="B176" s="35">
        <f>298.15</f>
        <v>298.14999999999998</v>
      </c>
      <c r="C176" s="53">
        <f>3/2*$D$2*B176</f>
        <v>3718.4397401999995</v>
      </c>
      <c r="D176" s="53">
        <f>3/2*$D$2*B176</f>
        <v>3718.4397401999995</v>
      </c>
      <c r="E176" s="53" cm="1">
        <f t="array" ref="E176">$D$2*SUM( ($B$12:$B$14)/(EXP($B$12:$B$14/B176)-1) + 0.5*$B$12:$B$14)</f>
        <v>49807.491726516288</v>
      </c>
      <c r="F176" s="65">
        <v>0</v>
      </c>
      <c r="H176" s="35">
        <f>298.15</f>
        <v>298.14999999999998</v>
      </c>
      <c r="I176" s="106">
        <f>3/2*$D$2*H176 /4184</f>
        <v>0.8887284273900572</v>
      </c>
      <c r="J176" s="136">
        <f>3/2*$D$2*H176 / 4184</f>
        <v>0.8887284273900572</v>
      </c>
      <c r="K176" s="106" cm="1">
        <f t="array" ref="K176">$D$2*SUM( ($B$12:$B$14)/(EXP($B$12:$B$14/B176)-1) + 0.5*$B$12:$B$14)/4184</f>
        <v>11.904276225266798</v>
      </c>
      <c r="L176" s="135">
        <f xml:space="preserve"> F176/4184</f>
        <v>0</v>
      </c>
    </row>
    <row r="177" spans="2:14" x14ac:dyDescent="0.3">
      <c r="B177" s="35">
        <f>300+100</f>
        <v>400</v>
      </c>
      <c r="C177" s="53">
        <f t="shared" ref="C177:C194" si="23">3/2*$D$2*B177</f>
        <v>4988.6831999999995</v>
      </c>
      <c r="D177" s="53">
        <f t="shared" ref="D177:D194" si="24">3/2*$D$2*B177</f>
        <v>4988.6831999999995</v>
      </c>
      <c r="E177" s="53" cm="1">
        <f t="array" ref="E177">$D$2*SUM( ($B$12:$B$14)/(EXP($B$12:$B$14/B177)-1) + 0.5*$B$12:$B$14)</f>
        <v>49873.250316934529</v>
      </c>
      <c r="H177" s="35">
        <f>300+100</f>
        <v>400</v>
      </c>
      <c r="I177" s="53">
        <f t="shared" ref="I177:I194" si="25">3/2*$D$2*H177 /4184</f>
        <v>1.1923239005736137</v>
      </c>
      <c r="J177" s="99">
        <f>3/2*$D$2*H177 / 4184</f>
        <v>1.1923239005736137</v>
      </c>
      <c r="K177" s="53" cm="1">
        <f t="array" ref="K177">$D$2*SUM( ($B$12:$B$14)/(EXP($B$12:$B$14/B177)-1) + 0.5*$B$12:$B$14)/4184</f>
        <v>11.919992905577086</v>
      </c>
      <c r="M177" s="200" t="s">
        <v>91</v>
      </c>
      <c r="N177" s="200"/>
    </row>
    <row r="178" spans="2:14" ht="18.600000000000001" thickBot="1" x14ac:dyDescent="0.35">
      <c r="B178" s="35">
        <f t="shared" ref="B178:B194" si="26">B177+100</f>
        <v>500</v>
      </c>
      <c r="C178" s="53">
        <f t="shared" si="23"/>
        <v>6235.8539999999994</v>
      </c>
      <c r="D178" s="53">
        <f t="shared" si="24"/>
        <v>6235.8539999999994</v>
      </c>
      <c r="E178" s="53" cm="1">
        <f t="array" ref="E178">$D$2*SUM( ($B$12:$B$14)/(EXP($B$12:$B$14/B178)-1) + 0.5*$B$12:$B$14)</f>
        <v>50032.63105113362</v>
      </c>
      <c r="H178" s="35">
        <f t="shared" ref="H178:H194" si="27">H177+100</f>
        <v>500</v>
      </c>
      <c r="I178" s="53">
        <f t="shared" si="25"/>
        <v>1.490404875717017</v>
      </c>
      <c r="J178" s="99">
        <f t="shared" ref="J178:J194" si="28">3/2*$D$2*H178 / 4184</f>
        <v>1.490404875717017</v>
      </c>
      <c r="K178" s="53" cm="1">
        <f t="array" ref="K178">$D$2*SUM( ($B$12:$B$14)/(EXP($B$12:$B$14/B178)-1) + 0.5*$B$12:$B$14)/4184</f>
        <v>11.958085815280501</v>
      </c>
      <c r="M178" s="207" t="s">
        <v>92</v>
      </c>
      <c r="N178" s="207"/>
    </row>
    <row r="179" spans="2:14" x14ac:dyDescent="0.3">
      <c r="B179" s="35">
        <f t="shared" si="26"/>
        <v>600</v>
      </c>
      <c r="C179" s="53">
        <f t="shared" si="23"/>
        <v>7483.0248000000001</v>
      </c>
      <c r="D179" s="53">
        <f t="shared" si="24"/>
        <v>7483.0248000000001</v>
      </c>
      <c r="E179" s="53" cm="1">
        <f t="array" ref="E179">$D$2*SUM( ($B$12:$B$14)/(EXP($B$12:$B$14/B179)-1) + 0.5*$B$12:$B$14)</f>
        <v>50307.401396859525</v>
      </c>
      <c r="H179" s="35">
        <f t="shared" si="27"/>
        <v>600</v>
      </c>
      <c r="I179" s="53">
        <f t="shared" si="25"/>
        <v>1.7884858508604207</v>
      </c>
      <c r="J179" s="99">
        <f t="shared" si="28"/>
        <v>1.7884858508604207</v>
      </c>
      <c r="K179" s="53" cm="1">
        <f t="array" ref="K179">$D$2*SUM( ($B$12:$B$14)/(EXP($B$12:$B$14/B179)-1) + 0.5*$B$12:$B$14)/4184</f>
        <v>12.023757504029524</v>
      </c>
      <c r="M179" s="38"/>
      <c r="N179" s="4" t="s">
        <v>28</v>
      </c>
    </row>
    <row r="180" spans="2:14" x14ac:dyDescent="0.3">
      <c r="B180" s="35">
        <f t="shared" si="26"/>
        <v>700</v>
      </c>
      <c r="C180" s="53">
        <f t="shared" si="23"/>
        <v>8730.1955999999991</v>
      </c>
      <c r="D180" s="53">
        <f t="shared" si="24"/>
        <v>8730.1955999999991</v>
      </c>
      <c r="E180" s="53" cm="1">
        <f t="array" ref="E180">$D$2*SUM( ($B$12:$B$14)/(EXP($B$12:$B$14/B180)-1) + 0.5*$B$12:$B$14)</f>
        <v>50707.855235572948</v>
      </c>
      <c r="H180" s="35">
        <f t="shared" si="27"/>
        <v>700</v>
      </c>
      <c r="I180" s="53">
        <f t="shared" si="25"/>
        <v>2.0865668260038239</v>
      </c>
      <c r="J180" s="99">
        <f t="shared" si="28"/>
        <v>2.0865668260038239</v>
      </c>
      <c r="K180" s="53" cm="1">
        <f t="array" ref="K180">$D$2*SUM( ($B$12:$B$14)/(EXP($B$12:$B$14/B180)-1) + 0.5*$B$12:$B$14)/4184</f>
        <v>12.119468268540379</v>
      </c>
      <c r="M180" s="39"/>
      <c r="N180" s="41" t="s">
        <v>31</v>
      </c>
    </row>
    <row r="181" spans="2:14" x14ac:dyDescent="0.3">
      <c r="B181" s="35">
        <f t="shared" si="26"/>
        <v>800</v>
      </c>
      <c r="C181" s="53">
        <f t="shared" si="23"/>
        <v>9977.366399999999</v>
      </c>
      <c r="D181" s="53">
        <f t="shared" si="24"/>
        <v>9977.366399999999</v>
      </c>
      <c r="E181" s="53" cm="1">
        <f t="array" ref="E181">$D$2*SUM( ($B$12:$B$14)/(EXP($B$12:$B$14/B181)-1) + 0.5*$B$12:$B$14)</f>
        <v>51240.303385152831</v>
      </c>
      <c r="H181" s="35">
        <f t="shared" si="27"/>
        <v>800</v>
      </c>
      <c r="I181" s="53">
        <f t="shared" si="25"/>
        <v>2.3846478011472274</v>
      </c>
      <c r="J181" s="99">
        <f t="shared" si="28"/>
        <v>2.3846478011472274</v>
      </c>
      <c r="K181" s="53" cm="1">
        <f t="array" ref="K181">$D$2*SUM( ($B$12:$B$14)/(EXP($B$12:$B$14/B181)-1) + 0.5*$B$12:$B$14)/4184</f>
        <v>12.246726430485857</v>
      </c>
      <c r="M181" s="39" t="s">
        <v>33</v>
      </c>
      <c r="N181" s="41">
        <v>13.682</v>
      </c>
    </row>
    <row r="182" spans="2:14" x14ac:dyDescent="0.3">
      <c r="B182" s="35">
        <f t="shared" si="26"/>
        <v>900</v>
      </c>
      <c r="C182" s="53">
        <f t="shared" si="23"/>
        <v>11224.537199999999</v>
      </c>
      <c r="D182" s="53">
        <f t="shared" si="24"/>
        <v>11224.537199999999</v>
      </c>
      <c r="E182" s="53" cm="1">
        <f t="array" ref="E182">$D$2*SUM( ($B$12:$B$14)/(EXP($B$12:$B$14/B182)-1) + 0.5*$B$12:$B$14)</f>
        <v>51908.03302010199</v>
      </c>
      <c r="H182" s="35">
        <f t="shared" si="27"/>
        <v>900</v>
      </c>
      <c r="I182" s="53">
        <f t="shared" si="25"/>
        <v>2.6827287762906309</v>
      </c>
      <c r="J182" s="99">
        <f t="shared" si="28"/>
        <v>2.6827287762906309</v>
      </c>
      <c r="K182" s="53" cm="1">
        <f t="array" ref="K182">$D$2*SUM( ($B$12:$B$14)/(EXP($B$12:$B$14/B182)-1) + 0.5*$B$12:$B$14)/4184</f>
        <v>12.406317643427817</v>
      </c>
      <c r="M182" s="39" t="s">
        <v>34</v>
      </c>
      <c r="N182" s="41">
        <v>0</v>
      </c>
    </row>
    <row r="183" spans="2:14" x14ac:dyDescent="0.3">
      <c r="B183" s="35">
        <f t="shared" si="26"/>
        <v>1000</v>
      </c>
      <c r="C183" s="53">
        <f t="shared" si="23"/>
        <v>12471.707999999999</v>
      </c>
      <c r="D183" s="53">
        <f t="shared" si="24"/>
        <v>12471.707999999999</v>
      </c>
      <c r="E183" s="53" cm="1">
        <f t="array" ref="E183">$D$2*SUM( ($B$12:$B$14)/(EXP($B$12:$B$14/B183)-1) + 0.5*$B$12:$B$14)</f>
        <v>52710.841982686965</v>
      </c>
      <c r="H183" s="35">
        <f t="shared" si="27"/>
        <v>1000</v>
      </c>
      <c r="I183" s="53">
        <f t="shared" si="25"/>
        <v>2.9808097514340339</v>
      </c>
      <c r="J183" s="99">
        <f t="shared" si="28"/>
        <v>2.9808097514340339</v>
      </c>
      <c r="K183" s="53" cm="1">
        <f t="array" ref="K183">$D$2*SUM( ($B$12:$B$14)/(EXP($B$12:$B$14/B183)-1) + 0.5*$B$12:$B$14)/4184</f>
        <v>12.598193590508357</v>
      </c>
      <c r="M183" s="39" t="s">
        <v>35</v>
      </c>
      <c r="N183" s="41">
        <v>0.88900000000000001</v>
      </c>
    </row>
    <row r="184" spans="2:14" x14ac:dyDescent="0.3">
      <c r="B184" s="35">
        <f t="shared" si="26"/>
        <v>1100</v>
      </c>
      <c r="C184" s="53">
        <f t="shared" si="23"/>
        <v>13718.8788</v>
      </c>
      <c r="D184" s="53">
        <f t="shared" si="24"/>
        <v>13718.8788</v>
      </c>
      <c r="E184" s="53" cm="1">
        <f t="array" ref="E184">$D$2*SUM( ($B$12:$B$14)/(EXP($B$12:$B$14/B184)-1) + 0.5*$B$12:$B$14)</f>
        <v>53645.147221542131</v>
      </c>
      <c r="H184" s="35">
        <f t="shared" si="27"/>
        <v>1100</v>
      </c>
      <c r="I184" s="53">
        <f t="shared" si="25"/>
        <v>3.2788907265774379</v>
      </c>
      <c r="J184" s="99">
        <f t="shared" si="28"/>
        <v>3.2788907265774379</v>
      </c>
      <c r="K184" s="53" cm="1">
        <f t="array" ref="K184">$D$2*SUM( ($B$12:$B$14)/(EXP($B$12:$B$14/B184)-1) + 0.5*$B$12:$B$14)/4184</f>
        <v>12.821497901898216</v>
      </c>
      <c r="M184" s="39" t="s">
        <v>36</v>
      </c>
      <c r="N184" s="41">
        <v>0.88900000000000001</v>
      </c>
    </row>
    <row r="185" spans="2:14" ht="15" thickBot="1" x14ac:dyDescent="0.35">
      <c r="B185" s="35">
        <f t="shared" si="26"/>
        <v>1200</v>
      </c>
      <c r="C185" s="53">
        <f t="shared" si="23"/>
        <v>14966.0496</v>
      </c>
      <c r="D185" s="53">
        <f t="shared" si="24"/>
        <v>14966.0496</v>
      </c>
      <c r="E185" s="53" cm="1">
        <f t="array" ref="E185">$D$2*SUM( ($B$12:$B$14)/(EXP($B$12:$B$14/B185)-1) + 0.5*$B$12:$B$14)</f>
        <v>54704.7034088863</v>
      </c>
      <c r="H185" s="35">
        <f t="shared" si="27"/>
        <v>1200</v>
      </c>
      <c r="I185" s="53">
        <f t="shared" si="25"/>
        <v>3.5769717017208413</v>
      </c>
      <c r="J185" s="99">
        <f t="shared" si="28"/>
        <v>3.5769717017208413</v>
      </c>
      <c r="K185" s="53" cm="1">
        <f t="array" ref="K185">$D$2*SUM( ($B$12:$B$14)/(EXP($B$12:$B$14/B185)-1) + 0.5*$B$12:$B$14)/4184</f>
        <v>13.074737908433628</v>
      </c>
      <c r="M185" s="43" t="s">
        <v>37</v>
      </c>
      <c r="N185" s="45">
        <v>11.904</v>
      </c>
    </row>
    <row r="186" spans="2:14" x14ac:dyDescent="0.3">
      <c r="B186" s="35">
        <f t="shared" si="26"/>
        <v>1300</v>
      </c>
      <c r="C186" s="53">
        <f t="shared" si="23"/>
        <v>16213.2204</v>
      </c>
      <c r="D186" s="53">
        <f t="shared" si="24"/>
        <v>16213.2204</v>
      </c>
      <c r="E186" s="53" cm="1">
        <f t="array" ref="E186">$D$2*SUM( ($B$12:$B$14)/(EXP($B$12:$B$14/B186)-1) + 0.5*$B$12:$B$14)</f>
        <v>55881.526988253725</v>
      </c>
      <c r="H186" s="35">
        <f t="shared" si="27"/>
        <v>1300</v>
      </c>
      <c r="I186" s="53">
        <f t="shared" si="25"/>
        <v>3.8750526768642448</v>
      </c>
      <c r="J186" s="99">
        <f t="shared" si="28"/>
        <v>3.8750526768642448</v>
      </c>
      <c r="K186" s="53" cm="1">
        <f t="array" ref="K186">$D$2*SUM( ($B$12:$B$14)/(EXP($B$12:$B$14/B186)-1) + 0.5*$B$12:$B$14)/4184</f>
        <v>13.356005494324505</v>
      </c>
      <c r="N186" s="46"/>
    </row>
    <row r="187" spans="2:14" x14ac:dyDescent="0.3">
      <c r="B187" s="35">
        <f t="shared" si="26"/>
        <v>1400</v>
      </c>
      <c r="C187" s="53">
        <f t="shared" si="23"/>
        <v>17460.391199999998</v>
      </c>
      <c r="D187" s="53">
        <f t="shared" si="24"/>
        <v>17460.391199999998</v>
      </c>
      <c r="E187" s="53" cm="1">
        <f t="array" ref="E187">$D$2*SUM( ($B$12:$B$14)/(EXP($B$12:$B$14/B187)-1) + 0.5*$B$12:$B$14)</f>
        <v>57166.738516749385</v>
      </c>
      <c r="H187" s="35">
        <f t="shared" si="27"/>
        <v>1400</v>
      </c>
      <c r="I187" s="53">
        <f t="shared" si="25"/>
        <v>4.1731336520076479</v>
      </c>
      <c r="J187" s="99">
        <f t="shared" si="28"/>
        <v>4.1731336520076479</v>
      </c>
      <c r="K187" s="53" cm="1">
        <f t="array" ref="K187">$D$2*SUM( ($B$12:$B$14)/(EXP($B$12:$B$14/B187)-1) + 0.5*$B$12:$B$14)/4184</f>
        <v>13.663178421785226</v>
      </c>
    </row>
    <row r="188" spans="2:14" ht="15" thickBot="1" x14ac:dyDescent="0.35">
      <c r="B188" s="35">
        <f t="shared" si="26"/>
        <v>1500</v>
      </c>
      <c r="C188" s="53">
        <f t="shared" si="23"/>
        <v>18707.561999999998</v>
      </c>
      <c r="D188" s="53">
        <f t="shared" si="24"/>
        <v>18707.561999999998</v>
      </c>
      <c r="E188" s="53" cm="1">
        <f t="array" ref="E188">$D$2*SUM( ($B$12:$B$14)/(EXP($B$12:$B$14/B188)-1) + 0.5*$B$12:$B$14)</f>
        <v>58551.209172091985</v>
      </c>
      <c r="H188" s="35">
        <f t="shared" si="27"/>
        <v>1500</v>
      </c>
      <c r="I188" s="53">
        <f t="shared" si="25"/>
        <v>4.4712146271510509</v>
      </c>
      <c r="J188" s="99">
        <f t="shared" si="28"/>
        <v>4.4712146271510509</v>
      </c>
      <c r="K188" s="53" cm="1">
        <f t="array" ref="K188">$D$2*SUM( ($B$12:$B$14)/(EXP($B$12:$B$14/B188)-1) + 0.5*$B$12:$B$14)/4184</f>
        <v>13.994074849926383</v>
      </c>
    </row>
    <row r="189" spans="2:14" ht="15" thickBot="1" x14ac:dyDescent="0.35">
      <c r="B189" s="35">
        <f t="shared" si="26"/>
        <v>1600</v>
      </c>
      <c r="C189" s="53">
        <f t="shared" si="23"/>
        <v>19954.732799999998</v>
      </c>
      <c r="D189" s="53">
        <f t="shared" si="24"/>
        <v>19954.732799999998</v>
      </c>
      <c r="E189" s="53" cm="1">
        <f t="array" ref="E189">$D$2*SUM( ($B$12:$B$14)/(EXP($B$12:$B$14/B189)-1) + 0.5*$B$12:$B$14)</f>
        <v>60026.002554895327</v>
      </c>
      <c r="H189" s="35">
        <f t="shared" si="27"/>
        <v>1600</v>
      </c>
      <c r="I189" s="53">
        <f t="shared" si="25"/>
        <v>4.7692956022944548</v>
      </c>
      <c r="J189" s="99">
        <f t="shared" si="28"/>
        <v>4.7692956022944548</v>
      </c>
      <c r="K189" s="53" cm="1">
        <f t="array" ref="K189">$D$2*SUM( ($B$12:$B$14)/(EXP($B$12:$B$14/B189)-1) + 0.5*$B$12:$B$14)/4184</f>
        <v>14.346558928034256</v>
      </c>
      <c r="M189" s="30" t="s">
        <v>93</v>
      </c>
      <c r="N189" s="108">
        <f>SUM(I176:L176)</f>
        <v>13.681733080046913</v>
      </c>
    </row>
    <row r="190" spans="2:14" x14ac:dyDescent="0.3">
      <c r="B190" s="35">
        <f t="shared" si="26"/>
        <v>1700</v>
      </c>
      <c r="C190" s="53">
        <f t="shared" si="23"/>
        <v>21201.903599999998</v>
      </c>
      <c r="D190" s="53">
        <f t="shared" si="24"/>
        <v>21201.903599999998</v>
      </c>
      <c r="E190" s="53" cm="1">
        <f t="array" ref="E190">$D$2*SUM( ($B$12:$B$14)/(EXP($B$12:$B$14/B190)-1) + 0.5*$B$12:$B$14)</f>
        <v>61582.646798958398</v>
      </c>
      <c r="H190" s="35">
        <f t="shared" si="27"/>
        <v>1700</v>
      </c>
      <c r="I190" s="53">
        <f t="shared" si="25"/>
        <v>5.0673765774378579</v>
      </c>
      <c r="J190" s="99">
        <f t="shared" si="28"/>
        <v>5.0673765774378579</v>
      </c>
      <c r="K190" s="53" cm="1">
        <f t="array" ref="K190">$D$2*SUM( ($B$12:$B$14)/(EXP($B$12:$B$14/B190)-1) + 0.5*$B$12:$B$14)/4184</f>
        <v>14.718605831491013</v>
      </c>
    </row>
    <row r="191" spans="2:14" x14ac:dyDescent="0.3">
      <c r="B191" s="35">
        <f t="shared" si="26"/>
        <v>1800</v>
      </c>
      <c r="C191" s="53">
        <f t="shared" si="23"/>
        <v>22449.074399999998</v>
      </c>
      <c r="D191" s="53">
        <f t="shared" si="24"/>
        <v>22449.074399999998</v>
      </c>
      <c r="E191" s="53" cm="1">
        <f t="array" ref="E191">$D$2*SUM( ($B$12:$B$14)/(EXP($B$12:$B$14/B191)-1) + 0.5*$B$12:$B$14)</f>
        <v>63213.281649571974</v>
      </c>
      <c r="H191" s="35">
        <f t="shared" si="27"/>
        <v>1800</v>
      </c>
      <c r="I191" s="53">
        <f t="shared" si="25"/>
        <v>5.3654575525812618</v>
      </c>
      <c r="J191" s="99">
        <f t="shared" si="28"/>
        <v>5.3654575525812618</v>
      </c>
      <c r="K191" s="53" cm="1">
        <f t="array" ref="K191">$D$2*SUM( ($B$12:$B$14)/(EXP($B$12:$B$14/B191)-1) + 0.5*$B$12:$B$14)/4184</f>
        <v>15.108336914333647</v>
      </c>
    </row>
    <row r="192" spans="2:14" x14ac:dyDescent="0.3">
      <c r="B192" s="35">
        <f t="shared" si="26"/>
        <v>1900</v>
      </c>
      <c r="C192" s="53">
        <f t="shared" si="23"/>
        <v>23696.245199999998</v>
      </c>
      <c r="D192" s="53">
        <f t="shared" si="24"/>
        <v>23696.245199999998</v>
      </c>
      <c r="E192" s="53" cm="1">
        <f t="array" ref="E192">$D$2*SUM( ($B$12:$B$14)/(EXP($B$12:$B$14/B192)-1) + 0.5*$B$12:$B$14)</f>
        <v>64910.720265637872</v>
      </c>
      <c r="H192" s="35">
        <f t="shared" si="27"/>
        <v>1900</v>
      </c>
      <c r="I192" s="53">
        <f t="shared" si="25"/>
        <v>5.6635385277246648</v>
      </c>
      <c r="J192" s="99">
        <f t="shared" si="28"/>
        <v>5.6635385277246648</v>
      </c>
      <c r="K192" s="53" cm="1">
        <f t="array" ref="K192">$D$2*SUM( ($B$12:$B$14)/(EXP($B$12:$B$14/B192)-1) + 0.5*$B$12:$B$14)/4184</f>
        <v>15.514034480314979</v>
      </c>
    </row>
    <row r="193" spans="1:15" x14ac:dyDescent="0.3">
      <c r="B193" s="35">
        <f t="shared" si="26"/>
        <v>2000</v>
      </c>
      <c r="C193" s="53">
        <f t="shared" si="23"/>
        <v>24943.415999999997</v>
      </c>
      <c r="D193" s="53">
        <f t="shared" si="24"/>
        <v>24943.415999999997</v>
      </c>
      <c r="E193" s="53" cm="1">
        <f t="array" ref="E193">$D$2*SUM( ($B$12:$B$14)/(EXP($B$12:$B$14/B193)-1) + 0.5*$B$12:$B$14)</f>
        <v>66668.456421479481</v>
      </c>
      <c r="H193" s="35">
        <f t="shared" si="27"/>
        <v>2000</v>
      </c>
      <c r="I193" s="53">
        <f t="shared" si="25"/>
        <v>5.9616195028680679</v>
      </c>
      <c r="J193" s="99">
        <f t="shared" si="28"/>
        <v>5.9616195028680679</v>
      </c>
      <c r="K193" s="53" cm="1">
        <f t="array" ref="K193">$D$2*SUM( ($B$12:$B$14)/(EXP($B$12:$B$14/B193)-1) + 0.5*$B$12:$B$14)/4184</f>
        <v>15.934143504177696</v>
      </c>
    </row>
    <row r="194" spans="1:15" ht="15" thickBot="1" x14ac:dyDescent="0.35">
      <c r="B194" s="26">
        <f t="shared" si="26"/>
        <v>2100</v>
      </c>
      <c r="C194" s="56">
        <f t="shared" si="23"/>
        <v>26190.586799999997</v>
      </c>
      <c r="D194" s="56">
        <f t="shared" si="24"/>
        <v>26190.586799999997</v>
      </c>
      <c r="E194" s="56" cm="1">
        <f t="array" ref="E194">$D$2*SUM( ($B$12:$B$14)/(EXP($B$12:$B$14/B194)-1) + 0.5*$B$12:$B$14)</f>
        <v>68480.638980313903</v>
      </c>
      <c r="F194" s="51"/>
      <c r="H194" s="26">
        <f t="shared" si="27"/>
        <v>2100</v>
      </c>
      <c r="I194" s="56">
        <f t="shared" si="25"/>
        <v>6.2597004780114718</v>
      </c>
      <c r="J194" s="103">
        <f t="shared" si="28"/>
        <v>6.2597004780114718</v>
      </c>
      <c r="K194" s="56" cm="1">
        <f t="array" ref="K194">$D$2*SUM( ($B$12:$B$14)/(EXP($B$12:$B$14/B194)-1) + 0.5*$B$12:$B$14)/4184</f>
        <v>16.367265530667758</v>
      </c>
      <c r="L194" s="51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0" t="s">
        <v>94</v>
      </c>
    </row>
    <row r="198" spans="1:15" ht="16.8" thickBot="1" x14ac:dyDescent="0.35">
      <c r="B198" s="109" t="s">
        <v>95</v>
      </c>
      <c r="C198" s="32">
        <f xml:space="preserve"> ($C$2*$C$2) /(8*$B$2*$B$2*$A$2*$H$198)</f>
        <v>2.6799451655239079</v>
      </c>
      <c r="F198" s="35"/>
      <c r="H198" s="51">
        <f>SQRT(E6*E6+F6*F6+G6*G6)</f>
        <v>1.5028962515684284E-46</v>
      </c>
      <c r="I198" s="36" t="s">
        <v>96</v>
      </c>
      <c r="K198" s="25">
        <v>1.18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97</v>
      </c>
      <c r="B200" s="196" t="s">
        <v>98</v>
      </c>
      <c r="C200" s="196"/>
      <c r="D200" s="196"/>
      <c r="E200" s="196"/>
      <c r="F200" s="196"/>
      <c r="H200" s="196" t="s">
        <v>99</v>
      </c>
      <c r="I200" s="196"/>
      <c r="J200" s="196"/>
      <c r="K200" s="196"/>
      <c r="L200" s="196"/>
    </row>
    <row r="201" spans="1:15" ht="18" x14ac:dyDescent="0.3">
      <c r="A201" s="5" t="s">
        <v>98</v>
      </c>
      <c r="B201" s="95" t="s">
        <v>46</v>
      </c>
      <c r="C201" s="16" t="s">
        <v>100</v>
      </c>
      <c r="D201" s="16" t="s">
        <v>88</v>
      </c>
      <c r="E201" s="16" t="s">
        <v>36</v>
      </c>
      <c r="F201" s="16" t="s">
        <v>37</v>
      </c>
      <c r="G201" s="16" t="s">
        <v>89</v>
      </c>
      <c r="H201" s="95" t="s">
        <v>46</v>
      </c>
      <c r="I201" s="16" t="s">
        <v>88</v>
      </c>
      <c r="J201" s="16" t="s">
        <v>36</v>
      </c>
      <c r="K201" s="16" t="s">
        <v>37</v>
      </c>
      <c r="L201" s="16" t="s">
        <v>89</v>
      </c>
      <c r="O201" s="80"/>
    </row>
    <row r="202" spans="1:15" ht="15" thickBot="1" x14ac:dyDescent="0.35">
      <c r="B202" s="35">
        <f>298.15</f>
        <v>298.14999999999998</v>
      </c>
      <c r="C202" s="53">
        <f>($A$2*B202)/$J$2</f>
        <v>4.062431680236861E-26</v>
      </c>
      <c r="D202" s="111">
        <f xml:space="preserve"> $D$2 *( 5/2  +   LN(  ((2*$B$2*$E$2*$A$2*B202)/($C$2*$C$2) )^1.5  * ($D$2*B202 )/($F$2*$J$2)  ) )</f>
        <v>143.3350027757171</v>
      </c>
      <c r="E202" s="53">
        <f>$D$2 *LN( (EXP(1)*B202) / ($B$6 * $C$198))</f>
        <v>41.727451520094924</v>
      </c>
      <c r="F202" s="53">
        <f>0</f>
        <v>0</v>
      </c>
      <c r="G202" s="56">
        <v>0</v>
      </c>
      <c r="H202" s="35">
        <f>298.15</f>
        <v>298.14999999999998</v>
      </c>
      <c r="I202" s="106">
        <f xml:space="preserve"> $D$2 *( 5/2  +   LN(  ((2*$B$2*$E$2*$A$2*B202)/($C$2*$C$2) )^1.5  * ($D$2*B202 )/($F$2*$J$2)  ) ) / 4.184</f>
        <v>34.257887852704847</v>
      </c>
      <c r="J202" s="106">
        <f>$D$2 *LN( (EXP(1)*B202) / ($B$6 * $C$198)) /4.184</f>
        <v>9.9731002677091123</v>
      </c>
      <c r="K202" s="106">
        <f>F202</f>
        <v>0</v>
      </c>
      <c r="L202" s="112">
        <v>0</v>
      </c>
      <c r="O202" s="80"/>
    </row>
    <row r="203" spans="1:15" x14ac:dyDescent="0.3">
      <c r="B203" s="35">
        <f>300+100</f>
        <v>400</v>
      </c>
      <c r="C203" s="53">
        <f t="shared" ref="C203:C220" si="29">($A$2*B203)/$J$2</f>
        <v>5.4501850481125095E-26</v>
      </c>
      <c r="D203" s="111">
        <f t="shared" ref="D203:D220" si="30" xml:space="preserve"> $D$2 *( 5/2  +   LN(  ((2*$B$2*$E$2*$A$2*B203)/($C$2*$C$2) )^1.5  * ($D$2*B203 )/($F$2*$J$2)  ) )</f>
        <v>149.44339241829374</v>
      </c>
      <c r="E203" s="53">
        <f t="shared" ref="E203:E220" si="31">$D$2 *LN( (EXP(1)*B203) / ($B$6 * $C$198))</f>
        <v>44.170807377125556</v>
      </c>
      <c r="F203" s="53">
        <f>0</f>
        <v>0</v>
      </c>
      <c r="H203" s="35">
        <f>300+100</f>
        <v>400</v>
      </c>
      <c r="I203" s="111">
        <f xml:space="preserve"> $D$2 *( 5/2  +   LN(  ((2*$B$2*$E$2*$A$2*B203)/($C$2*$C$2) )^1.5  * ($D$2*B203 )/($F$2*$J$2)  ) )/ 4.184</f>
        <v>35.717828015844582</v>
      </c>
      <c r="J203" s="53">
        <f>$D$2 *LN( (EXP(1)*B203) / ($B$6 * $C$198)) / 4.184</f>
        <v>10.557076332964998</v>
      </c>
      <c r="K203" s="53">
        <f>F203</f>
        <v>0</v>
      </c>
      <c r="O203" s="46"/>
    </row>
    <row r="204" spans="1:15" ht="18" x14ac:dyDescent="0.3">
      <c r="B204" s="35">
        <f t="shared" ref="B204:B220" si="32">B203+100</f>
        <v>500</v>
      </c>
      <c r="C204" s="53">
        <f t="shared" si="29"/>
        <v>6.8127313101406362E-26</v>
      </c>
      <c r="D204" s="111">
        <f t="shared" si="30"/>
        <v>154.0816944417501</v>
      </c>
      <c r="E204" s="53">
        <f t="shared" si="31"/>
        <v>46.026128186508117</v>
      </c>
      <c r="F204" s="53">
        <f>0</f>
        <v>0</v>
      </c>
      <c r="H204" s="35">
        <f t="shared" ref="H204:H220" si="33">H203+100</f>
        <v>500</v>
      </c>
      <c r="I204" s="111">
        <f t="shared" ref="I204:I220" si="34" xml:space="preserve"> $D$2 *( 5/2  +   LN(  ((2*$B$2*$E$2*$A$2*B204)/($C$2*$C$2) )^1.5  * ($D$2*B204 )/($F$2*$J$2)  ) )/ 4.184</f>
        <v>36.826408805389605</v>
      </c>
      <c r="J204" s="53">
        <f t="shared" ref="J204:J220" si="35">$D$2 *LN( (EXP(1)*B204) / ($B$6 * $C$198)) / 4.184</f>
        <v>11.000508648783011</v>
      </c>
      <c r="K204" s="53">
        <f t="shared" ref="K204:K220" si="36">F204</f>
        <v>0</v>
      </c>
      <c r="M204" s="202"/>
      <c r="N204" s="202"/>
      <c r="O204" s="46"/>
    </row>
    <row r="205" spans="1:15" ht="18.600000000000001" thickBot="1" x14ac:dyDescent="0.35">
      <c r="B205" s="35">
        <f t="shared" si="32"/>
        <v>600</v>
      </c>
      <c r="C205" s="53">
        <f t="shared" si="29"/>
        <v>8.175277572168763E-26</v>
      </c>
      <c r="D205" s="111">
        <f t="shared" si="30"/>
        <v>157.87146313914948</v>
      </c>
      <c r="E205" s="53">
        <f t="shared" si="31"/>
        <v>47.542035665467864</v>
      </c>
      <c r="F205" s="53">
        <f>0</f>
        <v>0</v>
      </c>
      <c r="H205" s="35">
        <f t="shared" si="33"/>
        <v>600</v>
      </c>
      <c r="I205" s="111">
        <f t="shared" si="34"/>
        <v>37.732185262703027</v>
      </c>
      <c r="J205" s="53">
        <f t="shared" si="35"/>
        <v>11.36281923170838</v>
      </c>
      <c r="K205" s="53">
        <f t="shared" si="36"/>
        <v>0</v>
      </c>
      <c r="M205" s="202" t="s">
        <v>92</v>
      </c>
      <c r="N205" s="202"/>
      <c r="O205" s="46"/>
    </row>
    <row r="206" spans="1:15" x14ac:dyDescent="0.3">
      <c r="B206" s="35">
        <f t="shared" si="32"/>
        <v>700</v>
      </c>
      <c r="C206" s="53">
        <f t="shared" si="29"/>
        <v>9.5378238341968898E-26</v>
      </c>
      <c r="D206" s="111">
        <f t="shared" si="30"/>
        <v>161.07566691716124</v>
      </c>
      <c r="E206" s="53">
        <f t="shared" si="31"/>
        <v>48.823717176672567</v>
      </c>
      <c r="F206" s="53">
        <f>0</f>
        <v>0</v>
      </c>
      <c r="H206" s="35">
        <f t="shared" si="33"/>
        <v>700</v>
      </c>
      <c r="I206" s="111">
        <f t="shared" si="34"/>
        <v>38.498008345401828</v>
      </c>
      <c r="J206" s="53">
        <f t="shared" si="35"/>
        <v>11.669148464787899</v>
      </c>
      <c r="K206" s="53">
        <f t="shared" si="36"/>
        <v>0</v>
      </c>
      <c r="M206" s="38"/>
      <c r="N206" s="4" t="s">
        <v>30</v>
      </c>
      <c r="O206" s="46"/>
    </row>
    <row r="207" spans="1:15" x14ac:dyDescent="0.3">
      <c r="B207" s="35">
        <f t="shared" si="32"/>
        <v>800</v>
      </c>
      <c r="C207" s="53">
        <f t="shared" si="29"/>
        <v>1.0900370096225019E-25</v>
      </c>
      <c r="D207" s="111">
        <f t="shared" si="30"/>
        <v>163.85127447990519</v>
      </c>
      <c r="E207" s="53">
        <f t="shared" si="31"/>
        <v>49.933960201770162</v>
      </c>
      <c r="F207" s="53">
        <f>0</f>
        <v>0</v>
      </c>
      <c r="H207" s="35">
        <f t="shared" si="33"/>
        <v>800</v>
      </c>
      <c r="I207" s="111">
        <f t="shared" si="34"/>
        <v>39.161394474164716</v>
      </c>
      <c r="J207" s="53">
        <f t="shared" si="35"/>
        <v>11.934502916293059</v>
      </c>
      <c r="K207" s="53">
        <f t="shared" si="36"/>
        <v>0</v>
      </c>
      <c r="M207" s="39"/>
      <c r="N207" s="41" t="s">
        <v>32</v>
      </c>
      <c r="O207" s="46"/>
    </row>
    <row r="208" spans="1:15" x14ac:dyDescent="0.3">
      <c r="B208" s="35">
        <f t="shared" si="32"/>
        <v>900</v>
      </c>
      <c r="C208" s="53">
        <f t="shared" si="29"/>
        <v>1.2262916358253145E-25</v>
      </c>
      <c r="D208" s="111">
        <f t="shared" si="30"/>
        <v>166.2995338600052</v>
      </c>
      <c r="E208" s="53">
        <f t="shared" si="31"/>
        <v>50.913263953810166</v>
      </c>
      <c r="F208" s="53">
        <f>0</f>
        <v>0</v>
      </c>
      <c r="H208" s="35">
        <f t="shared" si="33"/>
        <v>900</v>
      </c>
      <c r="I208" s="111">
        <f t="shared" si="34"/>
        <v>39.746542509561472</v>
      </c>
      <c r="J208" s="53">
        <f t="shared" si="35"/>
        <v>12.168562130451759</v>
      </c>
      <c r="K208" s="53">
        <f t="shared" si="36"/>
        <v>0</v>
      </c>
      <c r="M208" s="39" t="s">
        <v>33</v>
      </c>
      <c r="N208" s="41">
        <v>46.526000000000003</v>
      </c>
    </row>
    <row r="209" spans="1:14" x14ac:dyDescent="0.3">
      <c r="B209" s="35">
        <f t="shared" si="32"/>
        <v>1000</v>
      </c>
      <c r="C209" s="53">
        <f t="shared" si="29"/>
        <v>1.3625462620281272E-25</v>
      </c>
      <c r="D209" s="111">
        <f t="shared" si="30"/>
        <v>168.48957650336163</v>
      </c>
      <c r="E209" s="53">
        <f t="shared" si="31"/>
        <v>51.789281011152724</v>
      </c>
      <c r="F209" s="53">
        <f>0</f>
        <v>0</v>
      </c>
      <c r="H209" s="35">
        <f t="shared" si="33"/>
        <v>1000</v>
      </c>
      <c r="I209" s="111">
        <f t="shared" si="34"/>
        <v>40.26997526370976</v>
      </c>
      <c r="J209" s="53">
        <f t="shared" si="35"/>
        <v>12.377935232111071</v>
      </c>
      <c r="K209" s="53">
        <f t="shared" si="36"/>
        <v>0</v>
      </c>
      <c r="M209" s="39" t="s">
        <v>34</v>
      </c>
      <c r="N209" s="41">
        <v>1.377</v>
      </c>
    </row>
    <row r="210" spans="1:14" x14ac:dyDescent="0.3">
      <c r="B210" s="35">
        <f t="shared" si="32"/>
        <v>1100</v>
      </c>
      <c r="C210" s="53">
        <f t="shared" si="29"/>
        <v>1.4988008882309398E-25</v>
      </c>
      <c r="D210" s="111">
        <f t="shared" si="30"/>
        <v>170.47071105660677</v>
      </c>
      <c r="E210" s="53">
        <f t="shared" si="31"/>
        <v>52.581734832450749</v>
      </c>
      <c r="F210" s="53">
        <f>0</f>
        <v>0</v>
      </c>
      <c r="H210" s="35">
        <f t="shared" si="33"/>
        <v>1100</v>
      </c>
      <c r="I210" s="111">
        <f t="shared" si="34"/>
        <v>40.743477785995879</v>
      </c>
      <c r="J210" s="53">
        <f t="shared" si="35"/>
        <v>12.567336241025513</v>
      </c>
      <c r="K210" s="53">
        <f t="shared" si="36"/>
        <v>0</v>
      </c>
      <c r="M210" s="39" t="s">
        <v>35</v>
      </c>
      <c r="N210" s="41">
        <v>34.259</v>
      </c>
    </row>
    <row r="211" spans="1:14" x14ac:dyDescent="0.3">
      <c r="A211" s="51"/>
      <c r="B211" s="35">
        <f t="shared" si="32"/>
        <v>1200</v>
      </c>
      <c r="C211" s="53">
        <f t="shared" si="29"/>
        <v>1.6350555144337526E-25</v>
      </c>
      <c r="D211" s="111">
        <f t="shared" si="30"/>
        <v>172.27934520076101</v>
      </c>
      <c r="E211" s="53">
        <f t="shared" si="31"/>
        <v>53.305188490112464</v>
      </c>
      <c r="F211" s="53">
        <f>0</f>
        <v>0</v>
      </c>
      <c r="H211" s="35">
        <f t="shared" si="33"/>
        <v>1200</v>
      </c>
      <c r="I211" s="111">
        <f t="shared" si="34"/>
        <v>41.175751721023182</v>
      </c>
      <c r="J211" s="53">
        <f t="shared" si="35"/>
        <v>12.74024581503644</v>
      </c>
      <c r="K211" s="53">
        <f t="shared" si="36"/>
        <v>0</v>
      </c>
      <c r="M211" s="39" t="s">
        <v>36</v>
      </c>
      <c r="N211" s="41">
        <v>10.879</v>
      </c>
    </row>
    <row r="212" spans="1:14" ht="15" thickBot="1" x14ac:dyDescent="0.35">
      <c r="B212" s="35">
        <f t="shared" si="32"/>
        <v>1300</v>
      </c>
      <c r="C212" s="53">
        <f t="shared" si="29"/>
        <v>1.7713101406365654E-25</v>
      </c>
      <c r="D212" s="111">
        <f t="shared" si="30"/>
        <v>173.94312733015056</v>
      </c>
      <c r="E212" s="53">
        <f t="shared" si="31"/>
        <v>53.970701341868278</v>
      </c>
      <c r="F212" s="53">
        <f>0</f>
        <v>0</v>
      </c>
      <c r="H212" s="35">
        <f t="shared" si="33"/>
        <v>1300</v>
      </c>
      <c r="I212" s="111">
        <f t="shared" si="34"/>
        <v>41.573405193630627</v>
      </c>
      <c r="J212" s="53">
        <f t="shared" si="35"/>
        <v>12.899307204079415</v>
      </c>
      <c r="K212" s="53">
        <f t="shared" si="36"/>
        <v>0</v>
      </c>
      <c r="M212" s="43" t="s">
        <v>37</v>
      </c>
      <c r="N212" s="45">
        <v>1.0999999999999999E-2</v>
      </c>
    </row>
    <row r="213" spans="1:14" x14ac:dyDescent="0.3">
      <c r="B213" s="35">
        <f t="shared" si="32"/>
        <v>1400</v>
      </c>
      <c r="C213" s="53">
        <f t="shared" si="29"/>
        <v>1.907564766839378E-25</v>
      </c>
      <c r="D213" s="111">
        <f t="shared" si="30"/>
        <v>175.48354897877277</v>
      </c>
      <c r="E213" s="53">
        <f t="shared" si="31"/>
        <v>54.586870001317173</v>
      </c>
      <c r="F213" s="53">
        <f>0</f>
        <v>0</v>
      </c>
      <c r="H213" s="35">
        <f t="shared" si="33"/>
        <v>1400</v>
      </c>
      <c r="I213" s="111">
        <f t="shared" si="34"/>
        <v>41.941574803721977</v>
      </c>
      <c r="J213" s="53">
        <f t="shared" si="35"/>
        <v>13.046575048115958</v>
      </c>
      <c r="K213" s="53">
        <f t="shared" si="36"/>
        <v>0</v>
      </c>
    </row>
    <row r="214" spans="1:14" ht="15" thickBot="1" x14ac:dyDescent="0.35">
      <c r="B214" s="35">
        <f t="shared" si="32"/>
        <v>1500</v>
      </c>
      <c r="C214" s="53">
        <f t="shared" si="29"/>
        <v>2.0438193930421908E-25</v>
      </c>
      <c r="D214" s="111">
        <f t="shared" si="30"/>
        <v>176.91764722421735</v>
      </c>
      <c r="E214" s="53">
        <f t="shared" si="31"/>
        <v>55.160509299495033</v>
      </c>
      <c r="F214" s="53">
        <f>0</f>
        <v>0</v>
      </c>
      <c r="H214" s="35">
        <f t="shared" si="33"/>
        <v>1500</v>
      </c>
      <c r="I214" s="111">
        <f t="shared" si="34"/>
        <v>42.284332510568198</v>
      </c>
      <c r="J214" s="53">
        <f t="shared" si="35"/>
        <v>13.183678130854453</v>
      </c>
      <c r="K214" s="53">
        <f t="shared" si="36"/>
        <v>0</v>
      </c>
    </row>
    <row r="215" spans="1:14" ht="15" thickBot="1" x14ac:dyDescent="0.35">
      <c r="B215" s="35">
        <f t="shared" si="32"/>
        <v>1600</v>
      </c>
      <c r="C215" s="53">
        <f t="shared" si="29"/>
        <v>2.1800740192450038E-25</v>
      </c>
      <c r="D215" s="111">
        <f t="shared" si="30"/>
        <v>178.25915654151675</v>
      </c>
      <c r="E215" s="53">
        <f t="shared" si="31"/>
        <v>55.697113026414776</v>
      </c>
      <c r="F215" s="53">
        <f>0</f>
        <v>0</v>
      </c>
      <c r="H215" s="35">
        <f t="shared" si="33"/>
        <v>1600</v>
      </c>
      <c r="I215" s="111">
        <f t="shared" si="34"/>
        <v>42.604960932484879</v>
      </c>
      <c r="J215" s="53">
        <f t="shared" si="35"/>
        <v>13.311929499621122</v>
      </c>
      <c r="K215" s="53">
        <f t="shared" si="36"/>
        <v>0</v>
      </c>
      <c r="M215" s="30" t="s">
        <v>93</v>
      </c>
      <c r="N215" s="126">
        <f>SUM(I202:L202)</f>
        <v>44.230988120413961</v>
      </c>
    </row>
    <row r="216" spans="1:14" x14ac:dyDescent="0.3">
      <c r="B216" s="35">
        <f t="shared" si="32"/>
        <v>1700</v>
      </c>
      <c r="C216" s="53">
        <f t="shared" si="29"/>
        <v>2.3163286454478159E-25</v>
      </c>
      <c r="D216" s="111">
        <f t="shared" si="30"/>
        <v>179.51931084302515</v>
      </c>
      <c r="E216" s="53">
        <f t="shared" si="31"/>
        <v>56.201174747018108</v>
      </c>
      <c r="F216" s="53">
        <f>0</f>
        <v>0</v>
      </c>
      <c r="H216" s="35">
        <f t="shared" si="33"/>
        <v>1700</v>
      </c>
      <c r="I216" s="111">
        <f t="shared" si="34"/>
        <v>42.906145038963942</v>
      </c>
      <c r="J216" s="53">
        <f t="shared" si="35"/>
        <v>13.43240314221274</v>
      </c>
      <c r="K216" s="53">
        <f t="shared" si="36"/>
        <v>0</v>
      </c>
    </row>
    <row r="217" spans="1:14" x14ac:dyDescent="0.3">
      <c r="B217" s="35">
        <f t="shared" si="32"/>
        <v>1800</v>
      </c>
      <c r="C217" s="53">
        <f t="shared" si="29"/>
        <v>2.4525832716506289E-25</v>
      </c>
      <c r="D217" s="111">
        <f t="shared" si="30"/>
        <v>180.70741592161673</v>
      </c>
      <c r="E217" s="53">
        <f t="shared" si="31"/>
        <v>56.676416778454772</v>
      </c>
      <c r="F217" s="53">
        <f>0</f>
        <v>0</v>
      </c>
      <c r="H217" s="35">
        <f t="shared" si="33"/>
        <v>1800</v>
      </c>
      <c r="I217" s="111">
        <f t="shared" si="34"/>
        <v>43.190108967881628</v>
      </c>
      <c r="J217" s="53">
        <f t="shared" si="35"/>
        <v>13.545988713779821</v>
      </c>
      <c r="K217" s="53">
        <f t="shared" si="36"/>
        <v>0</v>
      </c>
    </row>
    <row r="218" spans="1:14" x14ac:dyDescent="0.3">
      <c r="B218" s="35">
        <f t="shared" si="32"/>
        <v>1900</v>
      </c>
      <c r="C218" s="53">
        <f t="shared" si="29"/>
        <v>2.5888378978534419E-25</v>
      </c>
      <c r="D218" s="111">
        <f t="shared" si="30"/>
        <v>181.83126691504054</v>
      </c>
      <c r="E218" s="53">
        <f t="shared" si="31"/>
        <v>57.125957175824283</v>
      </c>
      <c r="F218" s="53">
        <f>0</f>
        <v>0</v>
      </c>
      <c r="H218" s="35">
        <f t="shared" si="33"/>
        <v>1900</v>
      </c>
      <c r="I218" s="111">
        <f t="shared" si="34"/>
        <v>43.458715801873936</v>
      </c>
      <c r="J218" s="53">
        <f t="shared" si="35"/>
        <v>13.65343144737674</v>
      </c>
      <c r="K218" s="53">
        <f t="shared" si="36"/>
        <v>0</v>
      </c>
    </row>
    <row r="219" spans="1:14" x14ac:dyDescent="0.3">
      <c r="B219" s="35">
        <f t="shared" si="32"/>
        <v>2000</v>
      </c>
      <c r="C219" s="53">
        <f t="shared" si="29"/>
        <v>2.7250925240562545E-25</v>
      </c>
      <c r="D219" s="111">
        <f t="shared" si="30"/>
        <v>182.89745856497308</v>
      </c>
      <c r="E219" s="53">
        <f t="shared" si="31"/>
        <v>57.552433835797338</v>
      </c>
      <c r="F219" s="53">
        <f>0</f>
        <v>0</v>
      </c>
      <c r="H219" s="35">
        <f t="shared" si="33"/>
        <v>2000</v>
      </c>
      <c r="I219" s="111">
        <f t="shared" si="34"/>
        <v>43.713541722029895</v>
      </c>
      <c r="J219" s="53">
        <f t="shared" si="35"/>
        <v>13.755361815439134</v>
      </c>
      <c r="K219" s="53">
        <f t="shared" si="36"/>
        <v>0</v>
      </c>
    </row>
    <row r="220" spans="1:14" ht="15" thickBot="1" x14ac:dyDescent="0.35">
      <c r="B220" s="26">
        <f t="shared" si="32"/>
        <v>2100</v>
      </c>
      <c r="C220" s="56">
        <f t="shared" si="29"/>
        <v>2.8613471502590675E-25</v>
      </c>
      <c r="D220" s="111">
        <f t="shared" si="30"/>
        <v>183.91161969962852</v>
      </c>
      <c r="E220" s="56">
        <f t="shared" si="31"/>
        <v>57.958098289659482</v>
      </c>
      <c r="F220" s="56">
        <f>0</f>
        <v>0</v>
      </c>
      <c r="G220" s="51"/>
      <c r="H220" s="26">
        <f t="shared" si="33"/>
        <v>2100</v>
      </c>
      <c r="I220" s="114">
        <f t="shared" si="34"/>
        <v>43.955932050580429</v>
      </c>
      <c r="J220" s="56">
        <f t="shared" si="35"/>
        <v>13.85231794685934</v>
      </c>
      <c r="K220" s="56">
        <f t="shared" si="36"/>
        <v>0</v>
      </c>
      <c r="L220" s="51"/>
    </row>
    <row r="224" spans="1:14" ht="15" thickBot="1" x14ac:dyDescent="0.35">
      <c r="A224" s="5" t="s">
        <v>101</v>
      </c>
      <c r="B224" s="196" t="s">
        <v>102</v>
      </c>
      <c r="C224" s="196"/>
      <c r="D224" s="196"/>
      <c r="E224" s="196"/>
      <c r="F224" s="196"/>
      <c r="H224" s="196" t="s">
        <v>103</v>
      </c>
      <c r="I224" s="196"/>
      <c r="J224" s="196"/>
      <c r="K224" s="196"/>
      <c r="L224" s="196"/>
    </row>
    <row r="225" spans="1:15" ht="18" x14ac:dyDescent="0.3">
      <c r="A225" s="5" t="s">
        <v>98</v>
      </c>
      <c r="B225" s="95" t="s">
        <v>46</v>
      </c>
      <c r="C225" s="16" t="s">
        <v>88</v>
      </c>
      <c r="D225" s="16" t="s">
        <v>36</v>
      </c>
      <c r="E225" s="16" t="s">
        <v>37</v>
      </c>
      <c r="F225" s="16" t="s">
        <v>89</v>
      </c>
      <c r="H225" s="95" t="s">
        <v>46</v>
      </c>
      <c r="I225" s="16" t="s">
        <v>88</v>
      </c>
      <c r="J225" s="16" t="s">
        <v>36</v>
      </c>
      <c r="K225" s="16" t="s">
        <v>37</v>
      </c>
      <c r="L225" s="16" t="s">
        <v>89</v>
      </c>
    </row>
    <row r="226" spans="1:15" ht="15" thickBot="1" x14ac:dyDescent="0.35">
      <c r="B226" s="35">
        <f>298.15</f>
        <v>298.14999999999998</v>
      </c>
      <c r="C226" s="53">
        <f>3/2*$D$2</f>
        <v>12.471708</v>
      </c>
      <c r="D226" s="53">
        <f>3/2*$D$2</f>
        <v>12.471708</v>
      </c>
      <c r="E226" s="53" cm="1">
        <f t="array" ref="E226">$D$2*SUM( ( ($B$12:$B$14) * ($B$12:$B$14)* EXP($B$12:$B$14/B226) ) / ( B226*B226* ( EXP(( $B$12:$B$14)/B226 )  -1)^2 ) )</f>
        <v>0.29327042030084832</v>
      </c>
      <c r="F226" s="56">
        <v>0</v>
      </c>
      <c r="H226" s="35">
        <f>298.15</f>
        <v>298.14999999999998</v>
      </c>
      <c r="I226" s="106">
        <f>3/2*$D$2 / 4.184</f>
        <v>2.9808097514340344</v>
      </c>
      <c r="J226" s="106">
        <f>D226 /4.184</f>
        <v>2.9808097514340344</v>
      </c>
      <c r="K226" s="106" cm="1">
        <f t="array" ref="K226">$D$2*SUM( ( ($B$12:$B$14) * ($B$12:$B$14)* EXP($B$12:$B$14/B226) ) / ( B226*B226* ( EXP(( $B$12:$B$14)/B226 )  -1)^2 ) )/ 4.184</f>
        <v>7.0093312691407339E-2</v>
      </c>
      <c r="L226" s="112">
        <v>0</v>
      </c>
    </row>
    <row r="227" spans="1:15" x14ac:dyDescent="0.3">
      <c r="B227" s="35">
        <f>300+100</f>
        <v>400</v>
      </c>
      <c r="C227" s="53">
        <f t="shared" ref="C227:D244" si="37">3/2*$D$2</f>
        <v>12.471708</v>
      </c>
      <c r="D227" s="53">
        <f t="shared" si="37"/>
        <v>12.471708</v>
      </c>
      <c r="E227" s="53" cm="1">
        <f t="array" ref="E227">$D$2*SUM( ( ($B$12:$B$14) * ($B$12:$B$14)* EXP($B$12:$B$14/B227) ) / ( B227*B227* ( EXP(( $B$12:$B$14)/B227 )  -1)^2 ) )</f>
        <v>1.0723196294809316</v>
      </c>
      <c r="H227" s="35">
        <f>300+100</f>
        <v>400</v>
      </c>
      <c r="I227" s="53">
        <f t="shared" ref="I227:I244" si="38">3/2*$D$2 / 4.184</f>
        <v>2.9808097514340344</v>
      </c>
      <c r="J227" s="53">
        <f>D227/4.184</f>
        <v>2.9808097514340344</v>
      </c>
      <c r="K227" s="53">
        <f xml:space="preserve">  E227/4.184</f>
        <v>0.25629054241896071</v>
      </c>
    </row>
    <row r="228" spans="1:15" ht="18.600000000000001" thickBot="1" x14ac:dyDescent="0.35">
      <c r="B228" s="35">
        <f t="shared" ref="B228:B244" si="39">B227+100</f>
        <v>500</v>
      </c>
      <c r="C228" s="53">
        <f t="shared" si="37"/>
        <v>12.471708</v>
      </c>
      <c r="D228" s="53">
        <f t="shared" si="37"/>
        <v>12.471708</v>
      </c>
      <c r="E228" s="53" cm="1">
        <f t="array" ref="E228">$D$2*SUM( ( ($B$12:$B$14) * ($B$12:$B$14)* EXP($B$12:$B$14/B228) ) / ( B228*B228* ( EXP(( $B$12:$B$14)/B228 )  -1)^2 ) )</f>
        <v>2.1482360346002962</v>
      </c>
      <c r="H228" s="35">
        <f t="shared" ref="H228:H244" si="40">H227+100</f>
        <v>500</v>
      </c>
      <c r="I228" s="53">
        <f t="shared" si="38"/>
        <v>2.9808097514340344</v>
      </c>
      <c r="J228" s="53">
        <f t="shared" ref="J228:J244" si="41">D228/4.184</f>
        <v>2.9808097514340344</v>
      </c>
      <c r="K228" s="53">
        <f t="shared" ref="K228:K244" si="42" xml:space="preserve">  E228/4.184</f>
        <v>0.51344073484710706</v>
      </c>
      <c r="M228" s="202" t="s">
        <v>92</v>
      </c>
      <c r="N228" s="202"/>
    </row>
    <row r="229" spans="1:15" x14ac:dyDescent="0.3">
      <c r="B229" s="35">
        <f t="shared" si="39"/>
        <v>600</v>
      </c>
      <c r="C229" s="53">
        <f t="shared" si="37"/>
        <v>12.471708</v>
      </c>
      <c r="D229" s="53">
        <f t="shared" si="37"/>
        <v>12.471708</v>
      </c>
      <c r="E229" s="53" cm="1">
        <f t="array" ref="E229">$D$2*SUM( ( ($B$12:$B$14) * ($B$12:$B$14)* EXP($B$12:$B$14/B229) ) / ( B229*B229* ( EXP(( $B$12:$B$14)/B229 )  -1)^2 ) )</f>
        <v>3.3632309070641235</v>
      </c>
      <c r="H229" s="35">
        <f t="shared" si="40"/>
        <v>600</v>
      </c>
      <c r="I229" s="53">
        <f t="shared" si="38"/>
        <v>2.9808097514340344</v>
      </c>
      <c r="J229" s="53">
        <f t="shared" si="41"/>
        <v>2.9808097514340344</v>
      </c>
      <c r="K229" s="53">
        <f t="shared" si="42"/>
        <v>0.80383147874381533</v>
      </c>
      <c r="M229" s="38"/>
      <c r="N229" s="4" t="s">
        <v>29</v>
      </c>
      <c r="O229" s="80"/>
    </row>
    <row r="230" spans="1:15" x14ac:dyDescent="0.3">
      <c r="B230" s="35">
        <f t="shared" si="39"/>
        <v>700</v>
      </c>
      <c r="C230" s="53">
        <f t="shared" si="37"/>
        <v>12.471708</v>
      </c>
      <c r="D230" s="53">
        <f t="shared" si="37"/>
        <v>12.471708</v>
      </c>
      <c r="E230" s="53" cm="1">
        <f t="array" ref="E230">$D$2*SUM( ( ($B$12:$B$14) * ($B$12:$B$14)* EXP($B$12:$B$14/B230) ) / ( B230*B230* ( EXP(( $B$12:$B$14)/B230 )  -1)^2 ) )</f>
        <v>4.6563390070959789</v>
      </c>
      <c r="H230" s="35">
        <f t="shared" si="40"/>
        <v>700</v>
      </c>
      <c r="I230" s="53">
        <f t="shared" si="38"/>
        <v>2.9808097514340344</v>
      </c>
      <c r="J230" s="53">
        <f t="shared" si="41"/>
        <v>2.9808097514340344</v>
      </c>
      <c r="K230" s="53">
        <f t="shared" si="42"/>
        <v>1.1128917320975094</v>
      </c>
      <c r="M230" s="39"/>
      <c r="N230" s="41" t="s">
        <v>32</v>
      </c>
      <c r="O230" s="80"/>
    </row>
    <row r="231" spans="1:15" x14ac:dyDescent="0.3">
      <c r="B231" s="35">
        <f t="shared" si="39"/>
        <v>800</v>
      </c>
      <c r="C231" s="53">
        <f t="shared" si="37"/>
        <v>12.471708</v>
      </c>
      <c r="D231" s="53">
        <f t="shared" si="37"/>
        <v>12.471708</v>
      </c>
      <c r="E231" s="53" cm="1">
        <f t="array" ref="E231">$D$2*SUM( ( ($B$12:$B$14) * ($B$12:$B$14)* EXP($B$12:$B$14/B231) ) / ( B231*B231* ( EXP(( $B$12:$B$14)/B231 )  -1)^2 ) )</f>
        <v>5.9982185759374262</v>
      </c>
      <c r="H231" s="35">
        <f t="shared" si="40"/>
        <v>800</v>
      </c>
      <c r="I231" s="53">
        <f t="shared" si="38"/>
        <v>2.9808097514340344</v>
      </c>
      <c r="J231" s="53">
        <f t="shared" si="41"/>
        <v>2.9808097514340344</v>
      </c>
      <c r="K231" s="53">
        <f t="shared" si="42"/>
        <v>1.4336086462565549</v>
      </c>
      <c r="M231" s="39" t="s">
        <v>33</v>
      </c>
      <c r="N231" s="41">
        <v>6.42</v>
      </c>
    </row>
    <row r="232" spans="1:15" x14ac:dyDescent="0.3">
      <c r="B232" s="35">
        <f t="shared" si="39"/>
        <v>900</v>
      </c>
      <c r="C232" s="53">
        <f t="shared" si="37"/>
        <v>12.471708</v>
      </c>
      <c r="D232" s="53">
        <f t="shared" si="37"/>
        <v>12.471708</v>
      </c>
      <c r="E232" s="53" cm="1">
        <f t="array" ref="E232">$D$2*SUM( ( ($B$12:$B$14) * ($B$12:$B$14)* EXP($B$12:$B$14/B232) ) / ( B232*B232* ( EXP(( $B$12:$B$14)/B232 )  -1)^2 ) )</f>
        <v>7.3560136937409277</v>
      </c>
      <c r="H232" s="35">
        <f t="shared" si="40"/>
        <v>900</v>
      </c>
      <c r="I232" s="53">
        <f t="shared" si="38"/>
        <v>2.9808097514340344</v>
      </c>
      <c r="J232" s="53">
        <f t="shared" si="41"/>
        <v>2.9808097514340344</v>
      </c>
      <c r="K232" s="53">
        <f t="shared" si="42"/>
        <v>1.7581294679113115</v>
      </c>
      <c r="M232" s="39" t="s">
        <v>34</v>
      </c>
      <c r="N232" s="41">
        <v>0</v>
      </c>
    </row>
    <row r="233" spans="1:15" x14ac:dyDescent="0.3">
      <c r="B233" s="35">
        <f t="shared" si="39"/>
        <v>1000</v>
      </c>
      <c r="C233" s="53">
        <f t="shared" si="37"/>
        <v>12.471708</v>
      </c>
      <c r="D233" s="53">
        <f t="shared" si="37"/>
        <v>12.471708</v>
      </c>
      <c r="E233" s="53" cm="1">
        <f t="array" ref="E233">$D$2*SUM( ( ($B$12:$B$14) * ($B$12:$B$14)* EXP($B$12:$B$14/B233) ) / ( B233*B233* ( EXP(( $B$12:$B$14)/B233 )  -1)^2 ) )</f>
        <v>8.6940627105664454</v>
      </c>
      <c r="H233" s="35">
        <f t="shared" si="40"/>
        <v>1000</v>
      </c>
      <c r="I233" s="53">
        <f t="shared" si="38"/>
        <v>2.9808097514340344</v>
      </c>
      <c r="J233" s="53">
        <f t="shared" si="41"/>
        <v>2.9808097514340344</v>
      </c>
      <c r="K233" s="53">
        <f t="shared" si="42"/>
        <v>2.0779308581659763</v>
      </c>
      <c r="M233" s="39" t="s">
        <v>35</v>
      </c>
      <c r="N233" s="41">
        <v>2.9809999999999999</v>
      </c>
    </row>
    <row r="234" spans="1:15" x14ac:dyDescent="0.3">
      <c r="B234" s="35">
        <f t="shared" si="39"/>
        <v>1100</v>
      </c>
      <c r="C234" s="53">
        <f t="shared" si="37"/>
        <v>12.471708</v>
      </c>
      <c r="D234" s="53">
        <f t="shared" si="37"/>
        <v>12.471708</v>
      </c>
      <c r="E234" s="53" cm="1">
        <f t="array" ref="E234">$D$2*SUM( ( ($B$12:$B$14) * ($B$12:$B$14)* EXP($B$12:$B$14/B234) ) / ( B234*B234* ( EXP(( $B$12:$B$14)/B234 )  -1)^2 ) )</f>
        <v>9.9814723796747309</v>
      </c>
      <c r="H234" s="35">
        <f t="shared" si="40"/>
        <v>1100</v>
      </c>
      <c r="I234" s="53">
        <f t="shared" si="38"/>
        <v>2.9808097514340344</v>
      </c>
      <c r="J234" s="53">
        <f t="shared" si="41"/>
        <v>2.9808097514340344</v>
      </c>
      <c r="K234" s="53">
        <f t="shared" si="42"/>
        <v>2.3856291538419527</v>
      </c>
      <c r="M234" s="39" t="s">
        <v>36</v>
      </c>
      <c r="N234" s="41">
        <v>2.9809999999999999</v>
      </c>
    </row>
    <row r="235" spans="1:15" ht="15" thickBot="1" x14ac:dyDescent="0.35">
      <c r="B235" s="35">
        <f t="shared" si="39"/>
        <v>1200</v>
      </c>
      <c r="C235" s="53">
        <f t="shared" si="37"/>
        <v>12.471708</v>
      </c>
      <c r="D235" s="53">
        <f t="shared" si="37"/>
        <v>12.471708</v>
      </c>
      <c r="E235" s="53" cm="1">
        <f t="array" ref="E235">$D$2*SUM( ( ($B$12:$B$14) * ($B$12:$B$14)* EXP($B$12:$B$14/B235) ) / ( B235*B235* ( EXP(( $B$12:$B$14)/B235 )  -1)^2 ) )</f>
        <v>11.196202670693038</v>
      </c>
      <c r="H235" s="35">
        <f t="shared" si="40"/>
        <v>1200</v>
      </c>
      <c r="I235" s="53">
        <f t="shared" si="38"/>
        <v>2.9808097514340344</v>
      </c>
      <c r="J235" s="53">
        <f t="shared" si="41"/>
        <v>2.9808097514340344</v>
      </c>
      <c r="K235" s="53">
        <f t="shared" si="42"/>
        <v>2.6759566612555061</v>
      </c>
      <c r="M235" s="43" t="s">
        <v>37</v>
      </c>
      <c r="N235" s="45">
        <v>0.45900000000000002</v>
      </c>
    </row>
    <row r="236" spans="1:15" x14ac:dyDescent="0.3">
      <c r="B236" s="35">
        <f t="shared" si="39"/>
        <v>1300</v>
      </c>
      <c r="C236" s="53">
        <f t="shared" si="37"/>
        <v>12.471708</v>
      </c>
      <c r="D236" s="53">
        <f t="shared" si="37"/>
        <v>12.471708</v>
      </c>
      <c r="E236" s="53" cm="1">
        <f t="array" ref="E236">$D$2*SUM( ( ($B$12:$B$14) * ($B$12:$B$14)* EXP($B$12:$B$14/B236) ) / ( B236*B236* ( EXP(( $B$12:$B$14)/B236 )  -1)^2 ) )</f>
        <v>12.325362131544308</v>
      </c>
      <c r="H236" s="35">
        <f t="shared" si="40"/>
        <v>1300</v>
      </c>
      <c r="I236" s="53">
        <f t="shared" si="38"/>
        <v>2.9808097514340344</v>
      </c>
      <c r="J236" s="53">
        <f t="shared" si="41"/>
        <v>2.9808097514340344</v>
      </c>
      <c r="K236" s="53">
        <f t="shared" si="42"/>
        <v>2.9458322494130753</v>
      </c>
      <c r="N236" s="46"/>
      <c r="O236" s="46"/>
    </row>
    <row r="237" spans="1:15" x14ac:dyDescent="0.3">
      <c r="B237" s="35">
        <f t="shared" si="39"/>
        <v>1400</v>
      </c>
      <c r="C237" s="53">
        <f t="shared" si="37"/>
        <v>12.471708</v>
      </c>
      <c r="D237" s="53">
        <f t="shared" si="37"/>
        <v>12.471708</v>
      </c>
      <c r="E237" s="53" cm="1">
        <f t="array" ref="E237">$D$2*SUM( ( ($B$12:$B$14) * ($B$12:$B$14)* EXP($B$12:$B$14/B237) ) / ( B237*B237* ( EXP(( $B$12:$B$14)/B237 )  -1)^2 ) )</f>
        <v>13.363581062251965</v>
      </c>
      <c r="H237" s="35">
        <f t="shared" si="40"/>
        <v>1400</v>
      </c>
      <c r="I237" s="53">
        <f t="shared" si="38"/>
        <v>2.9808097514340344</v>
      </c>
      <c r="J237" s="53">
        <f t="shared" si="41"/>
        <v>2.9808097514340344</v>
      </c>
      <c r="K237" s="53">
        <f t="shared" si="42"/>
        <v>3.1939725292189207</v>
      </c>
    </row>
    <row r="238" spans="1:15" ht="15" thickBot="1" x14ac:dyDescent="0.35">
      <c r="B238" s="35">
        <f t="shared" si="39"/>
        <v>1500</v>
      </c>
      <c r="C238" s="53">
        <f t="shared" si="37"/>
        <v>12.471708</v>
      </c>
      <c r="D238" s="53">
        <f t="shared" si="37"/>
        <v>12.471708</v>
      </c>
      <c r="E238" s="53" cm="1">
        <f t="array" ref="E238">$D$2*SUM( ( ($B$12:$B$14) * ($B$12:$B$14)* EXP($B$12:$B$14/B238) ) / ( B238*B238* ( EXP(( $B$12:$B$14)/B238 )  -1)^2 ) )</f>
        <v>14.310893807904481</v>
      </c>
      <c r="H238" s="35">
        <f t="shared" si="40"/>
        <v>1500</v>
      </c>
      <c r="I238" s="53">
        <f t="shared" si="38"/>
        <v>2.9808097514340344</v>
      </c>
      <c r="J238" s="53">
        <f t="shared" si="41"/>
        <v>2.9808097514340344</v>
      </c>
      <c r="K238" s="53">
        <f t="shared" si="42"/>
        <v>3.4203857093461951</v>
      </c>
    </row>
    <row r="239" spans="1:15" ht="15" thickBot="1" x14ac:dyDescent="0.35">
      <c r="B239" s="35">
        <f t="shared" si="39"/>
        <v>1600</v>
      </c>
      <c r="C239" s="53">
        <f t="shared" si="37"/>
        <v>12.471708</v>
      </c>
      <c r="D239" s="53">
        <f t="shared" si="37"/>
        <v>12.471708</v>
      </c>
      <c r="E239" s="53" cm="1">
        <f t="array" ref="E239">$D$2*SUM( ( ($B$12:$B$14) * ($B$12:$B$14)* EXP($B$12:$B$14/B239) ) / ( B239*B239* ( EXP(( $B$12:$B$14)/B239 )  -1)^2 ) )</f>
        <v>15.170830517137214</v>
      </c>
      <c r="H239" s="35">
        <f t="shared" si="40"/>
        <v>1600</v>
      </c>
      <c r="I239" s="53">
        <f t="shared" si="38"/>
        <v>2.9808097514340344</v>
      </c>
      <c r="J239" s="53">
        <f t="shared" si="41"/>
        <v>2.9808097514340344</v>
      </c>
      <c r="K239" s="53">
        <f t="shared" si="42"/>
        <v>3.6259155155681677</v>
      </c>
      <c r="M239" s="30" t="s">
        <v>93</v>
      </c>
      <c r="N239" s="108">
        <f>SUM(I226:L226)</f>
        <v>6.0317128155594757</v>
      </c>
    </row>
    <row r="240" spans="1:15" x14ac:dyDescent="0.3">
      <c r="B240" s="35">
        <f t="shared" si="39"/>
        <v>1700</v>
      </c>
      <c r="C240" s="53">
        <f t="shared" si="37"/>
        <v>12.471708</v>
      </c>
      <c r="D240" s="53">
        <f t="shared" si="37"/>
        <v>12.471708</v>
      </c>
      <c r="E240" s="53" cm="1">
        <f t="array" ref="E240">$D$2*SUM( ( ($B$12:$B$14) * ($B$12:$B$14)* EXP($B$12:$B$14/B240) ) / ( B240*B240* ( EXP(( $B$12:$B$14)/B240 )  -1)^2 ) )</f>
        <v>15.948944366558264</v>
      </c>
      <c r="H240" s="35">
        <f t="shared" si="40"/>
        <v>1700</v>
      </c>
      <c r="I240" s="53">
        <f t="shared" si="38"/>
        <v>2.9808097514340344</v>
      </c>
      <c r="J240" s="53">
        <f t="shared" si="41"/>
        <v>2.9808097514340344</v>
      </c>
      <c r="K240" s="53">
        <f t="shared" si="42"/>
        <v>3.8118891889479598</v>
      </c>
    </row>
    <row r="241" spans="2:12" x14ac:dyDescent="0.3">
      <c r="B241" s="35">
        <f t="shared" si="39"/>
        <v>1800</v>
      </c>
      <c r="C241" s="53">
        <f t="shared" si="37"/>
        <v>12.471708</v>
      </c>
      <c r="D241" s="53">
        <f t="shared" si="37"/>
        <v>12.471708</v>
      </c>
      <c r="E241" s="53" cm="1">
        <f t="array" ref="E241">$D$2*SUM( ( ($B$12:$B$14) * ($B$12:$B$14)* EXP($B$12:$B$14/B241) ) / ( B241*B241* ( EXP(( $B$12:$B$14)/B241 )  -1)^2 ) )</f>
        <v>16.651773890012567</v>
      </c>
      <c r="H241" s="35">
        <f t="shared" si="40"/>
        <v>1800</v>
      </c>
      <c r="I241" s="53">
        <f t="shared" si="38"/>
        <v>2.9808097514340344</v>
      </c>
      <c r="J241" s="53">
        <f t="shared" si="41"/>
        <v>2.9808097514340344</v>
      </c>
      <c r="K241" s="53">
        <f t="shared" si="42"/>
        <v>3.9798694765804412</v>
      </c>
    </row>
    <row r="242" spans="2:12" x14ac:dyDescent="0.3">
      <c r="B242" s="35">
        <f t="shared" si="39"/>
        <v>1900</v>
      </c>
      <c r="C242" s="53">
        <f t="shared" si="37"/>
        <v>12.471708</v>
      </c>
      <c r="D242" s="53">
        <f t="shared" si="37"/>
        <v>12.471708</v>
      </c>
      <c r="E242" s="53" cm="1">
        <f t="array" ref="E242">$D$2*SUM( ( ($B$12:$B$14) * ($B$12:$B$14)* EXP($B$12:$B$14/B242) ) / ( B242*B242* ( EXP(( $B$12:$B$14)/B242 )  -1)^2 ) )</f>
        <v>17.286159320764344</v>
      </c>
      <c r="H242" s="35">
        <f t="shared" si="40"/>
        <v>1900</v>
      </c>
      <c r="I242" s="53">
        <f t="shared" si="38"/>
        <v>2.9808097514340344</v>
      </c>
      <c r="J242" s="53">
        <f t="shared" si="41"/>
        <v>2.9808097514340344</v>
      </c>
      <c r="K242" s="53">
        <f t="shared" si="42"/>
        <v>4.1314912334522811</v>
      </c>
    </row>
    <row r="243" spans="2:12" x14ac:dyDescent="0.3">
      <c r="B243" s="35">
        <f t="shared" si="39"/>
        <v>2000</v>
      </c>
      <c r="C243" s="53">
        <f t="shared" si="37"/>
        <v>12.471708</v>
      </c>
      <c r="D243" s="53">
        <f t="shared" si="37"/>
        <v>12.471708</v>
      </c>
      <c r="E243" s="53" cm="1">
        <f t="array" ref="E243">$D$2*SUM( ( ($B$12:$B$14) * ($B$12:$B$14)* EXP($B$12:$B$14/B243) ) / ( B243*B243* ( EXP(( $B$12:$B$14)/B243 )  -1)^2 ) )</f>
        <v>17.858819367142253</v>
      </c>
      <c r="H243" s="35">
        <f t="shared" si="40"/>
        <v>2000</v>
      </c>
      <c r="I243" s="53">
        <f t="shared" si="38"/>
        <v>2.9808097514340344</v>
      </c>
      <c r="J243" s="53">
        <f t="shared" si="41"/>
        <v>2.9808097514340344</v>
      </c>
      <c r="K243" s="53">
        <f t="shared" si="42"/>
        <v>4.2683602693934635</v>
      </c>
    </row>
    <row r="244" spans="2:12" ht="15" thickBot="1" x14ac:dyDescent="0.35">
      <c r="B244" s="26">
        <f t="shared" si="39"/>
        <v>2100</v>
      </c>
      <c r="C244" s="56">
        <f t="shared" si="37"/>
        <v>12.471708</v>
      </c>
      <c r="D244" s="56">
        <f t="shared" si="37"/>
        <v>12.471708</v>
      </c>
      <c r="E244" s="53" cm="1">
        <f t="array" ref="E244">$D$2*SUM( ( ($B$12:$B$14) * ($B$12:$B$14)* EXP($B$12:$B$14/B244) ) / ( B244*B244* ( EXP(( $B$12:$B$14)/B244 )  -1)^2 ) )</f>
        <v>18.376108065192025</v>
      </c>
      <c r="F244" s="51"/>
      <c r="H244" s="26">
        <f t="shared" si="40"/>
        <v>2100</v>
      </c>
      <c r="I244" s="56">
        <f t="shared" si="38"/>
        <v>2.9808097514340344</v>
      </c>
      <c r="J244" s="56">
        <f t="shared" si="41"/>
        <v>2.9808097514340344</v>
      </c>
      <c r="K244" s="56">
        <f t="shared" si="42"/>
        <v>4.3919952354665446</v>
      </c>
      <c r="L244" s="51"/>
    </row>
    <row r="248" spans="2:12" ht="18" x14ac:dyDescent="0.3">
      <c r="B248" s="82"/>
    </row>
    <row r="249" spans="2:12" x14ac:dyDescent="0.3">
      <c r="C249" s="51"/>
      <c r="D249" s="51"/>
      <c r="E249" s="51"/>
      <c r="F249" s="51"/>
    </row>
    <row r="250" spans="2:12" x14ac:dyDescent="0.3">
      <c r="C250" s="51"/>
      <c r="D250" s="51"/>
      <c r="E250" s="51"/>
    </row>
    <row r="251" spans="2:12" x14ac:dyDescent="0.3">
      <c r="C251" s="51"/>
      <c r="D251" s="51"/>
      <c r="E251" s="51"/>
    </row>
    <row r="252" spans="2:12" x14ac:dyDescent="0.3">
      <c r="C252" s="51"/>
      <c r="D252" s="51"/>
      <c r="E252" s="51"/>
    </row>
    <row r="253" spans="2:12" x14ac:dyDescent="0.3">
      <c r="C253" s="51"/>
      <c r="D253" s="51"/>
      <c r="E253" s="51"/>
    </row>
    <row r="254" spans="2:12" x14ac:dyDescent="0.3">
      <c r="C254" s="51"/>
      <c r="D254" s="51"/>
      <c r="E254" s="51"/>
    </row>
    <row r="255" spans="2:12" x14ac:dyDescent="0.3">
      <c r="C255" s="51"/>
      <c r="D255" s="51"/>
      <c r="E255" s="51"/>
    </row>
    <row r="256" spans="2:12" x14ac:dyDescent="0.3">
      <c r="C256" s="51"/>
      <c r="D256" s="51"/>
      <c r="E256" s="51"/>
    </row>
    <row r="257" spans="1:12" x14ac:dyDescent="0.3">
      <c r="C257" s="51"/>
      <c r="D257" s="51"/>
      <c r="E257" s="51"/>
    </row>
    <row r="258" spans="1:12" x14ac:dyDescent="0.3">
      <c r="C258" s="51"/>
      <c r="D258" s="51"/>
      <c r="E258" s="51"/>
    </row>
    <row r="259" spans="1:12" x14ac:dyDescent="0.3">
      <c r="C259" s="51"/>
      <c r="D259" s="51"/>
      <c r="E259" s="51"/>
    </row>
    <row r="260" spans="1:12" x14ac:dyDescent="0.3">
      <c r="C260" s="51"/>
      <c r="D260" s="51"/>
      <c r="E260" s="51"/>
    </row>
    <row r="261" spans="1:12" x14ac:dyDescent="0.3">
      <c r="C261" s="51"/>
      <c r="D261" s="51"/>
      <c r="E261" s="51"/>
    </row>
    <row r="262" spans="1:12" x14ac:dyDescent="0.3">
      <c r="C262" s="51"/>
      <c r="D262" s="51"/>
      <c r="E262" s="51"/>
    </row>
    <row r="263" spans="1:12" x14ac:dyDescent="0.3">
      <c r="C263" s="51"/>
      <c r="D263" s="51"/>
      <c r="E263" s="51"/>
    </row>
    <row r="264" spans="1:12" x14ac:dyDescent="0.3">
      <c r="C264" s="51"/>
      <c r="D264" s="51"/>
      <c r="E264" s="51"/>
    </row>
    <row r="265" spans="1:12" x14ac:dyDescent="0.3">
      <c r="C265" s="51"/>
      <c r="D265" s="51"/>
      <c r="E265" s="51"/>
    </row>
    <row r="266" spans="1:12" x14ac:dyDescent="0.3">
      <c r="C266" s="51"/>
      <c r="D266" s="51"/>
      <c r="E266" s="51"/>
    </row>
    <row r="267" spans="1:12" x14ac:dyDescent="0.3">
      <c r="C267" s="51"/>
      <c r="D267" s="51"/>
      <c r="E267" s="51"/>
      <c r="F267" s="51"/>
    </row>
    <row r="272" spans="1:12" ht="15" thickBot="1" x14ac:dyDescent="0.35">
      <c r="A272" s="5" t="s">
        <v>104</v>
      </c>
      <c r="B272" s="196" t="s">
        <v>102</v>
      </c>
      <c r="C272" s="196"/>
      <c r="D272" s="196"/>
      <c r="E272" s="196"/>
      <c r="F272" s="196"/>
      <c r="H272" s="196" t="s">
        <v>103</v>
      </c>
      <c r="I272" s="196"/>
      <c r="J272" s="196"/>
      <c r="K272" s="196"/>
      <c r="L272" s="196"/>
    </row>
    <row r="273" spans="1:12" ht="18" x14ac:dyDescent="0.3">
      <c r="A273" s="5" t="s">
        <v>98</v>
      </c>
      <c r="B273" s="95" t="s">
        <v>46</v>
      </c>
      <c r="C273" s="16" t="s">
        <v>88</v>
      </c>
      <c r="D273" s="16" t="s">
        <v>36</v>
      </c>
      <c r="E273" s="16" t="s">
        <v>37</v>
      </c>
      <c r="F273" s="16" t="s">
        <v>89</v>
      </c>
      <c r="H273" s="95" t="s">
        <v>46</v>
      </c>
      <c r="I273" s="118" t="s">
        <v>88</v>
      </c>
      <c r="J273" s="118" t="s">
        <v>36</v>
      </c>
      <c r="K273" s="118" t="s">
        <v>37</v>
      </c>
      <c r="L273" s="16" t="s">
        <v>89</v>
      </c>
    </row>
    <row r="274" spans="1:12" ht="15" thickBot="1" x14ac:dyDescent="0.35">
      <c r="B274" s="35">
        <f>298.15</f>
        <v>298.14999999999998</v>
      </c>
      <c r="C274" s="53">
        <f>3/2*$D$2 + $D$2</f>
        <v>20.786180000000002</v>
      </c>
      <c r="D274" s="53">
        <f>3/2*$D$2  + $D$2</f>
        <v>20.786180000000002</v>
      </c>
      <c r="E274" s="53" t="e" cm="1">
        <f t="array" ref="E274">$D$2*SUM( ( ($B$12:$B$20) * ($B$12:$B$20)* EXP($B$12:$B$20/B274) ) / ( B274*B274* ( EXP(( $B$12:$B$20)/B274 )  -1)^2 ) ) +   $D$2</f>
        <v>#DIV/0!</v>
      </c>
      <c r="F274" s="56" t="s">
        <v>105</v>
      </c>
      <c r="H274" s="35">
        <f>298.15</f>
        <v>298.14999999999998</v>
      </c>
      <c r="I274" s="106">
        <f>(3/2*$D$2  + $D$2)/ 4.184</f>
        <v>4.9680162523900577</v>
      </c>
      <c r="J274" s="106">
        <f>(3/2*$D$2 + $D$2) / 4.184</f>
        <v>4.9680162523900577</v>
      </c>
      <c r="K274" s="106" t="e" cm="1">
        <f t="array" ref="K274" xml:space="preserve"> ($D$2*SUM( ( ($B$12:$B$20) * ($B$12:$B$20)* EXP($B$12:$B$20/B274) ) / ( B274*B274* ( EXP(( $B$12:$B$20)/B274 )  -1)^2 ) ) +   $D$2 ) / 4.184</f>
        <v>#DIV/0!</v>
      </c>
      <c r="L274" s="119" t="s">
        <v>105</v>
      </c>
    </row>
    <row r="275" spans="1:12" x14ac:dyDescent="0.3">
      <c r="B275" s="35">
        <f>300+100</f>
        <v>400</v>
      </c>
      <c r="C275" s="53">
        <f t="shared" ref="C275:C292" si="43">3/2*$D$2 + $D$2</f>
        <v>20.786180000000002</v>
      </c>
      <c r="D275" s="53">
        <f t="shared" ref="D275:D292" si="44">3/2*$D$2  + $D$2</f>
        <v>20.786180000000002</v>
      </c>
      <c r="E275" s="53" t="e" cm="1">
        <f t="array" ref="E275">$D$2*SUM( ( ($B$12:$B$20) * ($B$12:$B$20)* EXP($B$12:$B$20/B275) ) / ( B275*B275* ( EXP(( $B$12:$B$20)/B275 )  -1)^2 ) ) +   $D$2</f>
        <v>#DIV/0!</v>
      </c>
      <c r="H275" s="35">
        <f>300+100</f>
        <v>400</v>
      </c>
      <c r="I275" s="53">
        <f t="shared" ref="I275:I292" si="45">(3/2*$D$2  + $D$2)/ 4.184</f>
        <v>4.9680162523900577</v>
      </c>
      <c r="J275" s="53">
        <f t="shared" ref="J275:J292" si="46">(3/2*$D$2 + $D$2) / 4.184</f>
        <v>4.9680162523900577</v>
      </c>
      <c r="K275" s="53" t="e" cm="1">
        <f t="array" ref="K275" xml:space="preserve"> ($D$2*SUM( ( ($B$12:$B$20) * ($B$12:$B$20)* EXP($B$12:$B$20/B275) ) / ( B275*B275* ( EXP(( $B$12:$B$20)/B275)  -1)^2 ) ) +   $D$2 ) / 4.184</f>
        <v>#DIV/0!</v>
      </c>
    </row>
    <row r="276" spans="1:12" x14ac:dyDescent="0.3">
      <c r="B276" s="35">
        <f t="shared" ref="B276:B292" si="47">B275+100</f>
        <v>500</v>
      </c>
      <c r="C276" s="53">
        <f t="shared" si="43"/>
        <v>20.786180000000002</v>
      </c>
      <c r="D276" s="53">
        <f t="shared" si="44"/>
        <v>20.786180000000002</v>
      </c>
      <c r="E276" s="53" t="e" cm="1">
        <f t="array" ref="E276">$D$2*SUM( ( ($B$12:$B$20) * ($B$12:$B$20)* EXP($B$12:$B$20/B276) ) / ( B276*B276* ( EXP(( $B$12:$B$20)/B276 )  -1)^2 ) ) +   $D$2</f>
        <v>#DIV/0!</v>
      </c>
      <c r="H276" s="35">
        <f t="shared" ref="H276:H292" si="48">H275+100</f>
        <v>500</v>
      </c>
      <c r="I276" s="53">
        <f t="shared" si="45"/>
        <v>4.9680162523900577</v>
      </c>
      <c r="J276" s="53">
        <f t="shared" si="46"/>
        <v>4.9680162523900577</v>
      </c>
      <c r="K276" s="53" t="e" cm="1">
        <f t="array" ref="K276" xml:space="preserve"> ($D$2*SUM( ( ($B$12:$B$20) * ($B$12:$B$20)* EXP($B$12:$B$20/B276) ) / ( B276*B276* ( EXP(( $B$12:$B$20)/B276)  -1)^2 ) ) +   $D$2 ) / 4.184</f>
        <v>#DIV/0!</v>
      </c>
    </row>
    <row r="277" spans="1:12" x14ac:dyDescent="0.3">
      <c r="B277" s="35">
        <f t="shared" si="47"/>
        <v>600</v>
      </c>
      <c r="C277" s="53">
        <f t="shared" si="43"/>
        <v>20.786180000000002</v>
      </c>
      <c r="D277" s="53">
        <f t="shared" si="44"/>
        <v>20.786180000000002</v>
      </c>
      <c r="E277" s="53" t="e" cm="1">
        <f t="array" ref="E277">$D$2*SUM( ( ($B$12:$B$20) * ($B$12:$B$20)* EXP($B$12:$B$20/B277) ) / ( B277*B277* ( EXP(( $B$12:$B$20)/B277 )  -1)^2 ) ) +   $D$2</f>
        <v>#DIV/0!</v>
      </c>
      <c r="H277" s="35">
        <f t="shared" si="48"/>
        <v>600</v>
      </c>
      <c r="I277" s="53">
        <f t="shared" si="45"/>
        <v>4.9680162523900577</v>
      </c>
      <c r="J277" s="53">
        <f t="shared" si="46"/>
        <v>4.9680162523900577</v>
      </c>
      <c r="K277" s="53" t="e" cm="1">
        <f t="array" ref="K277" xml:space="preserve"> ($D$2*SUM( ( ($B$12:$B$20) * ($B$12:$B$20)* EXP($B$12:$B$20/B277) ) / ( B277*B277* ( EXP(( $B$12:$B$20)/B277)  -1)^2 ) ) +   $D$2 ) / 4.184</f>
        <v>#DIV/0!</v>
      </c>
    </row>
    <row r="278" spans="1:12" x14ac:dyDescent="0.3">
      <c r="B278" s="35">
        <f t="shared" si="47"/>
        <v>700</v>
      </c>
      <c r="C278" s="53">
        <f t="shared" si="43"/>
        <v>20.786180000000002</v>
      </c>
      <c r="D278" s="53">
        <f t="shared" si="44"/>
        <v>20.786180000000002</v>
      </c>
      <c r="E278" s="53" t="e" cm="1">
        <f t="array" ref="E278">$D$2*SUM( ( ($B$12:$B$20) * ($B$12:$B$20)* EXP($B$12:$B$20/B278) ) / ( B278*B278* ( EXP(( $B$12:$B$20)/B278 )  -1)^2 ) ) +   $D$2</f>
        <v>#DIV/0!</v>
      </c>
      <c r="H278" s="35">
        <f t="shared" si="48"/>
        <v>700</v>
      </c>
      <c r="I278" s="53">
        <f t="shared" si="45"/>
        <v>4.9680162523900577</v>
      </c>
      <c r="J278" s="53">
        <f t="shared" si="46"/>
        <v>4.9680162523900577</v>
      </c>
      <c r="K278" s="53" t="e" cm="1">
        <f t="array" ref="K278" xml:space="preserve"> ($D$2*SUM( ( ($B$12:$B$20) * ($B$12:$B$20)* EXP($B$12:$B$20/B278) ) / ( B278*B278* ( EXP(( $B$12:$B$20)/B278)  -1)^2 ) ) +   $D$2 ) / 4.184</f>
        <v>#DIV/0!</v>
      </c>
    </row>
    <row r="279" spans="1:12" x14ac:dyDescent="0.3">
      <c r="B279" s="35">
        <f t="shared" si="47"/>
        <v>800</v>
      </c>
      <c r="C279" s="53">
        <f t="shared" si="43"/>
        <v>20.786180000000002</v>
      </c>
      <c r="D279" s="53">
        <f t="shared" si="44"/>
        <v>20.786180000000002</v>
      </c>
      <c r="E279" s="53" t="e" cm="1">
        <f t="array" ref="E279">$D$2*SUM( ( ($B$12:$B$20) * ($B$12:$B$20)* EXP($B$12:$B$20/B279) ) / ( B279*B279* ( EXP(( $B$12:$B$20)/B279 )  -1)^2 ) ) +   $D$2</f>
        <v>#DIV/0!</v>
      </c>
      <c r="H279" s="35">
        <f t="shared" si="48"/>
        <v>800</v>
      </c>
      <c r="I279" s="53">
        <f t="shared" si="45"/>
        <v>4.9680162523900577</v>
      </c>
      <c r="J279" s="53">
        <f t="shared" si="46"/>
        <v>4.9680162523900577</v>
      </c>
      <c r="K279" s="53" t="e" cm="1">
        <f t="array" ref="K279" xml:space="preserve"> ($D$2*SUM( ( ($B$12:$B$20) * ($B$12:$B$20)* EXP($B$12:$B$20/B279) ) / ( B279*B279* ( EXP(( $B$12:$B$20)/B279)  -1)^2 ) ) +   $D$2 ) / 4.184</f>
        <v>#DIV/0!</v>
      </c>
    </row>
    <row r="280" spans="1:12" x14ac:dyDescent="0.3">
      <c r="B280" s="35">
        <f t="shared" si="47"/>
        <v>900</v>
      </c>
      <c r="C280" s="53">
        <f t="shared" si="43"/>
        <v>20.786180000000002</v>
      </c>
      <c r="D280" s="53">
        <f t="shared" si="44"/>
        <v>20.786180000000002</v>
      </c>
      <c r="E280" s="53" t="e" cm="1">
        <f t="array" ref="E280">$D$2*SUM( ( ($B$12:$B$20) * ($B$12:$B$20)* EXP($B$12:$B$20/B280) ) / ( B280*B280* ( EXP(( $B$12:$B$20)/B280 )  -1)^2 ) ) +   $D$2</f>
        <v>#DIV/0!</v>
      </c>
      <c r="H280" s="35">
        <f t="shared" si="48"/>
        <v>900</v>
      </c>
      <c r="I280" s="53">
        <f t="shared" si="45"/>
        <v>4.9680162523900577</v>
      </c>
      <c r="J280" s="53">
        <f t="shared" si="46"/>
        <v>4.9680162523900577</v>
      </c>
      <c r="K280" s="53" t="e" cm="1">
        <f t="array" ref="K280" xml:space="preserve"> ($D$2*SUM( ( ($B$12:$B$20) * ($B$12:$B$20)* EXP($B$12:$B$20/B280) ) / ( B280*B280* ( EXP(( $B$12:$B$20)/B280)  -1)^2 ) ) +   $D$2 ) / 4.184</f>
        <v>#DIV/0!</v>
      </c>
    </row>
    <row r="281" spans="1:12" x14ac:dyDescent="0.3">
      <c r="B281" s="35">
        <f t="shared" si="47"/>
        <v>1000</v>
      </c>
      <c r="C281" s="53">
        <f t="shared" si="43"/>
        <v>20.786180000000002</v>
      </c>
      <c r="D281" s="53">
        <f t="shared" si="44"/>
        <v>20.786180000000002</v>
      </c>
      <c r="E281" s="53" t="e" cm="1">
        <f t="array" ref="E281">$D$2*SUM( ( ($B$12:$B$20) * ($B$12:$B$20)* EXP($B$12:$B$20/B281) ) / ( B281*B281* ( EXP(( $B$12:$B$20)/B281 )  -1)^2 ) ) +   $D$2</f>
        <v>#DIV/0!</v>
      </c>
      <c r="H281" s="35">
        <f t="shared" si="48"/>
        <v>1000</v>
      </c>
      <c r="I281" s="53">
        <f t="shared" si="45"/>
        <v>4.9680162523900577</v>
      </c>
      <c r="J281" s="53">
        <f t="shared" si="46"/>
        <v>4.9680162523900577</v>
      </c>
      <c r="K281" s="53" t="e" cm="1">
        <f t="array" ref="K281" xml:space="preserve"> ($D$2*SUM( ( ($B$12:$B$20) * ($B$12:$B$20)* EXP($B$12:$B$20/B281) ) / ( B281*B281* ( EXP(( $B$12:$B$20)/B281)  -1)^2 ) ) +   $D$2 ) / 4.184</f>
        <v>#DIV/0!</v>
      </c>
    </row>
    <row r="282" spans="1:12" x14ac:dyDescent="0.3">
      <c r="B282" s="35">
        <f t="shared" si="47"/>
        <v>1100</v>
      </c>
      <c r="C282" s="53">
        <f t="shared" si="43"/>
        <v>20.786180000000002</v>
      </c>
      <c r="D282" s="53">
        <f t="shared" si="44"/>
        <v>20.786180000000002</v>
      </c>
      <c r="E282" s="53" t="e" cm="1">
        <f t="array" ref="E282">$D$2*SUM( ( ($B$12:$B$20) * ($B$12:$B$20)* EXP($B$12:$B$20/B282) ) / ( B282*B282* ( EXP(( $B$12:$B$20)/B282 )  -1)^2 ) ) +   $D$2</f>
        <v>#DIV/0!</v>
      </c>
      <c r="H282" s="35">
        <f t="shared" si="48"/>
        <v>1100</v>
      </c>
      <c r="I282" s="53">
        <f t="shared" si="45"/>
        <v>4.9680162523900577</v>
      </c>
      <c r="J282" s="53">
        <f t="shared" si="46"/>
        <v>4.9680162523900577</v>
      </c>
      <c r="K282" s="53" t="e" cm="1">
        <f t="array" ref="K282" xml:space="preserve"> ($D$2*SUM( ( ($B$12:$B$20) * ($B$12:$B$20)* EXP($B$12:$B$20/B282) ) / ( B282*B282* ( EXP(( $B$12:$B$20)/B282)  -1)^2 ) ) +   $D$2 ) / 4.184</f>
        <v>#DIV/0!</v>
      </c>
    </row>
    <row r="283" spans="1:12" x14ac:dyDescent="0.3">
      <c r="B283" s="35">
        <f t="shared" si="47"/>
        <v>1200</v>
      </c>
      <c r="C283" s="53">
        <f t="shared" si="43"/>
        <v>20.786180000000002</v>
      </c>
      <c r="D283" s="53">
        <f t="shared" si="44"/>
        <v>20.786180000000002</v>
      </c>
      <c r="E283" s="53" t="e" cm="1">
        <f t="array" ref="E283">$D$2*SUM( ( ($B$12:$B$20) * ($B$12:$B$20)* EXP($B$12:$B$20/B283) ) / ( B283*B283* ( EXP(( $B$12:$B$20)/B283 )  -1)^2 ) ) +   $D$2</f>
        <v>#DIV/0!</v>
      </c>
      <c r="H283" s="35">
        <f t="shared" si="48"/>
        <v>1200</v>
      </c>
      <c r="I283" s="53">
        <f t="shared" si="45"/>
        <v>4.9680162523900577</v>
      </c>
      <c r="J283" s="53">
        <f t="shared" si="46"/>
        <v>4.9680162523900577</v>
      </c>
      <c r="K283" s="53" t="e" cm="1">
        <f t="array" ref="K283" xml:space="preserve"> ($D$2*SUM( ( ($B$12:$B$20) * ($B$12:$B$20)* EXP($B$12:$B$20/B283) ) / ( B283*B283* ( EXP(( $B$12:$B$20)/B283)  -1)^2 ) ) +   $D$2 ) / 4.184</f>
        <v>#DIV/0!</v>
      </c>
    </row>
    <row r="284" spans="1:12" x14ac:dyDescent="0.3">
      <c r="B284" s="35">
        <f t="shared" si="47"/>
        <v>1300</v>
      </c>
      <c r="C284" s="53">
        <f t="shared" si="43"/>
        <v>20.786180000000002</v>
      </c>
      <c r="D284" s="53">
        <f t="shared" si="44"/>
        <v>20.786180000000002</v>
      </c>
      <c r="E284" s="53" t="e" cm="1">
        <f t="array" ref="E284">$D$2*SUM( ( ($B$12:$B$20) * ($B$12:$B$20)* EXP($B$12:$B$20/B284) ) / ( B284*B284* ( EXP(( $B$12:$B$20)/B284 )  -1)^2 ) ) +   $D$2</f>
        <v>#DIV/0!</v>
      </c>
      <c r="H284" s="35">
        <f t="shared" si="48"/>
        <v>1300</v>
      </c>
      <c r="I284" s="53">
        <f t="shared" si="45"/>
        <v>4.9680162523900577</v>
      </c>
      <c r="J284" s="53">
        <f t="shared" si="46"/>
        <v>4.9680162523900577</v>
      </c>
      <c r="K284" s="53" t="e" cm="1">
        <f t="array" ref="K284" xml:space="preserve"> ($D$2*SUM( ( ($B$12:$B$20) * ($B$12:$B$20)* EXP($B$12:$B$20/B284) ) / ( B284*B284* ( EXP(( $B$12:$B$20)/B284)  -1)^2 ) ) +   $D$2 ) / 4.184</f>
        <v>#DIV/0!</v>
      </c>
    </row>
    <row r="285" spans="1:12" x14ac:dyDescent="0.3">
      <c r="B285" s="35">
        <f t="shared" si="47"/>
        <v>1400</v>
      </c>
      <c r="C285" s="53">
        <f t="shared" si="43"/>
        <v>20.786180000000002</v>
      </c>
      <c r="D285" s="53">
        <f t="shared" si="44"/>
        <v>20.786180000000002</v>
      </c>
      <c r="E285" s="53" t="e" cm="1">
        <f t="array" ref="E285">$D$2*SUM( ( ($B$12:$B$20) * ($B$12:$B$20)* EXP($B$12:$B$20/B285) ) / ( B285*B285* ( EXP(( $B$12:$B$20)/B285 )  -1)^2 ) ) +   $D$2</f>
        <v>#DIV/0!</v>
      </c>
      <c r="H285" s="35">
        <f t="shared" si="48"/>
        <v>1400</v>
      </c>
      <c r="I285" s="53">
        <f t="shared" si="45"/>
        <v>4.9680162523900577</v>
      </c>
      <c r="J285" s="53">
        <f t="shared" si="46"/>
        <v>4.9680162523900577</v>
      </c>
      <c r="K285" s="53" t="e" cm="1">
        <f t="array" ref="K285" xml:space="preserve"> ($D$2*SUM( ( ($B$12:$B$20) * ($B$12:$B$20)* EXP($B$12:$B$20/B285) ) / ( B285*B285* ( EXP(( $B$12:$B$20)/B285)  -1)^2 ) ) +   $D$2 ) / 4.184</f>
        <v>#DIV/0!</v>
      </c>
    </row>
    <row r="286" spans="1:12" x14ac:dyDescent="0.3">
      <c r="B286" s="35">
        <f t="shared" si="47"/>
        <v>1500</v>
      </c>
      <c r="C286" s="53">
        <f t="shared" si="43"/>
        <v>20.786180000000002</v>
      </c>
      <c r="D286" s="53">
        <f t="shared" si="44"/>
        <v>20.786180000000002</v>
      </c>
      <c r="E286" s="53" t="e" cm="1">
        <f t="array" ref="E286">$D$2*SUM( ( ($B$12:$B$20) * ($B$12:$B$20)* EXP($B$12:$B$20/B286) ) / ( B286*B286* ( EXP(( $B$12:$B$20)/B286 )  -1)^2 ) ) +   $D$2</f>
        <v>#DIV/0!</v>
      </c>
      <c r="H286" s="35">
        <f t="shared" si="48"/>
        <v>1500</v>
      </c>
      <c r="I286" s="53">
        <f t="shared" si="45"/>
        <v>4.9680162523900577</v>
      </c>
      <c r="J286" s="53">
        <f t="shared" si="46"/>
        <v>4.9680162523900577</v>
      </c>
      <c r="K286" s="53" t="e" cm="1">
        <f t="array" ref="K286" xml:space="preserve"> ($D$2*SUM( ( ($B$12:$B$20) * ($B$12:$B$20)* EXP($B$12:$B$20/B286) ) / ( B286*B286* ( EXP(( $B$12:$B$20)/B286)  -1)^2 ) ) +   $D$2 ) / 4.184</f>
        <v>#DIV/0!</v>
      </c>
    </row>
    <row r="287" spans="1:12" x14ac:dyDescent="0.3">
      <c r="B287" s="35">
        <f t="shared" si="47"/>
        <v>1600</v>
      </c>
      <c r="C287" s="53">
        <f t="shared" si="43"/>
        <v>20.786180000000002</v>
      </c>
      <c r="D287" s="53">
        <f t="shared" si="44"/>
        <v>20.786180000000002</v>
      </c>
      <c r="E287" s="53" t="e" cm="1">
        <f t="array" ref="E287">$D$2*SUM( ( ($B$12:$B$20) * ($B$12:$B$20)* EXP($B$12:$B$20/B287) ) / ( B287*B287* ( EXP(( $B$12:$B$20)/B287 )  -1)^2 ) ) +   $D$2</f>
        <v>#DIV/0!</v>
      </c>
      <c r="H287" s="35">
        <f t="shared" si="48"/>
        <v>1600</v>
      </c>
      <c r="I287" s="53">
        <f t="shared" si="45"/>
        <v>4.9680162523900577</v>
      </c>
      <c r="J287" s="53">
        <f t="shared" si="46"/>
        <v>4.9680162523900577</v>
      </c>
      <c r="K287" s="53" t="e" cm="1">
        <f t="array" ref="K287" xml:space="preserve"> ($D$2*SUM( ( ($B$12:$B$20) * ($B$12:$B$20)* EXP($B$12:$B$20/B287) ) / ( B287*B287* ( EXP(( $B$12:$B$20)/B287)  -1)^2 ) ) +   $D$2 ) / 4.184</f>
        <v>#DIV/0!</v>
      </c>
    </row>
    <row r="288" spans="1:12" x14ac:dyDescent="0.3">
      <c r="B288" s="35">
        <f t="shared" si="47"/>
        <v>1700</v>
      </c>
      <c r="C288" s="53">
        <f t="shared" si="43"/>
        <v>20.786180000000002</v>
      </c>
      <c r="D288" s="53">
        <f t="shared" si="44"/>
        <v>20.786180000000002</v>
      </c>
      <c r="E288" s="53" t="e" cm="1">
        <f t="array" ref="E288">$D$2*SUM( ( ($B$12:$B$20) * ($B$12:$B$20)* EXP($B$12:$B$20/B288) ) / ( B288*B288* ( EXP(( $B$12:$B$20)/B288 )  -1)^2 ) ) +   $D$2</f>
        <v>#DIV/0!</v>
      </c>
      <c r="H288" s="35">
        <f t="shared" si="48"/>
        <v>1700</v>
      </c>
      <c r="I288" s="53">
        <f t="shared" si="45"/>
        <v>4.9680162523900577</v>
      </c>
      <c r="J288" s="53">
        <f t="shared" si="46"/>
        <v>4.9680162523900577</v>
      </c>
      <c r="K288" s="53" t="e" cm="1">
        <f t="array" ref="K288" xml:space="preserve"> ($D$2*SUM( ( ($B$12:$B$20) * ($B$12:$B$20)* EXP($B$12:$B$20/B288) ) / ( B288*B288* ( EXP(( $B$12:$B$20)/B288)  -1)^2 ) ) +   $D$2 ) / 4.184</f>
        <v>#DIV/0!</v>
      </c>
    </row>
    <row r="289" spans="2:12" x14ac:dyDescent="0.3">
      <c r="B289" s="35">
        <f t="shared" si="47"/>
        <v>1800</v>
      </c>
      <c r="C289" s="53">
        <f t="shared" si="43"/>
        <v>20.786180000000002</v>
      </c>
      <c r="D289" s="53">
        <f t="shared" si="44"/>
        <v>20.786180000000002</v>
      </c>
      <c r="E289" s="53" t="e" cm="1">
        <f t="array" ref="E289">$D$2*SUM( ( ($B$12:$B$20) * ($B$12:$B$20)* EXP($B$12:$B$20/B289) ) / ( B289*B289* ( EXP(( $B$12:$B$20)/B289 )  -1)^2 ) ) +   $D$2</f>
        <v>#DIV/0!</v>
      </c>
      <c r="H289" s="35">
        <f t="shared" si="48"/>
        <v>1800</v>
      </c>
      <c r="I289" s="53">
        <f t="shared" si="45"/>
        <v>4.9680162523900577</v>
      </c>
      <c r="J289" s="53">
        <f t="shared" si="46"/>
        <v>4.9680162523900577</v>
      </c>
      <c r="K289" s="53" t="e" cm="1">
        <f t="array" ref="K289" xml:space="preserve"> ($D$2*SUM( ( ($B$12:$B$20) * ($B$12:$B$20)* EXP($B$12:$B$20/B289) ) / ( B289*B289* ( EXP(( $B$12:$B$20)/B289)  -1)^2 ) ) +   $D$2 ) / 4.184</f>
        <v>#DIV/0!</v>
      </c>
    </row>
    <row r="290" spans="2:12" x14ac:dyDescent="0.3">
      <c r="B290" s="35">
        <f t="shared" si="47"/>
        <v>1900</v>
      </c>
      <c r="C290" s="53">
        <f t="shared" si="43"/>
        <v>20.786180000000002</v>
      </c>
      <c r="D290" s="53">
        <f t="shared" si="44"/>
        <v>20.786180000000002</v>
      </c>
      <c r="E290" s="53" t="e" cm="1">
        <f t="array" ref="E290">$D$2*SUM( ( ($B$12:$B$20) * ($B$12:$B$20)* EXP($B$12:$B$20/B290) ) / ( B290*B290* ( EXP(( $B$12:$B$20)/B290 )  -1)^2 ) ) +   $D$2</f>
        <v>#DIV/0!</v>
      </c>
      <c r="H290" s="35">
        <f t="shared" si="48"/>
        <v>1900</v>
      </c>
      <c r="I290" s="53">
        <f t="shared" si="45"/>
        <v>4.9680162523900577</v>
      </c>
      <c r="J290" s="53">
        <f t="shared" si="46"/>
        <v>4.9680162523900577</v>
      </c>
      <c r="K290" s="53" t="e" cm="1">
        <f t="array" ref="K290" xml:space="preserve"> ($D$2*SUM( ( ($B$12:$B$20) * ($B$12:$B$20)* EXP($B$12:$B$20/B290) ) / ( B290*B290* ( EXP(( $B$12:$B$20)/B290)  -1)^2 ) ) +   $D$2 ) / 4.184</f>
        <v>#DIV/0!</v>
      </c>
    </row>
    <row r="291" spans="2:12" x14ac:dyDescent="0.3">
      <c r="B291" s="35">
        <f t="shared" si="47"/>
        <v>2000</v>
      </c>
      <c r="C291" s="53">
        <f t="shared" si="43"/>
        <v>20.786180000000002</v>
      </c>
      <c r="D291" s="53">
        <f t="shared" si="44"/>
        <v>20.786180000000002</v>
      </c>
      <c r="E291" s="53" t="e" cm="1">
        <f t="array" ref="E291">$D$2*SUM( ( ($B$12:$B$20) * ($B$12:$B$20)* EXP($B$12:$B$20/B291) ) / ( B291*B291* ( EXP(( $B$12:$B$20)/B291 )  -1)^2 ) ) +   $D$2</f>
        <v>#DIV/0!</v>
      </c>
      <c r="H291" s="35">
        <f t="shared" si="48"/>
        <v>2000</v>
      </c>
      <c r="I291" s="53">
        <f t="shared" si="45"/>
        <v>4.9680162523900577</v>
      </c>
      <c r="J291" s="53">
        <f t="shared" si="46"/>
        <v>4.9680162523900577</v>
      </c>
      <c r="K291" s="53" t="e" cm="1">
        <f t="array" ref="K291" xml:space="preserve"> ($D$2*SUM( ( ($B$12:$B$20) * ($B$12:$B$20)* EXP($B$12:$B$20/B291) ) / ( B291*B291* ( EXP(( $B$12:$B$20)/B291)  -1)^2 ) ) +   $D$2 ) / 4.184</f>
        <v>#DIV/0!</v>
      </c>
    </row>
    <row r="292" spans="2:12" ht="15" thickBot="1" x14ac:dyDescent="0.35">
      <c r="B292" s="26">
        <f t="shared" si="47"/>
        <v>2100</v>
      </c>
      <c r="C292" s="56">
        <f t="shared" si="43"/>
        <v>20.786180000000002</v>
      </c>
      <c r="D292" s="56">
        <f t="shared" si="44"/>
        <v>20.786180000000002</v>
      </c>
      <c r="E292" s="56" t="e" cm="1">
        <f t="array" ref="E292">$D$2*SUM( ( ($B$12:$B$20) * ($B$12:$B$20)* EXP($B$12:$B$20/B292) ) / ( B292*B292* ( EXP(( $B$12:$B$20)/B292 )  -1)^2 ) ) +   $D$2</f>
        <v>#DIV/0!</v>
      </c>
      <c r="F292" s="51"/>
      <c r="H292" s="26">
        <f t="shared" si="48"/>
        <v>2100</v>
      </c>
      <c r="I292" s="56">
        <f t="shared" si="45"/>
        <v>4.9680162523900577</v>
      </c>
      <c r="J292" s="56">
        <f t="shared" si="46"/>
        <v>4.9680162523900577</v>
      </c>
      <c r="K292" s="56" t="e" cm="1">
        <f t="array" ref="K292" xml:space="preserve"> ($D$2*SUM( ( ($B$12:$B$20) * ($B$12:$B$20)* EXP($B$12:$B$20/B292) ) / ( B292*B292* ( EXP(( $B$12:$B$20)/B292)  -1)^2 ) ) +   $D$2 ) / 4.184</f>
        <v>#DIV/0!</v>
      </c>
      <c r="L292" s="51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CFA9-9EA5-4858-8DAB-5B68F3A77598}">
  <dimension ref="A1:W292"/>
  <sheetViews>
    <sheetView workbookViewId="0">
      <selection activeCell="F117" sqref="F117"/>
    </sheetView>
  </sheetViews>
  <sheetFormatPr defaultRowHeight="14.4" x14ac:dyDescent="0.3"/>
  <cols>
    <col min="1" max="1" width="29.88671875" style="5" bestFit="1" customWidth="1"/>
    <col min="2" max="2" width="16.55468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6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1.00783*1.66E-27</f>
        <v>1.6729978E-27</v>
      </c>
      <c r="F2" s="7">
        <v>6.0221407599999999E+23</v>
      </c>
      <c r="G2" s="7">
        <f>((2*$E$2*$B$2*$A$2*$H$2)/($C$2*$C$2))^1.5</f>
        <v>9.7835994879254859E+29</v>
      </c>
      <c r="H2" s="8">
        <f>298.15</f>
        <v>298.14999999999998</v>
      </c>
      <c r="I2" s="9">
        <v>29979300000</v>
      </c>
      <c r="J2" s="10">
        <v>101325</v>
      </c>
      <c r="K2" s="9">
        <f>(E2*1000)/1.00783</f>
        <v>1.6600000000000001E-24</v>
      </c>
      <c r="L2" s="10">
        <f>F2*K2</f>
        <v>0.99967536616000008</v>
      </c>
    </row>
    <row r="3" spans="1:21" ht="15" thickBot="1" x14ac:dyDescent="0.35"/>
    <row r="4" spans="1:21" ht="15" thickBot="1" x14ac:dyDescent="0.35">
      <c r="E4" s="11" t="s">
        <v>12</v>
      </c>
      <c r="F4" s="12" t="s">
        <v>13</v>
      </c>
      <c r="G4" s="13" t="s">
        <v>14</v>
      </c>
      <c r="I4" s="11" t="s">
        <v>15</v>
      </c>
      <c r="J4" s="12" t="s">
        <v>16</v>
      </c>
      <c r="K4" s="12" t="s">
        <v>17</v>
      </c>
      <c r="L4" s="14" t="s">
        <v>18</v>
      </c>
    </row>
    <row r="5" spans="1:21" ht="16.8" thickBot="1" x14ac:dyDescent="0.35">
      <c r="B5" s="15" t="s">
        <v>19</v>
      </c>
      <c r="D5" s="16" t="s">
        <v>20</v>
      </c>
      <c r="E5" s="17">
        <v>11.452500000000001</v>
      </c>
      <c r="F5" s="18">
        <v>11.456390000000001</v>
      </c>
      <c r="G5" s="19">
        <v>11.456390000000001</v>
      </c>
      <c r="I5" s="20">
        <v>0</v>
      </c>
      <c r="J5" s="21">
        <f>I5*627.509474</f>
        <v>0</v>
      </c>
      <c r="K5" s="21">
        <f>I5*4.35974E-18</f>
        <v>0</v>
      </c>
      <c r="L5" s="22">
        <f>(2*K5)/(C2)</f>
        <v>0</v>
      </c>
    </row>
    <row r="6" spans="1:21" ht="16.8" thickBot="1" x14ac:dyDescent="0.35">
      <c r="A6" s="23" t="s">
        <v>21</v>
      </c>
      <c r="B6" s="24">
        <v>1</v>
      </c>
      <c r="D6" s="25" t="s">
        <v>22</v>
      </c>
      <c r="E6" s="26">
        <f>E5*1.66E-47</f>
        <v>1.9011150000000002E-46</v>
      </c>
      <c r="F6" s="27">
        <f>F5*1.66E-47</f>
        <v>1.9017607399999999E-46</v>
      </c>
      <c r="G6" s="28">
        <f>G5*1.66E-47</f>
        <v>1.9017607399999999E-46</v>
      </c>
      <c r="U6" s="29"/>
    </row>
    <row r="7" spans="1:21" ht="15" thickBot="1" x14ac:dyDescent="0.35">
      <c r="U7" s="29"/>
    </row>
    <row r="8" spans="1:21" ht="15" thickBot="1" x14ac:dyDescent="0.35">
      <c r="A8" s="5" t="s">
        <v>23</v>
      </c>
      <c r="D8" s="23" t="s">
        <v>24</v>
      </c>
      <c r="E8" s="17">
        <v>157.58485999999999</v>
      </c>
      <c r="F8" s="18">
        <v>157.53139999999999</v>
      </c>
      <c r="G8" s="19">
        <v>157.53139999999999</v>
      </c>
      <c r="U8" s="29"/>
    </row>
    <row r="9" spans="1:21" ht="15" thickBot="1" x14ac:dyDescent="0.35">
      <c r="E9" s="26">
        <f>E8*1000000000</f>
        <v>157584860000</v>
      </c>
      <c r="F9" s="27">
        <f>F8*1000000000</f>
        <v>157531400000</v>
      </c>
      <c r="G9" s="28">
        <f>G8*1000000000</f>
        <v>157531400000</v>
      </c>
    </row>
    <row r="10" spans="1:21" ht="15" customHeight="1" thickBot="1" x14ac:dyDescent="0.35"/>
    <row r="11" spans="1:21" ht="15" customHeight="1" thickBot="1" x14ac:dyDescent="0.35">
      <c r="D11" s="30" t="s">
        <v>25</v>
      </c>
      <c r="E11" s="31">
        <v>7.5628700000000002</v>
      </c>
      <c r="F11" s="31">
        <v>7.5603100000000003</v>
      </c>
      <c r="G11" s="32">
        <v>7.5603100000000003</v>
      </c>
    </row>
    <row r="12" spans="1:21" ht="27" customHeight="1" x14ac:dyDescent="0.3">
      <c r="A12" s="33" t="s">
        <v>26</v>
      </c>
      <c r="B12" s="34"/>
    </row>
    <row r="13" spans="1:21" ht="15" thickBot="1" x14ac:dyDescent="0.35">
      <c r="A13" s="35"/>
      <c r="B13" s="36"/>
      <c r="S13" s="29"/>
      <c r="T13" s="29"/>
    </row>
    <row r="14" spans="1:21" ht="15.6" x14ac:dyDescent="0.3">
      <c r="A14" s="35"/>
      <c r="B14" s="36"/>
      <c r="D14" s="37" t="s">
        <v>27</v>
      </c>
      <c r="E14" s="38"/>
      <c r="F14" s="3" t="s">
        <v>28</v>
      </c>
      <c r="G14" s="3" t="s">
        <v>29</v>
      </c>
      <c r="H14" s="4" t="s">
        <v>30</v>
      </c>
    </row>
    <row r="15" spans="1:21" x14ac:dyDescent="0.3">
      <c r="A15" s="35"/>
      <c r="B15" s="36"/>
      <c r="E15" s="39"/>
      <c r="F15" s="40" t="s">
        <v>31</v>
      </c>
      <c r="G15" s="40" t="s">
        <v>32</v>
      </c>
      <c r="H15" s="41" t="s">
        <v>32</v>
      </c>
    </row>
    <row r="16" spans="1:21" x14ac:dyDescent="0.3">
      <c r="A16" s="35"/>
      <c r="B16" s="36"/>
      <c r="E16" s="39" t="s">
        <v>33</v>
      </c>
      <c r="F16" s="42">
        <v>0.88900000000000001</v>
      </c>
      <c r="G16" s="42">
        <v>2.9809999999999999</v>
      </c>
      <c r="H16" s="41">
        <v>27.391999999999999</v>
      </c>
    </row>
    <row r="17" spans="1:10" x14ac:dyDescent="0.3">
      <c r="A17" s="35"/>
      <c r="B17" s="36"/>
      <c r="E17" s="39" t="s">
        <v>34</v>
      </c>
      <c r="F17" s="42">
        <v>0</v>
      </c>
      <c r="G17" s="42">
        <v>0</v>
      </c>
      <c r="H17" s="41">
        <v>1.377</v>
      </c>
    </row>
    <row r="18" spans="1:10" x14ac:dyDescent="0.3">
      <c r="A18" s="35"/>
      <c r="B18" s="36"/>
      <c r="E18" s="39" t="s">
        <v>35</v>
      </c>
      <c r="F18" s="42">
        <v>0.88900000000000001</v>
      </c>
      <c r="G18" s="42">
        <v>2.9809999999999999</v>
      </c>
      <c r="H18" s="41">
        <v>26.013999999999999</v>
      </c>
    </row>
    <row r="19" spans="1:10" x14ac:dyDescent="0.3">
      <c r="A19" s="35"/>
      <c r="B19" s="36"/>
      <c r="E19" s="39" t="s">
        <v>36</v>
      </c>
      <c r="F19" s="42">
        <v>0</v>
      </c>
      <c r="G19" s="42">
        <v>0</v>
      </c>
      <c r="H19" s="41">
        <v>0</v>
      </c>
    </row>
    <row r="20" spans="1:10" ht="15" thickBot="1" x14ac:dyDescent="0.35">
      <c r="A20" s="26"/>
      <c r="B20" s="28"/>
      <c r="E20" s="43" t="s">
        <v>37</v>
      </c>
      <c r="F20" s="44">
        <v>0</v>
      </c>
      <c r="G20" s="44">
        <v>0</v>
      </c>
      <c r="H20" s="45">
        <v>0</v>
      </c>
    </row>
    <row r="21" spans="1:10" ht="15" thickBot="1" x14ac:dyDescent="0.35">
      <c r="F21" s="46"/>
      <c r="G21" s="46"/>
      <c r="H21" s="46"/>
    </row>
    <row r="22" spans="1:10" x14ac:dyDescent="0.3">
      <c r="E22" s="38"/>
      <c r="F22" s="4" t="s">
        <v>38</v>
      </c>
    </row>
    <row r="23" spans="1:10" x14ac:dyDescent="0.3">
      <c r="E23" s="39" t="s">
        <v>39</v>
      </c>
      <c r="F23" s="47">
        <v>79535.8</v>
      </c>
      <c r="J23"/>
    </row>
    <row r="24" spans="1:10" x14ac:dyDescent="0.3">
      <c r="E24" s="39" t="s">
        <v>40</v>
      </c>
      <c r="F24" s="47">
        <v>79535.8</v>
      </c>
    </row>
    <row r="25" spans="1:10" x14ac:dyDescent="0.3">
      <c r="E25" s="39" t="s">
        <v>41</v>
      </c>
      <c r="F25" s="47">
        <v>1</v>
      </c>
    </row>
    <row r="26" spans="1:10" x14ac:dyDescent="0.3">
      <c r="E26" s="39" t="s">
        <v>42</v>
      </c>
      <c r="F26" s="47">
        <v>1</v>
      </c>
      <c r="G26" s="5" t="s">
        <v>43</v>
      </c>
    </row>
    <row r="27" spans="1:10" x14ac:dyDescent="0.3">
      <c r="E27" s="39" t="s">
        <v>34</v>
      </c>
      <c r="F27" s="47">
        <v>2</v>
      </c>
      <c r="G27" s="48"/>
    </row>
    <row r="28" spans="1:10" x14ac:dyDescent="0.3">
      <c r="E28" s="39" t="s">
        <v>35</v>
      </c>
      <c r="F28" s="47">
        <v>39767.9</v>
      </c>
      <c r="G28" s="48"/>
    </row>
    <row r="29" spans="1:10" ht="15" thickBot="1" x14ac:dyDescent="0.35">
      <c r="E29" s="43" t="s">
        <v>36</v>
      </c>
      <c r="F29" s="49">
        <v>1</v>
      </c>
      <c r="G29" s="48"/>
    </row>
    <row r="30" spans="1:10" ht="15" thickBot="1" x14ac:dyDescent="0.35"/>
    <row r="31" spans="1:10" ht="16.2" x14ac:dyDescent="0.3">
      <c r="A31" s="17" t="s">
        <v>44</v>
      </c>
      <c r="B31" s="18" t="s">
        <v>45</v>
      </c>
      <c r="C31" s="50" t="s">
        <v>46</v>
      </c>
      <c r="D31" s="50" t="s">
        <v>47</v>
      </c>
      <c r="E31" s="16" t="s">
        <v>48</v>
      </c>
    </row>
    <row r="32" spans="1:10" x14ac:dyDescent="0.3">
      <c r="A32" s="35"/>
      <c r="B32" s="51">
        <f t="shared" ref="B32:B40" si="0">A32*$I$2</f>
        <v>0</v>
      </c>
      <c r="C32" s="52">
        <f>298.15</f>
        <v>298.14999999999998</v>
      </c>
      <c r="D32" s="53">
        <f>($A$2*C32)/$J$2</f>
        <v>4.062431680236861E-26</v>
      </c>
      <c r="E32" s="54">
        <f>$F$2*($F$83*D32)/($D$2*C32)</f>
        <v>0.99996338110898686</v>
      </c>
    </row>
    <row r="33" spans="1:5" x14ac:dyDescent="0.3">
      <c r="A33" s="35"/>
      <c r="B33" s="51">
        <f t="shared" si="0"/>
        <v>0</v>
      </c>
      <c r="C33" s="52">
        <f>300+100</f>
        <v>400</v>
      </c>
      <c r="D33" s="53">
        <f t="shared" ref="D33:D50" si="1">($A$2*C33)/$J$2</f>
        <v>5.4501850481125095E-26</v>
      </c>
      <c r="E33" s="54">
        <f t="shared" ref="E33:E50" si="2">$F$2*($F$83*D33)/($D$2*C33)</f>
        <v>0.99996338110898686</v>
      </c>
    </row>
    <row r="34" spans="1:5" x14ac:dyDescent="0.3">
      <c r="A34" s="35"/>
      <c r="B34" s="51">
        <f t="shared" si="0"/>
        <v>0</v>
      </c>
      <c r="C34" s="52">
        <f t="shared" ref="C34:C50" si="3">C33+100</f>
        <v>500</v>
      </c>
      <c r="D34" s="53">
        <f t="shared" si="1"/>
        <v>6.8127313101406362E-26</v>
      </c>
      <c r="E34" s="54">
        <f t="shared" si="2"/>
        <v>0.99996338110898675</v>
      </c>
    </row>
    <row r="35" spans="1:5" x14ac:dyDescent="0.3">
      <c r="A35" s="35"/>
      <c r="B35" s="51">
        <f t="shared" si="0"/>
        <v>0</v>
      </c>
      <c r="C35" s="52">
        <f t="shared" si="3"/>
        <v>600</v>
      </c>
      <c r="D35" s="53">
        <f t="shared" si="1"/>
        <v>8.175277572168763E-26</v>
      </c>
      <c r="E35" s="54">
        <f t="shared" si="2"/>
        <v>0.99996338110898653</v>
      </c>
    </row>
    <row r="36" spans="1:5" x14ac:dyDescent="0.3">
      <c r="A36" s="35"/>
      <c r="B36" s="51">
        <f t="shared" si="0"/>
        <v>0</v>
      </c>
      <c r="C36" s="52">
        <f t="shared" si="3"/>
        <v>700</v>
      </c>
      <c r="D36" s="53">
        <f t="shared" si="1"/>
        <v>9.5378238341968898E-26</v>
      </c>
      <c r="E36" s="54">
        <f t="shared" si="2"/>
        <v>0.99996338110898653</v>
      </c>
    </row>
    <row r="37" spans="1:5" x14ac:dyDescent="0.3">
      <c r="A37" s="35"/>
      <c r="B37" s="51">
        <f t="shared" si="0"/>
        <v>0</v>
      </c>
      <c r="C37" s="52">
        <f t="shared" si="3"/>
        <v>800</v>
      </c>
      <c r="D37" s="53">
        <f t="shared" si="1"/>
        <v>1.0900370096225019E-25</v>
      </c>
      <c r="E37" s="54">
        <f t="shared" si="2"/>
        <v>0.99996338110898686</v>
      </c>
    </row>
    <row r="38" spans="1:5" x14ac:dyDescent="0.3">
      <c r="A38" s="35"/>
      <c r="B38" s="51">
        <f t="shared" si="0"/>
        <v>0</v>
      </c>
      <c r="C38" s="52">
        <f t="shared" si="3"/>
        <v>900</v>
      </c>
      <c r="D38" s="53">
        <f t="shared" si="1"/>
        <v>1.2262916358253145E-25</v>
      </c>
      <c r="E38" s="54">
        <f t="shared" si="2"/>
        <v>0.99996338110898675</v>
      </c>
    </row>
    <row r="39" spans="1:5" x14ac:dyDescent="0.3">
      <c r="A39" s="35"/>
      <c r="B39" s="51">
        <f t="shared" si="0"/>
        <v>0</v>
      </c>
      <c r="C39" s="52">
        <f t="shared" si="3"/>
        <v>1000</v>
      </c>
      <c r="D39" s="53">
        <f t="shared" si="1"/>
        <v>1.3625462620281272E-25</v>
      </c>
      <c r="E39" s="54">
        <f t="shared" si="2"/>
        <v>0.99996338110898675</v>
      </c>
    </row>
    <row r="40" spans="1:5" ht="15" thickBot="1" x14ac:dyDescent="0.35">
      <c r="A40" s="26"/>
      <c r="B40" s="55">
        <f t="shared" si="0"/>
        <v>0</v>
      </c>
      <c r="C40" s="52">
        <f t="shared" si="3"/>
        <v>1100</v>
      </c>
      <c r="D40" s="53">
        <f t="shared" si="1"/>
        <v>1.4988008882309398E-25</v>
      </c>
      <c r="E40" s="54">
        <f t="shared" si="2"/>
        <v>0.99996338110898653</v>
      </c>
    </row>
    <row r="41" spans="1:5" x14ac:dyDescent="0.3">
      <c r="B41" s="51"/>
      <c r="C41" s="52">
        <f t="shared" si="3"/>
        <v>1200</v>
      </c>
      <c r="D41" s="53">
        <f t="shared" si="1"/>
        <v>1.6350555144337526E-25</v>
      </c>
      <c r="E41" s="54">
        <f t="shared" si="2"/>
        <v>0.99996338110898653</v>
      </c>
    </row>
    <row r="42" spans="1:5" x14ac:dyDescent="0.3">
      <c r="B42" s="51"/>
      <c r="C42" s="52">
        <f t="shared" si="3"/>
        <v>1300</v>
      </c>
      <c r="D42" s="53">
        <f t="shared" si="1"/>
        <v>1.7713101406365654E-25</v>
      </c>
      <c r="E42" s="54">
        <f t="shared" si="2"/>
        <v>0.99996338110898675</v>
      </c>
    </row>
    <row r="43" spans="1:5" x14ac:dyDescent="0.3">
      <c r="B43" s="51"/>
      <c r="C43" s="52">
        <f t="shared" si="3"/>
        <v>1400</v>
      </c>
      <c r="D43" s="53">
        <f t="shared" si="1"/>
        <v>1.907564766839378E-25</v>
      </c>
      <c r="E43" s="54">
        <f t="shared" si="2"/>
        <v>0.99996338110898653</v>
      </c>
    </row>
    <row r="44" spans="1:5" x14ac:dyDescent="0.3">
      <c r="B44" s="51"/>
      <c r="C44" s="52">
        <f t="shared" si="3"/>
        <v>1500</v>
      </c>
      <c r="D44" s="53">
        <f t="shared" si="1"/>
        <v>2.0438193930421908E-25</v>
      </c>
      <c r="E44" s="54">
        <f t="shared" si="2"/>
        <v>0.99996338110898675</v>
      </c>
    </row>
    <row r="45" spans="1:5" x14ac:dyDescent="0.3">
      <c r="B45" s="51"/>
      <c r="C45" s="52">
        <f t="shared" si="3"/>
        <v>1600</v>
      </c>
      <c r="D45" s="53">
        <f t="shared" si="1"/>
        <v>2.1800740192450038E-25</v>
      </c>
      <c r="E45" s="54">
        <f t="shared" si="2"/>
        <v>0.99996338110898686</v>
      </c>
    </row>
    <row r="46" spans="1:5" x14ac:dyDescent="0.3">
      <c r="B46" s="51"/>
      <c r="C46" s="52">
        <f t="shared" si="3"/>
        <v>1700</v>
      </c>
      <c r="D46" s="53">
        <f t="shared" si="1"/>
        <v>2.3163286454478159E-25</v>
      </c>
      <c r="E46" s="54">
        <f t="shared" si="2"/>
        <v>0.99996338110898664</v>
      </c>
    </row>
    <row r="47" spans="1:5" x14ac:dyDescent="0.3">
      <c r="B47" s="51"/>
      <c r="C47" s="52">
        <f t="shared" si="3"/>
        <v>1800</v>
      </c>
      <c r="D47" s="53">
        <f t="shared" si="1"/>
        <v>2.4525832716506289E-25</v>
      </c>
      <c r="E47" s="54">
        <f t="shared" si="2"/>
        <v>0.99996338110898675</v>
      </c>
    </row>
    <row r="48" spans="1:5" x14ac:dyDescent="0.3">
      <c r="B48" s="51"/>
      <c r="C48" s="52">
        <f t="shared" si="3"/>
        <v>1900</v>
      </c>
      <c r="D48" s="53">
        <f t="shared" si="1"/>
        <v>2.5888378978534419E-25</v>
      </c>
      <c r="E48" s="54">
        <f t="shared" si="2"/>
        <v>0.99996338110898686</v>
      </c>
    </row>
    <row r="49" spans="1:23" x14ac:dyDescent="0.3">
      <c r="B49" s="51"/>
      <c r="C49" s="52">
        <f t="shared" si="3"/>
        <v>2000</v>
      </c>
      <c r="D49" s="53">
        <f t="shared" si="1"/>
        <v>2.7250925240562545E-25</v>
      </c>
      <c r="E49" s="54">
        <f t="shared" si="2"/>
        <v>0.99996338110898675</v>
      </c>
    </row>
    <row r="50" spans="1:23" ht="15" thickBot="1" x14ac:dyDescent="0.35">
      <c r="C50" s="25">
        <f t="shared" si="3"/>
        <v>2100</v>
      </c>
      <c r="D50" s="56">
        <f t="shared" si="1"/>
        <v>2.8613471502590675E-25</v>
      </c>
      <c r="E50" s="57">
        <f t="shared" si="2"/>
        <v>0.99996338110898664</v>
      </c>
    </row>
    <row r="51" spans="1:23" ht="15" thickBot="1" x14ac:dyDescent="0.35"/>
    <row r="52" spans="1:23" ht="18.600000000000001" thickBot="1" x14ac:dyDescent="0.35">
      <c r="D52" s="197" t="s">
        <v>49</v>
      </c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9"/>
    </row>
    <row r="53" spans="1:23" x14ac:dyDescent="0.3">
      <c r="A53" s="11" t="s">
        <v>50</v>
      </c>
      <c r="B53" s="59">
        <f>1</f>
        <v>1</v>
      </c>
      <c r="D53" s="60" t="s">
        <v>51</v>
      </c>
      <c r="E53" s="61">
        <v>298.14999999999998</v>
      </c>
      <c r="F53" s="61">
        <f>300+100</f>
        <v>400</v>
      </c>
      <c r="G53" s="61">
        <f t="shared" ref="G53:W53" si="4">F53+100</f>
        <v>500</v>
      </c>
      <c r="H53" s="61">
        <f t="shared" si="4"/>
        <v>600</v>
      </c>
      <c r="I53" s="61">
        <f t="shared" si="4"/>
        <v>700</v>
      </c>
      <c r="J53" s="61">
        <f t="shared" si="4"/>
        <v>800</v>
      </c>
      <c r="K53" s="61">
        <f t="shared" si="4"/>
        <v>900</v>
      </c>
      <c r="L53" s="61">
        <f t="shared" si="4"/>
        <v>1000</v>
      </c>
      <c r="M53" s="61">
        <f t="shared" si="4"/>
        <v>1100</v>
      </c>
      <c r="N53" s="61">
        <f t="shared" si="4"/>
        <v>1200</v>
      </c>
      <c r="O53" s="61">
        <f t="shared" si="4"/>
        <v>1300</v>
      </c>
      <c r="P53" s="61">
        <f t="shared" si="4"/>
        <v>1400</v>
      </c>
      <c r="Q53" s="61">
        <f t="shared" si="4"/>
        <v>1500</v>
      </c>
      <c r="R53" s="61">
        <f t="shared" si="4"/>
        <v>1600</v>
      </c>
      <c r="S53" s="61">
        <f t="shared" si="4"/>
        <v>1700</v>
      </c>
      <c r="T53" s="61">
        <f t="shared" si="4"/>
        <v>1800</v>
      </c>
      <c r="U53" s="61">
        <f t="shared" si="4"/>
        <v>1900</v>
      </c>
      <c r="V53" s="61">
        <f t="shared" si="4"/>
        <v>2000</v>
      </c>
      <c r="W53" s="62">
        <f t="shared" si="4"/>
        <v>2100</v>
      </c>
    </row>
    <row r="54" spans="1:23" x14ac:dyDescent="0.3">
      <c r="A54" s="35"/>
      <c r="B54" s="63">
        <f>1</f>
        <v>1</v>
      </c>
      <c r="D54" s="64">
        <f t="shared" ref="D54:D62" si="5">A32*$I$2</f>
        <v>0</v>
      </c>
      <c r="E54" s="51">
        <v>1</v>
      </c>
      <c r="F54" s="51">
        <v>1</v>
      </c>
      <c r="G54" s="51">
        <v>1</v>
      </c>
      <c r="H54" s="51">
        <v>1</v>
      </c>
      <c r="I54" s="51">
        <v>1</v>
      </c>
      <c r="J54" s="51">
        <v>1</v>
      </c>
      <c r="K54" s="51">
        <v>1</v>
      </c>
      <c r="L54" s="51">
        <v>1</v>
      </c>
      <c r="M54" s="51">
        <v>1</v>
      </c>
      <c r="N54" s="51">
        <v>1</v>
      </c>
      <c r="O54" s="51">
        <v>1</v>
      </c>
      <c r="P54" s="51">
        <v>1</v>
      </c>
      <c r="Q54" s="51">
        <v>1</v>
      </c>
      <c r="R54" s="51">
        <v>1</v>
      </c>
      <c r="S54" s="51">
        <v>1</v>
      </c>
      <c r="T54" s="51">
        <v>1</v>
      </c>
      <c r="U54" s="51">
        <v>1</v>
      </c>
      <c r="V54" s="51">
        <v>1</v>
      </c>
      <c r="W54" s="63">
        <v>1</v>
      </c>
    </row>
    <row r="55" spans="1:23" x14ac:dyDescent="0.3">
      <c r="A55" s="35"/>
      <c r="B55" s="63">
        <f>1</f>
        <v>1</v>
      </c>
      <c r="D55" s="64">
        <f t="shared" si="5"/>
        <v>0</v>
      </c>
      <c r="E55" s="51">
        <v>1</v>
      </c>
      <c r="F55" s="51">
        <v>1</v>
      </c>
      <c r="G55" s="51">
        <v>1</v>
      </c>
      <c r="H55" s="51">
        <v>1</v>
      </c>
      <c r="I55" s="51">
        <v>1</v>
      </c>
      <c r="J55" s="51">
        <v>1</v>
      </c>
      <c r="K55" s="51">
        <v>1</v>
      </c>
      <c r="L55" s="51">
        <v>1</v>
      </c>
      <c r="M55" s="51">
        <v>1</v>
      </c>
      <c r="N55" s="51">
        <v>1</v>
      </c>
      <c r="O55" s="51">
        <v>1</v>
      </c>
      <c r="P55" s="51">
        <v>1</v>
      </c>
      <c r="Q55" s="51">
        <v>1</v>
      </c>
      <c r="R55" s="51">
        <v>1</v>
      </c>
      <c r="S55" s="51">
        <v>1</v>
      </c>
      <c r="T55" s="51">
        <v>1</v>
      </c>
      <c r="U55" s="51">
        <v>1</v>
      </c>
      <c r="V55" s="51">
        <v>1</v>
      </c>
      <c r="W55" s="63">
        <v>1</v>
      </c>
    </row>
    <row r="56" spans="1:23" x14ac:dyDescent="0.3">
      <c r="A56" s="35"/>
      <c r="B56" s="63">
        <f>1</f>
        <v>1</v>
      </c>
      <c r="D56" s="64">
        <f t="shared" si="5"/>
        <v>0</v>
      </c>
      <c r="E56" s="51">
        <v>1</v>
      </c>
      <c r="F56" s="51">
        <v>1</v>
      </c>
      <c r="G56" s="51">
        <v>1</v>
      </c>
      <c r="H56" s="51">
        <v>1</v>
      </c>
      <c r="I56" s="51">
        <v>1</v>
      </c>
      <c r="J56" s="51">
        <v>1</v>
      </c>
      <c r="K56" s="51">
        <v>1</v>
      </c>
      <c r="L56" s="51">
        <v>1</v>
      </c>
      <c r="M56" s="51">
        <v>1</v>
      </c>
      <c r="N56" s="51">
        <v>1</v>
      </c>
      <c r="O56" s="51">
        <v>1</v>
      </c>
      <c r="P56" s="51">
        <v>1</v>
      </c>
      <c r="Q56" s="51">
        <v>1</v>
      </c>
      <c r="R56" s="51">
        <v>1</v>
      </c>
      <c r="S56" s="51">
        <v>1</v>
      </c>
      <c r="T56" s="51">
        <v>1</v>
      </c>
      <c r="U56" s="51">
        <v>1</v>
      </c>
      <c r="V56" s="51">
        <v>1</v>
      </c>
      <c r="W56" s="63">
        <v>1</v>
      </c>
    </row>
    <row r="57" spans="1:23" x14ac:dyDescent="0.3">
      <c r="A57" s="35"/>
      <c r="B57" s="63">
        <f>1</f>
        <v>1</v>
      </c>
      <c r="D57" s="64">
        <f t="shared" si="5"/>
        <v>0</v>
      </c>
      <c r="E57" s="51">
        <v>1</v>
      </c>
      <c r="F57" s="51">
        <v>1</v>
      </c>
      <c r="G57" s="51">
        <v>1</v>
      </c>
      <c r="H57" s="51">
        <v>1</v>
      </c>
      <c r="I57" s="51">
        <v>1</v>
      </c>
      <c r="J57" s="51">
        <v>1</v>
      </c>
      <c r="K57" s="51">
        <v>1</v>
      </c>
      <c r="L57" s="51">
        <v>1</v>
      </c>
      <c r="M57" s="51">
        <v>1</v>
      </c>
      <c r="N57" s="51">
        <v>1</v>
      </c>
      <c r="O57" s="51">
        <v>1</v>
      </c>
      <c r="P57" s="51">
        <v>1</v>
      </c>
      <c r="Q57" s="51">
        <v>1</v>
      </c>
      <c r="R57" s="51">
        <v>1</v>
      </c>
      <c r="S57" s="51">
        <v>1</v>
      </c>
      <c r="T57" s="51">
        <v>1</v>
      </c>
      <c r="U57" s="51">
        <v>1</v>
      </c>
      <c r="V57" s="51">
        <v>1</v>
      </c>
      <c r="W57" s="63">
        <v>1</v>
      </c>
    </row>
    <row r="58" spans="1:23" x14ac:dyDescent="0.3">
      <c r="A58" s="35"/>
      <c r="B58" s="63">
        <f>1</f>
        <v>1</v>
      </c>
      <c r="D58" s="64">
        <f t="shared" si="5"/>
        <v>0</v>
      </c>
      <c r="E58" s="51">
        <v>1</v>
      </c>
      <c r="F58" s="51">
        <v>1</v>
      </c>
      <c r="G58" s="51">
        <v>1</v>
      </c>
      <c r="H58" s="51">
        <v>1</v>
      </c>
      <c r="I58" s="51">
        <v>1</v>
      </c>
      <c r="J58" s="51">
        <v>1</v>
      </c>
      <c r="K58" s="51">
        <v>1</v>
      </c>
      <c r="L58" s="51">
        <v>1</v>
      </c>
      <c r="M58" s="51">
        <v>1</v>
      </c>
      <c r="N58" s="51">
        <v>1</v>
      </c>
      <c r="O58" s="51">
        <v>1</v>
      </c>
      <c r="P58" s="51">
        <v>1</v>
      </c>
      <c r="Q58" s="51">
        <v>1</v>
      </c>
      <c r="R58" s="51">
        <v>1</v>
      </c>
      <c r="S58" s="51">
        <v>1</v>
      </c>
      <c r="T58" s="51">
        <v>1</v>
      </c>
      <c r="U58" s="51">
        <v>1</v>
      </c>
      <c r="V58" s="51">
        <v>1</v>
      </c>
      <c r="W58" s="63">
        <v>1</v>
      </c>
    </row>
    <row r="59" spans="1:23" x14ac:dyDescent="0.3">
      <c r="A59" s="35"/>
      <c r="B59" s="63">
        <f>1</f>
        <v>1</v>
      </c>
      <c r="D59" s="64">
        <f t="shared" si="5"/>
        <v>0</v>
      </c>
      <c r="E59" s="51">
        <v>1</v>
      </c>
      <c r="F59" s="51">
        <v>1</v>
      </c>
      <c r="G59" s="51">
        <v>1</v>
      </c>
      <c r="H59" s="51">
        <v>1</v>
      </c>
      <c r="I59" s="51">
        <v>1</v>
      </c>
      <c r="J59" s="51">
        <v>1</v>
      </c>
      <c r="K59" s="51">
        <v>1</v>
      </c>
      <c r="L59" s="51">
        <v>1</v>
      </c>
      <c r="M59" s="51">
        <v>1</v>
      </c>
      <c r="N59" s="51">
        <v>1</v>
      </c>
      <c r="O59" s="51">
        <v>1</v>
      </c>
      <c r="P59" s="51">
        <v>1</v>
      </c>
      <c r="Q59" s="51">
        <v>1</v>
      </c>
      <c r="R59" s="51">
        <v>1</v>
      </c>
      <c r="S59" s="51">
        <v>1</v>
      </c>
      <c r="T59" s="51">
        <v>1</v>
      </c>
      <c r="U59" s="51">
        <v>1</v>
      </c>
      <c r="V59" s="51">
        <v>1</v>
      </c>
      <c r="W59" s="63">
        <v>1</v>
      </c>
    </row>
    <row r="60" spans="1:23" x14ac:dyDescent="0.3">
      <c r="A60" s="35"/>
      <c r="B60" s="63">
        <f>1</f>
        <v>1</v>
      </c>
      <c r="D60" s="64">
        <f t="shared" si="5"/>
        <v>0</v>
      </c>
      <c r="E60" s="51">
        <v>1</v>
      </c>
      <c r="F60" s="51">
        <v>1</v>
      </c>
      <c r="G60" s="51">
        <v>1</v>
      </c>
      <c r="H60" s="51">
        <v>1</v>
      </c>
      <c r="I60" s="51">
        <v>1</v>
      </c>
      <c r="J60" s="51">
        <v>1</v>
      </c>
      <c r="K60" s="51">
        <v>1</v>
      </c>
      <c r="L60" s="51">
        <v>1</v>
      </c>
      <c r="M60" s="51">
        <v>1</v>
      </c>
      <c r="N60" s="51">
        <v>1</v>
      </c>
      <c r="O60" s="51">
        <v>1</v>
      </c>
      <c r="P60" s="51">
        <v>1</v>
      </c>
      <c r="Q60" s="51">
        <v>1</v>
      </c>
      <c r="R60" s="51">
        <v>1</v>
      </c>
      <c r="S60" s="51">
        <v>1</v>
      </c>
      <c r="T60" s="51">
        <v>1</v>
      </c>
      <c r="U60" s="51">
        <v>1</v>
      </c>
      <c r="V60" s="51">
        <v>1</v>
      </c>
      <c r="W60" s="63">
        <v>1</v>
      </c>
    </row>
    <row r="61" spans="1:23" ht="15" thickBot="1" x14ac:dyDescent="0.35">
      <c r="A61" s="26"/>
      <c r="B61" s="65">
        <f>1</f>
        <v>1</v>
      </c>
      <c r="D61" s="64">
        <f t="shared" si="5"/>
        <v>0</v>
      </c>
      <c r="E61" s="51">
        <v>1</v>
      </c>
      <c r="F61" s="51">
        <v>1</v>
      </c>
      <c r="G61" s="51">
        <v>1</v>
      </c>
      <c r="H61" s="51">
        <v>1</v>
      </c>
      <c r="I61" s="51">
        <v>1</v>
      </c>
      <c r="J61" s="51">
        <v>1</v>
      </c>
      <c r="K61" s="51">
        <v>1</v>
      </c>
      <c r="L61" s="51">
        <v>1</v>
      </c>
      <c r="M61" s="51">
        <v>1</v>
      </c>
      <c r="N61" s="51">
        <v>1</v>
      </c>
      <c r="O61" s="51">
        <v>1</v>
      </c>
      <c r="P61" s="51">
        <v>1</v>
      </c>
      <c r="Q61" s="51">
        <v>1</v>
      </c>
      <c r="R61" s="51">
        <v>1</v>
      </c>
      <c r="S61" s="51">
        <v>1</v>
      </c>
      <c r="T61" s="51">
        <v>1</v>
      </c>
      <c r="U61" s="51">
        <v>1</v>
      </c>
      <c r="V61" s="51">
        <v>1</v>
      </c>
      <c r="W61" s="63">
        <v>1</v>
      </c>
    </row>
    <row r="62" spans="1:23" ht="15" thickBot="1" x14ac:dyDescent="0.35">
      <c r="B62" s="51"/>
      <c r="D62" s="66">
        <f t="shared" si="5"/>
        <v>0</v>
      </c>
      <c r="E62" s="55">
        <v>1</v>
      </c>
      <c r="F62" s="55">
        <v>1</v>
      </c>
      <c r="G62" s="55">
        <v>1</v>
      </c>
      <c r="H62" s="55">
        <v>1</v>
      </c>
      <c r="I62" s="55">
        <v>1</v>
      </c>
      <c r="J62" s="55">
        <v>1</v>
      </c>
      <c r="K62" s="55">
        <v>1</v>
      </c>
      <c r="L62" s="55">
        <v>1</v>
      </c>
      <c r="M62" s="55">
        <v>1</v>
      </c>
      <c r="N62" s="55">
        <v>1</v>
      </c>
      <c r="O62" s="55">
        <v>1</v>
      </c>
      <c r="P62" s="55">
        <v>1</v>
      </c>
      <c r="Q62" s="55">
        <v>1</v>
      </c>
      <c r="R62" s="55">
        <v>1</v>
      </c>
      <c r="S62" s="55">
        <v>1</v>
      </c>
      <c r="T62" s="55">
        <v>1</v>
      </c>
      <c r="U62" s="55">
        <v>1</v>
      </c>
      <c r="V62" s="55">
        <v>1</v>
      </c>
      <c r="W62" s="65">
        <v>1</v>
      </c>
    </row>
    <row r="63" spans="1:23" x14ac:dyDescent="0.3">
      <c r="B63" s="51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</row>
    <row r="64" spans="1:23" ht="15" thickBot="1" x14ac:dyDescent="0.35">
      <c r="B64" s="51"/>
      <c r="D64" s="67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</row>
    <row r="65" spans="1:23" x14ac:dyDescent="0.3">
      <c r="B65" s="51"/>
      <c r="D65" s="68" t="s">
        <v>52</v>
      </c>
      <c r="E65" s="69">
        <v>298.14999999999998</v>
      </c>
      <c r="F65" s="69">
        <f>300+100</f>
        <v>400</v>
      </c>
      <c r="G65" s="69">
        <f t="shared" ref="G65:W65" si="6">F65+100</f>
        <v>500</v>
      </c>
      <c r="H65" s="69">
        <f t="shared" si="6"/>
        <v>600</v>
      </c>
      <c r="I65" s="69">
        <f t="shared" si="6"/>
        <v>700</v>
      </c>
      <c r="J65" s="69">
        <f t="shared" si="6"/>
        <v>800</v>
      </c>
      <c r="K65" s="69">
        <f t="shared" si="6"/>
        <v>900</v>
      </c>
      <c r="L65" s="69">
        <f t="shared" si="6"/>
        <v>1000</v>
      </c>
      <c r="M65" s="69">
        <f t="shared" si="6"/>
        <v>1100</v>
      </c>
      <c r="N65" s="69">
        <f t="shared" si="6"/>
        <v>1200</v>
      </c>
      <c r="O65" s="69">
        <f t="shared" si="6"/>
        <v>1300</v>
      </c>
      <c r="P65" s="69">
        <f t="shared" si="6"/>
        <v>1400</v>
      </c>
      <c r="Q65" s="69">
        <f t="shared" si="6"/>
        <v>1500</v>
      </c>
      <c r="R65" s="69">
        <f t="shared" si="6"/>
        <v>1600</v>
      </c>
      <c r="S65" s="69">
        <f t="shared" si="6"/>
        <v>1700</v>
      </c>
      <c r="T65" s="69">
        <f t="shared" si="6"/>
        <v>1800</v>
      </c>
      <c r="U65" s="69">
        <f t="shared" si="6"/>
        <v>1900</v>
      </c>
      <c r="V65" s="69">
        <f t="shared" si="6"/>
        <v>2000</v>
      </c>
      <c r="W65" s="70">
        <f t="shared" si="6"/>
        <v>2100</v>
      </c>
    </row>
    <row r="66" spans="1:23" ht="15" thickBot="1" x14ac:dyDescent="0.35">
      <c r="B66" s="51"/>
      <c r="D66" s="66" t="s">
        <v>53</v>
      </c>
      <c r="E66" s="55">
        <f>PRODUCT(E54:E62)</f>
        <v>1</v>
      </c>
      <c r="F66" s="55">
        <f>PRODUCT(F54:F62)</f>
        <v>1</v>
      </c>
      <c r="G66" s="55">
        <f t="shared" ref="G66:W66" si="7">PRODUCT(G54:G62)</f>
        <v>1</v>
      </c>
      <c r="H66" s="55">
        <f t="shared" si="7"/>
        <v>1</v>
      </c>
      <c r="I66" s="55">
        <f t="shared" si="7"/>
        <v>1</v>
      </c>
      <c r="J66" s="55">
        <f t="shared" si="7"/>
        <v>1</v>
      </c>
      <c r="K66" s="55">
        <f t="shared" si="7"/>
        <v>1</v>
      </c>
      <c r="L66" s="55">
        <f t="shared" si="7"/>
        <v>1</v>
      </c>
      <c r="M66" s="55">
        <f t="shared" si="7"/>
        <v>1</v>
      </c>
      <c r="N66" s="55">
        <f t="shared" si="7"/>
        <v>1</v>
      </c>
      <c r="O66" s="55">
        <f t="shared" si="7"/>
        <v>1</v>
      </c>
      <c r="P66" s="55">
        <f t="shared" si="7"/>
        <v>1</v>
      </c>
      <c r="Q66" s="55">
        <f t="shared" si="7"/>
        <v>1</v>
      </c>
      <c r="R66" s="55">
        <f t="shared" si="7"/>
        <v>1</v>
      </c>
      <c r="S66" s="55">
        <f t="shared" si="7"/>
        <v>1</v>
      </c>
      <c r="T66" s="55">
        <f t="shared" si="7"/>
        <v>1</v>
      </c>
      <c r="U66" s="55">
        <f t="shared" si="7"/>
        <v>1</v>
      </c>
      <c r="V66" s="55">
        <f t="shared" si="7"/>
        <v>1</v>
      </c>
      <c r="W66" s="65">
        <f t="shared" si="7"/>
        <v>1</v>
      </c>
    </row>
    <row r="67" spans="1:23" x14ac:dyDescent="0.3">
      <c r="B67" s="51"/>
      <c r="D67" s="67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</row>
    <row r="68" spans="1:23" x14ac:dyDescent="0.3">
      <c r="B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</row>
    <row r="69" spans="1:23" x14ac:dyDescent="0.3">
      <c r="B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</row>
    <row r="70" spans="1:23" x14ac:dyDescent="0.3">
      <c r="B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</row>
    <row r="71" spans="1:23" ht="15" thickBot="1" x14ac:dyDescent="0.35"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</row>
    <row r="72" spans="1:23" x14ac:dyDescent="0.3">
      <c r="A72" s="17" t="s">
        <v>54</v>
      </c>
      <c r="B72" s="19">
        <f>COUNT(B53:B70)</f>
        <v>9</v>
      </c>
    </row>
    <row r="73" spans="1:23" ht="21" thickBot="1" x14ac:dyDescent="0.35">
      <c r="A73" s="71" t="s">
        <v>55</v>
      </c>
      <c r="B73" s="72">
        <f>PRODUCT(B53:B61)</f>
        <v>1</v>
      </c>
    </row>
    <row r="76" spans="1:23" ht="15" thickBot="1" x14ac:dyDescent="0.35"/>
    <row r="77" spans="1:23" x14ac:dyDescent="0.3">
      <c r="A77" s="16" t="s">
        <v>56</v>
      </c>
    </row>
    <row r="78" spans="1:23" x14ac:dyDescent="0.3">
      <c r="A78" s="73">
        <v>1</v>
      </c>
    </row>
    <row r="79" spans="1:23" x14ac:dyDescent="0.3">
      <c r="A79" s="74" t="s">
        <v>57</v>
      </c>
    </row>
    <row r="80" spans="1:23" ht="15" thickBot="1" x14ac:dyDescent="0.35">
      <c r="A80" s="75">
        <f>ABS(B73-A78)/B73</f>
        <v>0</v>
      </c>
    </row>
    <row r="81" spans="2:10" ht="15" thickBot="1" x14ac:dyDescent="0.35"/>
    <row r="82" spans="2:10" ht="18" x14ac:dyDescent="0.3">
      <c r="D82" s="11" t="s">
        <v>46</v>
      </c>
      <c r="E82" s="58" t="s">
        <v>58</v>
      </c>
      <c r="F82" s="50" t="s">
        <v>9</v>
      </c>
    </row>
    <row r="83" spans="2:10" ht="18.600000000000001" thickBot="1" x14ac:dyDescent="0.35">
      <c r="B83" s="76"/>
      <c r="D83" s="35">
        <f>298.15</f>
        <v>298.14999999999998</v>
      </c>
      <c r="E83" s="63">
        <f xml:space="preserve"> ( (2*$B$2*$E$2*$A$2*D83)/($C$2*$C$2) )^(1.5) * ($A$2*D83) /$F$83</f>
        <v>39745.204506497626</v>
      </c>
      <c r="F83" s="25">
        <v>101325</v>
      </c>
      <c r="H83" s="5" t="s">
        <v>59</v>
      </c>
    </row>
    <row r="84" spans="2:10" ht="15" thickBot="1" x14ac:dyDescent="0.35">
      <c r="D84" s="35">
        <f>300+100</f>
        <v>400</v>
      </c>
      <c r="E84" s="63">
        <f t="shared" ref="E84:E101" si="8" xml:space="preserve"> ( (2*$B$2*$E$2*$A$2*D84)/($C$2*$C$2) )^(1.5) * ($A$2*D84) /$F$83</f>
        <v>82860.524892792659</v>
      </c>
    </row>
    <row r="85" spans="2:10" ht="15" thickBot="1" x14ac:dyDescent="0.35">
      <c r="D85" s="35">
        <f t="shared" ref="D85:D101" si="9">D84+100</f>
        <v>500</v>
      </c>
      <c r="E85" s="63">
        <f t="shared" si="8"/>
        <v>144751.37993093667</v>
      </c>
      <c r="J85" s="16" t="s">
        <v>60</v>
      </c>
    </row>
    <row r="86" spans="2:10" x14ac:dyDescent="0.3">
      <c r="D86" s="35">
        <f t="shared" si="9"/>
        <v>600</v>
      </c>
      <c r="E86" s="63">
        <f t="shared" si="8"/>
        <v>228336.7565323434</v>
      </c>
      <c r="H86" s="77" t="s">
        <v>61</v>
      </c>
      <c r="I86" s="17" t="s">
        <v>62</v>
      </c>
      <c r="J86" s="78">
        <f xml:space="preserve"> ( (2*$B$2*$E$2*$A$2*298.15)/($C$2*$C$2) )^(1.5) * ($A$2*D83) /$F$83</f>
        <v>39745.204506497626</v>
      </c>
    </row>
    <row r="87" spans="2:10" ht="15" thickBot="1" x14ac:dyDescent="0.35">
      <c r="D87" s="35">
        <f t="shared" si="9"/>
        <v>700</v>
      </c>
      <c r="E87" s="63">
        <f t="shared" si="8"/>
        <v>335693.39925499359</v>
      </c>
      <c r="H87" s="61" t="s">
        <v>63</v>
      </c>
      <c r="I87" s="26" t="s">
        <v>62</v>
      </c>
      <c r="J87" s="79">
        <v>39767.9</v>
      </c>
    </row>
    <row r="88" spans="2:10" x14ac:dyDescent="0.3">
      <c r="D88" s="35">
        <f t="shared" si="9"/>
        <v>800</v>
      </c>
      <c r="E88" s="63">
        <f t="shared" si="8"/>
        <v>468729.9123549647</v>
      </c>
      <c r="J88" s="80" t="s">
        <v>57</v>
      </c>
    </row>
    <row r="89" spans="2:10" x14ac:dyDescent="0.3">
      <c r="D89" s="35">
        <f t="shared" si="9"/>
        <v>900</v>
      </c>
      <c r="E89" s="63">
        <f t="shared" si="8"/>
        <v>629222.11090465414</v>
      </c>
      <c r="J89" s="81">
        <f>(J86-J87)/J87</f>
        <v>-5.7069881744761547E-4</v>
      </c>
    </row>
    <row r="90" spans="2:10" x14ac:dyDescent="0.3">
      <c r="D90" s="35">
        <f t="shared" si="9"/>
        <v>1000</v>
      </c>
      <c r="E90" s="63">
        <f t="shared" si="8"/>
        <v>818837.45868220751</v>
      </c>
    </row>
    <row r="91" spans="2:10" x14ac:dyDescent="0.3">
      <c r="D91" s="35">
        <f t="shared" si="9"/>
        <v>1100</v>
      </c>
      <c r="E91" s="63">
        <f t="shared" si="8"/>
        <v>1039152.8059736693</v>
      </c>
    </row>
    <row r="92" spans="2:10" x14ac:dyDescent="0.3">
      <c r="D92" s="35">
        <f t="shared" si="9"/>
        <v>1200</v>
      </c>
      <c r="E92" s="63">
        <f t="shared" si="8"/>
        <v>1291667.7515052971</v>
      </c>
    </row>
    <row r="93" spans="2:10" x14ac:dyDescent="0.3">
      <c r="D93" s="35">
        <f t="shared" si="9"/>
        <v>1300</v>
      </c>
      <c r="E93" s="63">
        <f t="shared" si="8"/>
        <v>1577815.0073427462</v>
      </c>
    </row>
    <row r="94" spans="2:10" x14ac:dyDescent="0.3">
      <c r="D94" s="35">
        <f t="shared" si="9"/>
        <v>1400</v>
      </c>
      <c r="E94" s="63">
        <f t="shared" si="8"/>
        <v>1898968.6321021579</v>
      </c>
    </row>
    <row r="95" spans="2:10" x14ac:dyDescent="0.3">
      <c r="D95" s="35">
        <f t="shared" si="9"/>
        <v>1500</v>
      </c>
      <c r="E95" s="63">
        <f t="shared" si="8"/>
        <v>2256450.7005548179</v>
      </c>
    </row>
    <row r="96" spans="2:10" x14ac:dyDescent="0.3">
      <c r="D96" s="35">
        <f t="shared" si="9"/>
        <v>1600</v>
      </c>
      <c r="E96" s="63">
        <f t="shared" si="8"/>
        <v>2651536.7965693804</v>
      </c>
    </row>
    <row r="97" spans="1:10" x14ac:dyDescent="0.3">
      <c r="D97" s="35">
        <f t="shared" si="9"/>
        <v>1700</v>
      </c>
      <c r="E97" s="63">
        <f t="shared" si="8"/>
        <v>3085460.6012042118</v>
      </c>
    </row>
    <row r="98" spans="1:10" x14ac:dyDescent="0.3">
      <c r="D98" s="35">
        <f t="shared" si="9"/>
        <v>1800</v>
      </c>
      <c r="E98" s="63">
        <f t="shared" si="8"/>
        <v>3559417.7719455184</v>
      </c>
    </row>
    <row r="99" spans="1:10" x14ac:dyDescent="0.3">
      <c r="D99" s="35">
        <f t="shared" si="9"/>
        <v>1900</v>
      </c>
      <c r="E99" s="63">
        <f t="shared" si="8"/>
        <v>4074569.2576352647</v>
      </c>
    </row>
    <row r="100" spans="1:10" x14ac:dyDescent="0.3">
      <c r="D100" s="35">
        <f t="shared" si="9"/>
        <v>2000</v>
      </c>
      <c r="E100" s="63">
        <f t="shared" si="8"/>
        <v>4632044.1577899996</v>
      </c>
    </row>
    <row r="101" spans="1:10" ht="15" thickBot="1" x14ac:dyDescent="0.35">
      <c r="D101" s="26">
        <f t="shared" si="9"/>
        <v>2100</v>
      </c>
      <c r="E101" s="65">
        <f t="shared" si="8"/>
        <v>5232942.2094763611</v>
      </c>
    </row>
    <row r="104" spans="1:10" ht="15" thickBot="1" x14ac:dyDescent="0.35"/>
    <row r="105" spans="1:10" ht="18" x14ac:dyDescent="0.3">
      <c r="D105" s="11" t="s">
        <v>46</v>
      </c>
      <c r="E105" s="58" t="s">
        <v>64</v>
      </c>
    </row>
    <row r="106" spans="1:10" x14ac:dyDescent="0.3">
      <c r="D106" s="35">
        <f>298.15</f>
        <v>298.14999999999998</v>
      </c>
      <c r="E106" s="63">
        <v>1</v>
      </c>
    </row>
    <row r="107" spans="1:10" x14ac:dyDescent="0.3">
      <c r="D107" s="35">
        <f>300+100</f>
        <v>400</v>
      </c>
      <c r="E107" s="63">
        <v>1</v>
      </c>
    </row>
    <row r="108" spans="1:10" x14ac:dyDescent="0.3">
      <c r="D108" s="35">
        <f t="shared" ref="D108:D124" si="10">D107+100</f>
        <v>500</v>
      </c>
      <c r="E108" s="63">
        <v>1</v>
      </c>
      <c r="H108" s="5" t="s">
        <v>59</v>
      </c>
    </row>
    <row r="109" spans="1:10" ht="15" thickBot="1" x14ac:dyDescent="0.35">
      <c r="D109" s="35">
        <f t="shared" si="10"/>
        <v>600</v>
      </c>
      <c r="E109" s="63">
        <v>1</v>
      </c>
    </row>
    <row r="110" spans="1:10" ht="18.600000000000001" thickBot="1" x14ac:dyDescent="0.35">
      <c r="A110" s="82"/>
      <c r="B110" s="76"/>
      <c r="D110" s="35">
        <f t="shared" si="10"/>
        <v>700</v>
      </c>
      <c r="E110" s="63">
        <v>1</v>
      </c>
      <c r="J110" s="16" t="s">
        <v>60</v>
      </c>
    </row>
    <row r="111" spans="1:10" x14ac:dyDescent="0.3">
      <c r="D111" s="35">
        <f t="shared" si="10"/>
        <v>800</v>
      </c>
      <c r="E111" s="63">
        <v>1</v>
      </c>
      <c r="H111" s="77" t="s">
        <v>61</v>
      </c>
      <c r="I111" s="17" t="s">
        <v>65</v>
      </c>
      <c r="J111" s="83">
        <f>E106</f>
        <v>1</v>
      </c>
    </row>
    <row r="112" spans="1:10" ht="15" thickBot="1" x14ac:dyDescent="0.35">
      <c r="D112" s="35">
        <f t="shared" si="10"/>
        <v>900</v>
      </c>
      <c r="E112" s="63">
        <v>1</v>
      </c>
      <c r="H112" s="61" t="s">
        <v>63</v>
      </c>
      <c r="I112" s="26" t="s">
        <v>65</v>
      </c>
      <c r="J112" s="84">
        <v>1</v>
      </c>
    </row>
    <row r="113" spans="4:10" x14ac:dyDescent="0.3">
      <c r="D113" s="35">
        <f t="shared" si="10"/>
        <v>1000</v>
      </c>
      <c r="E113" s="63">
        <v>1</v>
      </c>
      <c r="J113" s="80" t="s">
        <v>57</v>
      </c>
    </row>
    <row r="114" spans="4:10" x14ac:dyDescent="0.3">
      <c r="D114" s="35">
        <f t="shared" si="10"/>
        <v>1100</v>
      </c>
      <c r="E114" s="63">
        <v>1</v>
      </c>
      <c r="J114" s="81">
        <f>(J111-J112)/J112</f>
        <v>0</v>
      </c>
    </row>
    <row r="115" spans="4:10" x14ac:dyDescent="0.3">
      <c r="D115" s="35">
        <f t="shared" si="10"/>
        <v>1200</v>
      </c>
      <c r="E115" s="63">
        <v>1</v>
      </c>
    </row>
    <row r="116" spans="4:10" x14ac:dyDescent="0.3">
      <c r="D116" s="35">
        <f t="shared" si="10"/>
        <v>1300</v>
      </c>
      <c r="E116" s="63">
        <v>1</v>
      </c>
      <c r="H116" s="85"/>
    </row>
    <row r="117" spans="4:10" x14ac:dyDescent="0.3">
      <c r="D117" s="35">
        <f t="shared" si="10"/>
        <v>1400</v>
      </c>
      <c r="E117" s="63">
        <v>1</v>
      </c>
    </row>
    <row r="118" spans="4:10" x14ac:dyDescent="0.3">
      <c r="D118" s="35">
        <f t="shared" si="10"/>
        <v>1500</v>
      </c>
      <c r="E118" s="63">
        <v>1</v>
      </c>
    </row>
    <row r="119" spans="4:10" x14ac:dyDescent="0.3">
      <c r="D119" s="35">
        <f t="shared" si="10"/>
        <v>1600</v>
      </c>
      <c r="E119" s="63">
        <v>1</v>
      </c>
    </row>
    <row r="120" spans="4:10" x14ac:dyDescent="0.3">
      <c r="D120" s="35">
        <f t="shared" si="10"/>
        <v>1700</v>
      </c>
      <c r="E120" s="63">
        <v>1</v>
      </c>
    </row>
    <row r="121" spans="4:10" x14ac:dyDescent="0.3">
      <c r="D121" s="35">
        <f t="shared" si="10"/>
        <v>1800</v>
      </c>
      <c r="E121" s="63">
        <v>1</v>
      </c>
    </row>
    <row r="122" spans="4:10" x14ac:dyDescent="0.3">
      <c r="D122" s="35">
        <f t="shared" si="10"/>
        <v>1900</v>
      </c>
      <c r="E122" s="63">
        <v>1</v>
      </c>
    </row>
    <row r="123" spans="4:10" x14ac:dyDescent="0.3">
      <c r="D123" s="35">
        <f t="shared" si="10"/>
        <v>2000</v>
      </c>
      <c r="E123" s="63">
        <v>1</v>
      </c>
    </row>
    <row r="124" spans="4:10" ht="15" thickBot="1" x14ac:dyDescent="0.35">
      <c r="D124" s="26">
        <f t="shared" si="10"/>
        <v>2100</v>
      </c>
      <c r="E124" s="65">
        <v>1</v>
      </c>
    </row>
    <row r="126" spans="4:10" ht="15" thickBot="1" x14ac:dyDescent="0.35"/>
    <row r="127" spans="4:10" ht="18" x14ac:dyDescent="0.3">
      <c r="D127" s="11" t="s">
        <v>46</v>
      </c>
      <c r="E127" s="13" t="s">
        <v>66</v>
      </c>
      <c r="F127" s="50" t="s">
        <v>67</v>
      </c>
    </row>
    <row r="128" spans="4:10" ht="15.6" x14ac:dyDescent="0.3">
      <c r="D128" s="35">
        <f>298.15</f>
        <v>298.14999999999998</v>
      </c>
      <c r="E128" s="86">
        <f>$B$135*EXP($B$134/($A$2*D128) )</f>
        <v>1.630928949633292E-230</v>
      </c>
      <c r="F128" s="87">
        <f>$B$135</f>
        <v>2</v>
      </c>
      <c r="G128" s="5" t="s">
        <v>68</v>
      </c>
      <c r="H128" s="88">
        <f>$B$135*EXP($B$134/($A$2*298.15) )</f>
        <v>1.630928949633292E-230</v>
      </c>
    </row>
    <row r="129" spans="1:10" ht="15.6" x14ac:dyDescent="0.2">
      <c r="A129" s="89"/>
      <c r="D129" s="35">
        <f>300+100</f>
        <v>400</v>
      </c>
      <c r="E129" s="86">
        <f t="shared" ref="E129:E146" si="11">$B$135*EXP($B$134/($A$2*D129) )</f>
        <v>6.291345441824129E-172</v>
      </c>
      <c r="F129" s="87">
        <f t="shared" ref="F129:F146" si="12">$B$135</f>
        <v>2</v>
      </c>
    </row>
    <row r="130" spans="1:10" ht="16.2" thickBot="1" x14ac:dyDescent="0.35">
      <c r="D130" s="35">
        <f t="shared" ref="D130:D146" si="13">D129+100</f>
        <v>500</v>
      </c>
      <c r="E130" s="86">
        <f t="shared" si="11"/>
        <v>1.2566109060490926E-137</v>
      </c>
      <c r="F130" s="87">
        <f t="shared" si="12"/>
        <v>2</v>
      </c>
    </row>
    <row r="131" spans="1:10" ht="15.6" x14ac:dyDescent="0.3">
      <c r="A131" s="90" t="s">
        <v>69</v>
      </c>
      <c r="B131" s="91">
        <v>-0.50027278419099996</v>
      </c>
      <c r="D131" s="35">
        <f t="shared" si="13"/>
        <v>600</v>
      </c>
      <c r="E131" s="86">
        <f t="shared" si="11"/>
        <v>9.2506522037997393E-115</v>
      </c>
      <c r="F131" s="87">
        <f t="shared" si="12"/>
        <v>2</v>
      </c>
      <c r="H131" s="17"/>
      <c r="I131" s="18" t="s">
        <v>157</v>
      </c>
      <c r="J131" s="19" t="s">
        <v>119</v>
      </c>
    </row>
    <row r="132" spans="1:10" ht="18.600000000000001" thickBot="1" x14ac:dyDescent="0.35">
      <c r="A132" s="90" t="s">
        <v>70</v>
      </c>
      <c r="B132" s="92">
        <f>B131/(229400000000000000)</f>
        <v>-2.1807880740671315E-18</v>
      </c>
      <c r="D132" s="35">
        <f t="shared" si="13"/>
        <v>700</v>
      </c>
      <c r="E132" s="86">
        <f t="shared" si="11"/>
        <v>1.9939921530990367E-98</v>
      </c>
      <c r="F132" s="87">
        <f t="shared" si="12"/>
        <v>2</v>
      </c>
      <c r="H132" s="190" t="s">
        <v>156</v>
      </c>
      <c r="I132" s="191">
        <f>$I$5+$B$131</f>
        <v>-0.50027278419099996</v>
      </c>
      <c r="J132" s="28">
        <f>$I$132*627.503</f>
        <v>-313.92267289820506</v>
      </c>
    </row>
    <row r="133" spans="1:10" ht="15.6" x14ac:dyDescent="0.3">
      <c r="A133" s="90" t="s">
        <v>71</v>
      </c>
      <c r="B133" s="90">
        <v>0</v>
      </c>
      <c r="D133" s="35">
        <f t="shared" si="13"/>
        <v>800</v>
      </c>
      <c r="E133" s="86">
        <f t="shared" si="11"/>
        <v>3.5472088863849361E-86</v>
      </c>
      <c r="F133" s="87">
        <f t="shared" si="12"/>
        <v>2</v>
      </c>
    </row>
    <row r="134" spans="1:10" ht="18" x14ac:dyDescent="0.3">
      <c r="A134" s="90" t="s">
        <v>72</v>
      </c>
      <c r="B134" s="92">
        <f>B132+B133</f>
        <v>-2.1807880740671315E-18</v>
      </c>
      <c r="D134" s="35">
        <f t="shared" si="13"/>
        <v>900</v>
      </c>
      <c r="E134" s="86">
        <f t="shared" si="11"/>
        <v>1.1961663126123631E-76</v>
      </c>
      <c r="F134" s="87">
        <f t="shared" si="12"/>
        <v>2</v>
      </c>
    </row>
    <row r="135" spans="1:10" ht="18" x14ac:dyDescent="0.3">
      <c r="A135" s="90" t="s">
        <v>73</v>
      </c>
      <c r="B135" s="90">
        <v>2</v>
      </c>
      <c r="D135" s="35">
        <f t="shared" si="13"/>
        <v>1000</v>
      </c>
      <c r="E135" s="86">
        <f t="shared" si="11"/>
        <v>5.0132043765421987E-69</v>
      </c>
      <c r="F135" s="87">
        <f t="shared" si="12"/>
        <v>2</v>
      </c>
    </row>
    <row r="136" spans="1:10" ht="15.6" x14ac:dyDescent="0.3">
      <c r="A136" s="5" t="s">
        <v>74</v>
      </c>
      <c r="B136" s="51">
        <f>A2*D128</f>
        <v>4.1162588999999997E-21</v>
      </c>
      <c r="D136" s="35">
        <f t="shared" si="13"/>
        <v>1100</v>
      </c>
      <c r="E136" s="86">
        <f t="shared" si="11"/>
        <v>8.6409638977226669E-63</v>
      </c>
      <c r="F136" s="87">
        <f t="shared" si="12"/>
        <v>2</v>
      </c>
    </row>
    <row r="137" spans="1:10" ht="15.6" x14ac:dyDescent="0.3">
      <c r="D137" s="35">
        <f t="shared" si="13"/>
        <v>1200</v>
      </c>
      <c r="E137" s="86">
        <f t="shared" si="11"/>
        <v>1.3601950010053513E-57</v>
      </c>
      <c r="F137" s="87">
        <f t="shared" si="12"/>
        <v>2</v>
      </c>
    </row>
    <row r="138" spans="1:10" ht="15.6" x14ac:dyDescent="0.3">
      <c r="D138" s="35">
        <f t="shared" si="13"/>
        <v>1300</v>
      </c>
      <c r="E138" s="86">
        <f t="shared" si="11"/>
        <v>3.3970011907667372E-53</v>
      </c>
      <c r="F138" s="87">
        <f t="shared" si="12"/>
        <v>2</v>
      </c>
    </row>
    <row r="139" spans="1:10" ht="15.6" x14ac:dyDescent="0.3">
      <c r="D139" s="35">
        <f t="shared" si="13"/>
        <v>1400</v>
      </c>
      <c r="E139" s="86">
        <f t="shared" si="11"/>
        <v>1.9969938172658604E-49</v>
      </c>
      <c r="F139" s="87">
        <f t="shared" si="12"/>
        <v>2</v>
      </c>
    </row>
    <row r="140" spans="1:10" ht="15.6" x14ac:dyDescent="0.3">
      <c r="D140" s="35">
        <f t="shared" si="13"/>
        <v>1500</v>
      </c>
      <c r="E140" s="86">
        <f t="shared" si="11"/>
        <v>3.6905146923933724E-46</v>
      </c>
      <c r="F140" s="87">
        <f t="shared" si="12"/>
        <v>2</v>
      </c>
    </row>
    <row r="141" spans="1:10" ht="15.6" x14ac:dyDescent="0.3">
      <c r="D141" s="35">
        <f t="shared" si="13"/>
        <v>1600</v>
      </c>
      <c r="E141" s="86">
        <f t="shared" si="11"/>
        <v>2.6635348266485783E-43</v>
      </c>
      <c r="F141" s="87">
        <f t="shared" si="12"/>
        <v>2</v>
      </c>
    </row>
    <row r="142" spans="1:10" ht="15.6" x14ac:dyDescent="0.3">
      <c r="D142" s="35">
        <f t="shared" si="13"/>
        <v>1700</v>
      </c>
      <c r="E142" s="86">
        <f t="shared" si="11"/>
        <v>8.8623893867190417E-41</v>
      </c>
      <c r="F142" s="87">
        <f t="shared" si="12"/>
        <v>2</v>
      </c>
    </row>
    <row r="143" spans="1:10" ht="15.6" x14ac:dyDescent="0.3">
      <c r="D143" s="35">
        <f t="shared" si="13"/>
        <v>1800</v>
      </c>
      <c r="E143" s="86">
        <f t="shared" si="11"/>
        <v>1.5467167242985143E-38</v>
      </c>
      <c r="F143" s="87">
        <f t="shared" si="12"/>
        <v>2</v>
      </c>
    </row>
    <row r="144" spans="1:10" ht="15.6" x14ac:dyDescent="0.3">
      <c r="D144" s="35">
        <f t="shared" si="13"/>
        <v>1900</v>
      </c>
      <c r="E144" s="86">
        <f t="shared" si="11"/>
        <v>1.56778128899492E-36</v>
      </c>
      <c r="F144" s="87">
        <f t="shared" si="12"/>
        <v>2</v>
      </c>
    </row>
    <row r="145" spans="4:13" ht="15.6" x14ac:dyDescent="0.3">
      <c r="D145" s="35">
        <f t="shared" si="13"/>
        <v>2000</v>
      </c>
      <c r="E145" s="86">
        <f t="shared" si="11"/>
        <v>1.0013195670256523E-34</v>
      </c>
      <c r="F145" s="87">
        <f t="shared" si="12"/>
        <v>2</v>
      </c>
    </row>
    <row r="146" spans="4:13" ht="16.2" thickBot="1" x14ac:dyDescent="0.35">
      <c r="D146" s="26">
        <f t="shared" si="13"/>
        <v>2100</v>
      </c>
      <c r="E146" s="93">
        <f t="shared" si="11"/>
        <v>4.3045505481005367E-33</v>
      </c>
      <c r="F146" s="94">
        <f t="shared" si="12"/>
        <v>2</v>
      </c>
    </row>
    <row r="151" spans="4:13" ht="15" thickBot="1" x14ac:dyDescent="0.35">
      <c r="H151" s="5" t="s">
        <v>75</v>
      </c>
    </row>
    <row r="152" spans="4:13" ht="20.399999999999999" x14ac:dyDescent="0.3">
      <c r="D152" s="95" t="s">
        <v>46</v>
      </c>
      <c r="E152" s="96" t="s">
        <v>76</v>
      </c>
      <c r="F152" s="97" t="s">
        <v>77</v>
      </c>
      <c r="G152" s="97" t="s">
        <v>78</v>
      </c>
      <c r="H152" s="97" t="s">
        <v>79</v>
      </c>
      <c r="I152" s="98" t="s">
        <v>80</v>
      </c>
    </row>
    <row r="153" spans="4:13" ht="15.6" x14ac:dyDescent="0.3">
      <c r="D153" s="35">
        <f>298.15</f>
        <v>298.14999999999998</v>
      </c>
      <c r="E153" s="99">
        <v>1</v>
      </c>
      <c r="F153" s="92">
        <v>2</v>
      </c>
      <c r="G153" s="51">
        <f xml:space="preserve"> ( (2*$B$2*$E$2*$A$2*D153)/($C$2*$C$2) )^(1.5) * ($A$2*D153) /$F$83</f>
        <v>39745.204506497626</v>
      </c>
      <c r="H153" s="51">
        <f>PRODUCT(E54:E62)</f>
        <v>1</v>
      </c>
      <c r="I153" s="100">
        <f>PRODUCT(E153:H153)</f>
        <v>79490.409012995253</v>
      </c>
      <c r="J153" s="61"/>
      <c r="K153" s="85"/>
      <c r="M153" s="51"/>
    </row>
    <row r="154" spans="4:13" ht="15.6" x14ac:dyDescent="0.3">
      <c r="D154" s="35">
        <f>300+100</f>
        <v>400</v>
      </c>
      <c r="E154" s="99">
        <v>1</v>
      </c>
      <c r="F154" s="92">
        <v>2</v>
      </c>
      <c r="G154" s="51">
        <f t="shared" ref="G154:G171" si="14" xml:space="preserve"> ( (2*$B$2*$E$2*$A$2*D154)/($C$2*$C$2) )^(1.5) * ($A$2*D154) /$F$83</f>
        <v>82860.524892792659</v>
      </c>
      <c r="H154" s="51">
        <f>PRODUCT(F54:F62)</f>
        <v>1</v>
      </c>
      <c r="I154" s="63">
        <f>PRODUCT(E154:H154)</f>
        <v>165721.04978558532</v>
      </c>
      <c r="M154" s="101"/>
    </row>
    <row r="155" spans="4:13" ht="15.6" x14ac:dyDescent="0.3">
      <c r="D155" s="35">
        <f t="shared" ref="D155:D171" si="15">D154+100</f>
        <v>500</v>
      </c>
      <c r="E155" s="99">
        <v>1</v>
      </c>
      <c r="F155" s="92">
        <v>2</v>
      </c>
      <c r="G155" s="51">
        <f t="shared" si="14"/>
        <v>144751.37993093667</v>
      </c>
      <c r="H155" s="51">
        <f>PRODUCT(G54:G62)</f>
        <v>1</v>
      </c>
      <c r="I155" s="63">
        <f>PRODUCT(E155:H155)</f>
        <v>289502.75986187335</v>
      </c>
      <c r="J155" s="5" t="s">
        <v>81</v>
      </c>
    </row>
    <row r="156" spans="4:13" ht="16.2" thickBot="1" x14ac:dyDescent="0.35">
      <c r="D156" s="35">
        <f t="shared" si="15"/>
        <v>600</v>
      </c>
      <c r="E156" s="99">
        <v>1</v>
      </c>
      <c r="F156" s="92">
        <v>2</v>
      </c>
      <c r="G156" s="51">
        <f t="shared" si="14"/>
        <v>228336.7565323434</v>
      </c>
      <c r="H156" s="51">
        <f>PRODUCT(H54:H62)</f>
        <v>1</v>
      </c>
      <c r="I156" s="63">
        <f t="shared" ref="I156:I171" si="16">PRODUCT(E156:H156)</f>
        <v>456673.51306468679</v>
      </c>
    </row>
    <row r="157" spans="4:13" ht="16.2" thickBot="1" x14ac:dyDescent="0.35">
      <c r="D157" s="35">
        <f t="shared" si="15"/>
        <v>700</v>
      </c>
      <c r="E157" s="99">
        <v>1</v>
      </c>
      <c r="F157" s="92">
        <v>2</v>
      </c>
      <c r="G157" s="51">
        <f t="shared" si="14"/>
        <v>335693.39925499359</v>
      </c>
      <c r="H157" s="51">
        <f>PRODUCT(I54:I62)</f>
        <v>1</v>
      </c>
      <c r="I157" s="63">
        <f t="shared" si="16"/>
        <v>671386.79850998719</v>
      </c>
      <c r="L157" s="16" t="s">
        <v>60</v>
      </c>
    </row>
    <row r="158" spans="4:13" ht="15.6" x14ac:dyDescent="0.3">
      <c r="D158" s="35">
        <f t="shared" si="15"/>
        <v>800</v>
      </c>
      <c r="E158" s="99">
        <v>1</v>
      </c>
      <c r="F158" s="92">
        <v>2</v>
      </c>
      <c r="G158" s="51">
        <f t="shared" si="14"/>
        <v>468729.9123549647</v>
      </c>
      <c r="H158" s="51">
        <f>PRODUCT(J54:J62)</f>
        <v>1</v>
      </c>
      <c r="I158" s="63">
        <f t="shared" si="16"/>
        <v>937459.82470992941</v>
      </c>
      <c r="J158" s="77" t="s">
        <v>61</v>
      </c>
      <c r="K158" s="17" t="s">
        <v>82</v>
      </c>
      <c r="L158" s="83">
        <f>I153</f>
        <v>79490.409012995253</v>
      </c>
    </row>
    <row r="159" spans="4:13" ht="16.2" thickBot="1" x14ac:dyDescent="0.35">
      <c r="D159" s="35">
        <f t="shared" si="15"/>
        <v>900</v>
      </c>
      <c r="E159" s="99">
        <v>1</v>
      </c>
      <c r="F159" s="92">
        <v>2</v>
      </c>
      <c r="G159" s="51">
        <f t="shared" si="14"/>
        <v>629222.11090465414</v>
      </c>
      <c r="H159" s="51">
        <f>PRODUCT(K54:K62)</f>
        <v>1</v>
      </c>
      <c r="I159" s="63">
        <f t="shared" si="16"/>
        <v>1258444.2218093083</v>
      </c>
      <c r="J159" s="61" t="s">
        <v>63</v>
      </c>
      <c r="K159" s="26" t="s">
        <v>82</v>
      </c>
      <c r="L159" s="84">
        <v>79535.8</v>
      </c>
    </row>
    <row r="160" spans="4:13" ht="15.6" x14ac:dyDescent="0.3">
      <c r="D160" s="35">
        <f t="shared" si="15"/>
        <v>1000</v>
      </c>
      <c r="E160" s="99">
        <v>1</v>
      </c>
      <c r="F160" s="92">
        <v>2</v>
      </c>
      <c r="G160" s="51">
        <f t="shared" si="14"/>
        <v>818837.45868220751</v>
      </c>
      <c r="H160" s="51">
        <f>PRODUCT(L54:L62)</f>
        <v>1</v>
      </c>
      <c r="I160" s="63">
        <f t="shared" si="16"/>
        <v>1637674.917364415</v>
      </c>
      <c r="L160" s="80" t="s">
        <v>57</v>
      </c>
    </row>
    <row r="161" spans="1:12" ht="15.6" x14ac:dyDescent="0.3">
      <c r="D161" s="35">
        <f t="shared" si="15"/>
        <v>1100</v>
      </c>
      <c r="E161" s="99">
        <v>1</v>
      </c>
      <c r="F161" s="92">
        <v>2</v>
      </c>
      <c r="G161" s="51">
        <f t="shared" si="14"/>
        <v>1039152.8059736693</v>
      </c>
      <c r="H161" s="51">
        <f>PRODUCT(M54:M62)</f>
        <v>1</v>
      </c>
      <c r="I161" s="63">
        <f t="shared" si="16"/>
        <v>2078305.6119473386</v>
      </c>
      <c r="L161" s="102">
        <f>ABS(L158-L159)/L159</f>
        <v>5.7069881744761547E-4</v>
      </c>
    </row>
    <row r="162" spans="1:12" ht="15.6" x14ac:dyDescent="0.3">
      <c r="D162" s="35">
        <f t="shared" si="15"/>
        <v>1200</v>
      </c>
      <c r="E162" s="99">
        <v>1</v>
      </c>
      <c r="F162" s="92">
        <v>2</v>
      </c>
      <c r="G162" s="51">
        <f t="shared" si="14"/>
        <v>1291667.7515052971</v>
      </c>
      <c r="H162" s="51">
        <f>PRODUCT(N54:N62)</f>
        <v>1</v>
      </c>
      <c r="I162" s="63">
        <f t="shared" si="16"/>
        <v>2583335.5030105943</v>
      </c>
      <c r="J162" s="5" t="s">
        <v>83</v>
      </c>
    </row>
    <row r="163" spans="1:12" ht="15.6" x14ac:dyDescent="0.3">
      <c r="D163" s="35">
        <f t="shared" si="15"/>
        <v>1300</v>
      </c>
      <c r="E163" s="99">
        <v>1</v>
      </c>
      <c r="F163" s="92">
        <v>2</v>
      </c>
      <c r="G163" s="51">
        <f t="shared" si="14"/>
        <v>1577815.0073427462</v>
      </c>
      <c r="H163" s="51">
        <f>PRODUCT(O54:O62)</f>
        <v>1</v>
      </c>
      <c r="I163" s="63">
        <f t="shared" si="16"/>
        <v>3155630.0146854925</v>
      </c>
      <c r="J163" s="85">
        <f>L158/L159</f>
        <v>0.99942930118255235</v>
      </c>
    </row>
    <row r="164" spans="1:12" ht="15.6" x14ac:dyDescent="0.3">
      <c r="D164" s="35">
        <f t="shared" si="15"/>
        <v>1400</v>
      </c>
      <c r="E164" s="99">
        <v>1</v>
      </c>
      <c r="F164" s="92">
        <v>2</v>
      </c>
      <c r="G164" s="51">
        <f t="shared" si="14"/>
        <v>1898968.6321021579</v>
      </c>
      <c r="H164" s="51">
        <f>PRODUCT(P54:P62)</f>
        <v>1</v>
      </c>
      <c r="I164" s="63">
        <f t="shared" si="16"/>
        <v>3797937.2642043158</v>
      </c>
    </row>
    <row r="165" spans="1:12" ht="15.6" x14ac:dyDescent="0.3">
      <c r="D165" s="35">
        <f t="shared" si="15"/>
        <v>1500</v>
      </c>
      <c r="E165" s="99">
        <v>1</v>
      </c>
      <c r="F165" s="92">
        <v>2</v>
      </c>
      <c r="G165" s="51">
        <f t="shared" si="14"/>
        <v>2256450.7005548179</v>
      </c>
      <c r="H165" s="51">
        <f>PRODUCT(Q54:Q62)</f>
        <v>1</v>
      </c>
      <c r="I165" s="63">
        <f t="shared" si="16"/>
        <v>4512901.4011096358</v>
      </c>
    </row>
    <row r="166" spans="1:12" ht="15.6" x14ac:dyDescent="0.3">
      <c r="D166" s="35">
        <f t="shared" si="15"/>
        <v>1600</v>
      </c>
      <c r="E166" s="99">
        <v>1</v>
      </c>
      <c r="F166" s="92">
        <v>2</v>
      </c>
      <c r="G166" s="51">
        <f t="shared" si="14"/>
        <v>2651536.7965693804</v>
      </c>
      <c r="H166" s="51">
        <f>PRODUCT(R54:R62)</f>
        <v>1</v>
      </c>
      <c r="I166" s="63">
        <f t="shared" si="16"/>
        <v>5303073.5931387609</v>
      </c>
    </row>
    <row r="167" spans="1:12" ht="15.6" x14ac:dyDescent="0.3">
      <c r="D167" s="35">
        <f t="shared" si="15"/>
        <v>1700</v>
      </c>
      <c r="E167" s="99">
        <v>1</v>
      </c>
      <c r="F167" s="92">
        <v>2</v>
      </c>
      <c r="G167" s="51">
        <f t="shared" si="14"/>
        <v>3085460.6012042118</v>
      </c>
      <c r="H167" s="51">
        <f>PRODUCT(S54:S62)</f>
        <v>1</v>
      </c>
      <c r="I167" s="63">
        <f t="shared" si="16"/>
        <v>6170921.2024084236</v>
      </c>
    </row>
    <row r="168" spans="1:12" ht="15.6" x14ac:dyDescent="0.3">
      <c r="D168" s="35">
        <f t="shared" si="15"/>
        <v>1800</v>
      </c>
      <c r="E168" s="99">
        <v>1</v>
      </c>
      <c r="F168" s="92">
        <v>2</v>
      </c>
      <c r="G168" s="51">
        <f t="shared" si="14"/>
        <v>3559417.7719455184</v>
      </c>
      <c r="H168" s="51">
        <f>PRODUCT(T54:T62)</f>
        <v>1</v>
      </c>
      <c r="I168" s="63">
        <f t="shared" si="16"/>
        <v>7118835.5438910369</v>
      </c>
    </row>
    <row r="169" spans="1:12" ht="15.6" x14ac:dyDescent="0.3">
      <c r="D169" s="35">
        <f t="shared" si="15"/>
        <v>1900</v>
      </c>
      <c r="E169" s="99">
        <v>1</v>
      </c>
      <c r="F169" s="92">
        <v>2</v>
      </c>
      <c r="G169" s="51">
        <f t="shared" si="14"/>
        <v>4074569.2576352647</v>
      </c>
      <c r="H169" s="51">
        <f>PRODUCT(U54:U62)</f>
        <v>1</v>
      </c>
      <c r="I169" s="63">
        <f>PRODUCT(E169:H169)</f>
        <v>8149138.5152705293</v>
      </c>
    </row>
    <row r="170" spans="1:12" ht="15.6" x14ac:dyDescent="0.3">
      <c r="D170" s="35">
        <f t="shared" si="15"/>
        <v>2000</v>
      </c>
      <c r="E170" s="99">
        <v>1</v>
      </c>
      <c r="F170" s="92">
        <v>2</v>
      </c>
      <c r="G170" s="51">
        <f t="shared" si="14"/>
        <v>4632044.1577899996</v>
      </c>
      <c r="H170" s="51">
        <f>PRODUCT(V54:V62)</f>
        <v>1</v>
      </c>
      <c r="I170" s="63">
        <f t="shared" si="16"/>
        <v>9264088.3155799992</v>
      </c>
    </row>
    <row r="171" spans="1:12" ht="16.2" thickBot="1" x14ac:dyDescent="0.35">
      <c r="D171" s="26">
        <f t="shared" si="15"/>
        <v>2100</v>
      </c>
      <c r="E171" s="103">
        <v>1</v>
      </c>
      <c r="F171" s="104">
        <v>2</v>
      </c>
      <c r="G171" s="55">
        <f t="shared" si="14"/>
        <v>5232942.2094763611</v>
      </c>
      <c r="H171" s="55">
        <f>PRODUCT(W54:W62)</f>
        <v>1</v>
      </c>
      <c r="I171" s="65">
        <f t="shared" si="16"/>
        <v>10465884.418952722</v>
      </c>
    </row>
    <row r="174" spans="1:12" ht="15" thickBot="1" x14ac:dyDescent="0.35">
      <c r="A174" s="5" t="s">
        <v>84</v>
      </c>
      <c r="B174" s="196" t="s">
        <v>85</v>
      </c>
      <c r="C174" s="196"/>
      <c r="D174" s="196"/>
      <c r="E174" s="196"/>
      <c r="F174" s="196"/>
      <c r="G174" s="105"/>
      <c r="H174" s="196" t="s">
        <v>86</v>
      </c>
      <c r="I174" s="196"/>
      <c r="J174" s="196"/>
      <c r="K174" s="196"/>
    </row>
    <row r="175" spans="1:12" ht="18" x14ac:dyDescent="0.3">
      <c r="A175" s="5" t="s">
        <v>87</v>
      </c>
      <c r="B175" s="96" t="s">
        <v>46</v>
      </c>
      <c r="C175" s="16" t="s">
        <v>88</v>
      </c>
      <c r="D175" s="16" t="s">
        <v>36</v>
      </c>
      <c r="E175" s="16" t="s">
        <v>37</v>
      </c>
      <c r="F175" s="16" t="s">
        <v>89</v>
      </c>
      <c r="G175" s="105" t="s">
        <v>90</v>
      </c>
      <c r="H175" s="96" t="s">
        <v>46</v>
      </c>
      <c r="I175" s="16" t="s">
        <v>88</v>
      </c>
      <c r="J175" s="16" t="s">
        <v>36</v>
      </c>
      <c r="K175" s="16" t="s">
        <v>37</v>
      </c>
      <c r="L175" s="16" t="s">
        <v>89</v>
      </c>
    </row>
    <row r="176" spans="1:12" ht="15" thickBot="1" x14ac:dyDescent="0.35">
      <c r="B176" s="35">
        <f>298.15</f>
        <v>298.14999999999998</v>
      </c>
      <c r="C176" s="53">
        <f>3/2*$D$2*B176</f>
        <v>3718.4397401999995</v>
      </c>
      <c r="D176" s="53">
        <v>0</v>
      </c>
      <c r="E176" s="53">
        <f>D176</f>
        <v>0</v>
      </c>
      <c r="F176" s="56">
        <v>0</v>
      </c>
      <c r="H176" s="35">
        <f>298.15</f>
        <v>298.14999999999998</v>
      </c>
      <c r="I176" s="106">
        <f>3/2*$D$2*H176 /4184</f>
        <v>0.8887284273900572</v>
      </c>
      <c r="J176" s="106">
        <v>0</v>
      </c>
      <c r="K176" s="106">
        <f>E176</f>
        <v>0</v>
      </c>
      <c r="L176" s="107">
        <f xml:space="preserve"> F176/4184</f>
        <v>0</v>
      </c>
    </row>
    <row r="177" spans="2:14" x14ac:dyDescent="0.3">
      <c r="B177" s="35">
        <f>300+100</f>
        <v>400</v>
      </c>
      <c r="C177" s="53">
        <f t="shared" ref="C177:C194" si="17">3/2*$D$2*B177</f>
        <v>4988.6831999999995</v>
      </c>
      <c r="D177" s="53">
        <v>0</v>
      </c>
      <c r="E177" s="53">
        <f t="shared" ref="E177:E194" si="18">D177</f>
        <v>0</v>
      </c>
      <c r="H177" s="35">
        <f>300+100</f>
        <v>400</v>
      </c>
      <c r="I177" s="53">
        <f t="shared" ref="I177:I194" si="19">3/2*$D$2*H177 /4184</f>
        <v>1.1923239005736137</v>
      </c>
      <c r="J177" s="53">
        <v>0</v>
      </c>
      <c r="K177" s="53">
        <f>E177</f>
        <v>0</v>
      </c>
      <c r="M177" s="200" t="s">
        <v>91</v>
      </c>
      <c r="N177" s="200"/>
    </row>
    <row r="178" spans="2:14" ht="18.600000000000001" thickBot="1" x14ac:dyDescent="0.35">
      <c r="B178" s="35">
        <f t="shared" ref="B178:B194" si="20">B177+100</f>
        <v>500</v>
      </c>
      <c r="C178" s="53">
        <f t="shared" si="17"/>
        <v>6235.8539999999994</v>
      </c>
      <c r="D178" s="53">
        <v>0</v>
      </c>
      <c r="E178" s="53">
        <f t="shared" si="18"/>
        <v>0</v>
      </c>
      <c r="H178" s="35">
        <f t="shared" ref="H178:H194" si="21">H177+100</f>
        <v>500</v>
      </c>
      <c r="I178" s="53">
        <f t="shared" si="19"/>
        <v>1.490404875717017</v>
      </c>
      <c r="J178" s="53">
        <v>0</v>
      </c>
      <c r="K178" s="53">
        <f t="shared" ref="K178:K194" si="22">E178</f>
        <v>0</v>
      </c>
      <c r="M178" s="201" t="s">
        <v>92</v>
      </c>
      <c r="N178" s="201"/>
    </row>
    <row r="179" spans="2:14" x14ac:dyDescent="0.3">
      <c r="B179" s="35">
        <f t="shared" si="20"/>
        <v>600</v>
      </c>
      <c r="C179" s="53">
        <f t="shared" si="17"/>
        <v>7483.0248000000001</v>
      </c>
      <c r="D179" s="53">
        <v>0</v>
      </c>
      <c r="E179" s="53">
        <f t="shared" si="18"/>
        <v>0</v>
      </c>
      <c r="H179" s="35">
        <f t="shared" si="21"/>
        <v>600</v>
      </c>
      <c r="I179" s="53">
        <f t="shared" si="19"/>
        <v>1.7884858508604207</v>
      </c>
      <c r="J179" s="53">
        <v>0</v>
      </c>
      <c r="K179" s="53">
        <f t="shared" si="22"/>
        <v>0</v>
      </c>
      <c r="M179" s="38"/>
      <c r="N179" s="4" t="s">
        <v>28</v>
      </c>
    </row>
    <row r="180" spans="2:14" x14ac:dyDescent="0.3">
      <c r="B180" s="35">
        <f t="shared" si="20"/>
        <v>700</v>
      </c>
      <c r="C180" s="53">
        <f t="shared" si="17"/>
        <v>8730.1955999999991</v>
      </c>
      <c r="D180" s="53">
        <v>0</v>
      </c>
      <c r="E180" s="53">
        <f t="shared" si="18"/>
        <v>0</v>
      </c>
      <c r="H180" s="35">
        <f t="shared" si="21"/>
        <v>700</v>
      </c>
      <c r="I180" s="53">
        <f t="shared" si="19"/>
        <v>2.0865668260038239</v>
      </c>
      <c r="J180" s="53">
        <v>0</v>
      </c>
      <c r="K180" s="53">
        <f t="shared" si="22"/>
        <v>0</v>
      </c>
      <c r="M180" s="39"/>
      <c r="N180" s="41" t="s">
        <v>31</v>
      </c>
    </row>
    <row r="181" spans="2:14" x14ac:dyDescent="0.3">
      <c r="B181" s="35">
        <f t="shared" si="20"/>
        <v>800</v>
      </c>
      <c r="C181" s="53">
        <f t="shared" si="17"/>
        <v>9977.366399999999</v>
      </c>
      <c r="D181" s="53">
        <v>0</v>
      </c>
      <c r="E181" s="53">
        <f t="shared" si="18"/>
        <v>0</v>
      </c>
      <c r="H181" s="35">
        <f t="shared" si="21"/>
        <v>800</v>
      </c>
      <c r="I181" s="53">
        <f t="shared" si="19"/>
        <v>2.3846478011472274</v>
      </c>
      <c r="J181" s="53">
        <v>0</v>
      </c>
      <c r="K181" s="53">
        <f t="shared" si="22"/>
        <v>0</v>
      </c>
      <c r="M181" s="39" t="s">
        <v>33</v>
      </c>
      <c r="N181" s="42">
        <v>0.88900000000000001</v>
      </c>
    </row>
    <row r="182" spans="2:14" x14ac:dyDescent="0.3">
      <c r="B182" s="35">
        <f t="shared" si="20"/>
        <v>900</v>
      </c>
      <c r="C182" s="53">
        <f t="shared" si="17"/>
        <v>11224.537199999999</v>
      </c>
      <c r="D182" s="53">
        <v>0</v>
      </c>
      <c r="E182" s="53">
        <f t="shared" si="18"/>
        <v>0</v>
      </c>
      <c r="H182" s="35">
        <f t="shared" si="21"/>
        <v>900</v>
      </c>
      <c r="I182" s="53">
        <f t="shared" si="19"/>
        <v>2.6827287762906309</v>
      </c>
      <c r="J182" s="53">
        <v>0</v>
      </c>
      <c r="K182" s="53">
        <f t="shared" si="22"/>
        <v>0</v>
      </c>
      <c r="M182" s="39" t="s">
        <v>34</v>
      </c>
      <c r="N182" s="42">
        <v>0</v>
      </c>
    </row>
    <row r="183" spans="2:14" x14ac:dyDescent="0.3">
      <c r="B183" s="35">
        <f t="shared" si="20"/>
        <v>1000</v>
      </c>
      <c r="C183" s="53">
        <f t="shared" si="17"/>
        <v>12471.707999999999</v>
      </c>
      <c r="D183" s="53">
        <v>0</v>
      </c>
      <c r="E183" s="53">
        <f t="shared" si="18"/>
        <v>0</v>
      </c>
      <c r="H183" s="35">
        <f t="shared" si="21"/>
        <v>1000</v>
      </c>
      <c r="I183" s="53">
        <f t="shared" si="19"/>
        <v>2.9808097514340339</v>
      </c>
      <c r="J183" s="53">
        <v>0</v>
      </c>
      <c r="K183" s="53">
        <f t="shared" si="22"/>
        <v>0</v>
      </c>
      <c r="M183" s="39" t="s">
        <v>35</v>
      </c>
      <c r="N183" s="42">
        <v>0.88900000000000001</v>
      </c>
    </row>
    <row r="184" spans="2:14" x14ac:dyDescent="0.3">
      <c r="B184" s="35">
        <f t="shared" si="20"/>
        <v>1100</v>
      </c>
      <c r="C184" s="53">
        <f t="shared" si="17"/>
        <v>13718.8788</v>
      </c>
      <c r="D184" s="53">
        <v>0</v>
      </c>
      <c r="E184" s="53">
        <f t="shared" si="18"/>
        <v>0</v>
      </c>
      <c r="H184" s="35">
        <f t="shared" si="21"/>
        <v>1100</v>
      </c>
      <c r="I184" s="53">
        <f t="shared" si="19"/>
        <v>3.2788907265774379</v>
      </c>
      <c r="J184" s="53">
        <v>0</v>
      </c>
      <c r="K184" s="53">
        <f t="shared" si="22"/>
        <v>0</v>
      </c>
      <c r="M184" s="39" t="s">
        <v>36</v>
      </c>
      <c r="N184" s="42">
        <v>0</v>
      </c>
    </row>
    <row r="185" spans="2:14" ht="15" thickBot="1" x14ac:dyDescent="0.35">
      <c r="B185" s="35">
        <f t="shared" si="20"/>
        <v>1200</v>
      </c>
      <c r="C185" s="53">
        <f t="shared" si="17"/>
        <v>14966.0496</v>
      </c>
      <c r="D185" s="53">
        <v>0</v>
      </c>
      <c r="E185" s="53">
        <f t="shared" si="18"/>
        <v>0</v>
      </c>
      <c r="H185" s="35">
        <f t="shared" si="21"/>
        <v>1200</v>
      </c>
      <c r="I185" s="53">
        <f t="shared" si="19"/>
        <v>3.5769717017208413</v>
      </c>
      <c r="J185" s="53">
        <v>0</v>
      </c>
      <c r="K185" s="53">
        <f t="shared" si="22"/>
        <v>0</v>
      </c>
      <c r="M185" s="43" t="s">
        <v>37</v>
      </c>
      <c r="N185" s="44">
        <v>0</v>
      </c>
    </row>
    <row r="186" spans="2:14" x14ac:dyDescent="0.3">
      <c r="B186" s="35">
        <f t="shared" si="20"/>
        <v>1300</v>
      </c>
      <c r="C186" s="53">
        <f t="shared" si="17"/>
        <v>16213.2204</v>
      </c>
      <c r="D186" s="53">
        <v>0</v>
      </c>
      <c r="E186" s="53">
        <f t="shared" si="18"/>
        <v>0</v>
      </c>
      <c r="H186" s="35">
        <f t="shared" si="21"/>
        <v>1300</v>
      </c>
      <c r="I186" s="53">
        <f t="shared" si="19"/>
        <v>3.8750526768642448</v>
      </c>
      <c r="J186" s="53">
        <v>0</v>
      </c>
      <c r="K186" s="53">
        <f t="shared" si="22"/>
        <v>0</v>
      </c>
      <c r="N186" s="46"/>
    </row>
    <row r="187" spans="2:14" x14ac:dyDescent="0.3">
      <c r="B187" s="35">
        <f t="shared" si="20"/>
        <v>1400</v>
      </c>
      <c r="C187" s="53">
        <f t="shared" si="17"/>
        <v>17460.391199999998</v>
      </c>
      <c r="D187" s="53">
        <v>0</v>
      </c>
      <c r="E187" s="53">
        <f t="shared" si="18"/>
        <v>0</v>
      </c>
      <c r="H187" s="35">
        <f t="shared" si="21"/>
        <v>1400</v>
      </c>
      <c r="I187" s="53">
        <f t="shared" si="19"/>
        <v>4.1731336520076479</v>
      </c>
      <c r="J187" s="53">
        <v>0</v>
      </c>
      <c r="K187" s="53">
        <f t="shared" si="22"/>
        <v>0</v>
      </c>
    </row>
    <row r="188" spans="2:14" ht="15" thickBot="1" x14ac:dyDescent="0.35">
      <c r="B188" s="35">
        <f t="shared" si="20"/>
        <v>1500</v>
      </c>
      <c r="C188" s="53">
        <f t="shared" si="17"/>
        <v>18707.561999999998</v>
      </c>
      <c r="D188" s="53">
        <v>0</v>
      </c>
      <c r="E188" s="53">
        <f t="shared" si="18"/>
        <v>0</v>
      </c>
      <c r="H188" s="35">
        <f t="shared" si="21"/>
        <v>1500</v>
      </c>
      <c r="I188" s="53">
        <f t="shared" si="19"/>
        <v>4.4712146271510509</v>
      </c>
      <c r="J188" s="53">
        <v>0</v>
      </c>
      <c r="K188" s="53">
        <f t="shared" si="22"/>
        <v>0</v>
      </c>
    </row>
    <row r="189" spans="2:14" ht="15" thickBot="1" x14ac:dyDescent="0.35">
      <c r="B189" s="35">
        <f t="shared" si="20"/>
        <v>1600</v>
      </c>
      <c r="C189" s="53">
        <f t="shared" si="17"/>
        <v>19954.732799999998</v>
      </c>
      <c r="D189" s="53">
        <v>0</v>
      </c>
      <c r="E189" s="53">
        <f t="shared" si="18"/>
        <v>0</v>
      </c>
      <c r="H189" s="35">
        <f t="shared" si="21"/>
        <v>1600</v>
      </c>
      <c r="I189" s="53">
        <f t="shared" si="19"/>
        <v>4.7692956022944548</v>
      </c>
      <c r="J189" s="53">
        <v>0</v>
      </c>
      <c r="K189" s="53">
        <f t="shared" si="22"/>
        <v>0</v>
      </c>
      <c r="M189" s="30" t="s">
        <v>93</v>
      </c>
      <c r="N189" s="108">
        <f>SUM(I176:L176)</f>
        <v>0.8887284273900572</v>
      </c>
    </row>
    <row r="190" spans="2:14" x14ac:dyDescent="0.3">
      <c r="B190" s="35">
        <f t="shared" si="20"/>
        <v>1700</v>
      </c>
      <c r="C190" s="53">
        <f t="shared" si="17"/>
        <v>21201.903599999998</v>
      </c>
      <c r="D190" s="53">
        <v>0</v>
      </c>
      <c r="E190" s="53">
        <f t="shared" si="18"/>
        <v>0</v>
      </c>
      <c r="H190" s="35">
        <f t="shared" si="21"/>
        <v>1700</v>
      </c>
      <c r="I190" s="53">
        <f t="shared" si="19"/>
        <v>5.0673765774378579</v>
      </c>
      <c r="J190" s="53">
        <v>0</v>
      </c>
      <c r="K190" s="53">
        <f t="shared" si="22"/>
        <v>0</v>
      </c>
    </row>
    <row r="191" spans="2:14" x14ac:dyDescent="0.3">
      <c r="B191" s="35">
        <f t="shared" si="20"/>
        <v>1800</v>
      </c>
      <c r="C191" s="53">
        <f t="shared" si="17"/>
        <v>22449.074399999998</v>
      </c>
      <c r="D191" s="53">
        <v>0</v>
      </c>
      <c r="E191" s="53">
        <f t="shared" si="18"/>
        <v>0</v>
      </c>
      <c r="H191" s="35">
        <f t="shared" si="21"/>
        <v>1800</v>
      </c>
      <c r="I191" s="53">
        <f t="shared" si="19"/>
        <v>5.3654575525812618</v>
      </c>
      <c r="J191" s="53">
        <v>0</v>
      </c>
      <c r="K191" s="53">
        <f t="shared" si="22"/>
        <v>0</v>
      </c>
    </row>
    <row r="192" spans="2:14" x14ac:dyDescent="0.3">
      <c r="B192" s="35">
        <f t="shared" si="20"/>
        <v>1900</v>
      </c>
      <c r="C192" s="53">
        <f t="shared" si="17"/>
        <v>23696.245199999998</v>
      </c>
      <c r="D192" s="53">
        <v>0</v>
      </c>
      <c r="E192" s="53">
        <f t="shared" si="18"/>
        <v>0</v>
      </c>
      <c r="H192" s="35">
        <f t="shared" si="21"/>
        <v>1900</v>
      </c>
      <c r="I192" s="53">
        <f t="shared" si="19"/>
        <v>5.6635385277246648</v>
      </c>
      <c r="J192" s="53">
        <v>0</v>
      </c>
      <c r="K192" s="53">
        <f t="shared" si="22"/>
        <v>0</v>
      </c>
    </row>
    <row r="193" spans="1:15" x14ac:dyDescent="0.3">
      <c r="B193" s="35">
        <f t="shared" si="20"/>
        <v>2000</v>
      </c>
      <c r="C193" s="53">
        <f t="shared" si="17"/>
        <v>24943.415999999997</v>
      </c>
      <c r="D193" s="53">
        <v>0</v>
      </c>
      <c r="E193" s="53">
        <f t="shared" si="18"/>
        <v>0</v>
      </c>
      <c r="H193" s="35">
        <f t="shared" si="21"/>
        <v>2000</v>
      </c>
      <c r="I193" s="53">
        <f t="shared" si="19"/>
        <v>5.9616195028680679</v>
      </c>
      <c r="J193" s="53">
        <v>0</v>
      </c>
      <c r="K193" s="53">
        <f t="shared" si="22"/>
        <v>0</v>
      </c>
    </row>
    <row r="194" spans="1:15" ht="15" thickBot="1" x14ac:dyDescent="0.35">
      <c r="B194" s="26">
        <f t="shared" si="20"/>
        <v>2100</v>
      </c>
      <c r="C194" s="56">
        <f t="shared" si="17"/>
        <v>26190.586799999997</v>
      </c>
      <c r="D194" s="56">
        <v>0</v>
      </c>
      <c r="E194" s="56">
        <f t="shared" si="18"/>
        <v>0</v>
      </c>
      <c r="F194" s="51"/>
      <c r="H194" s="26">
        <f t="shared" si="21"/>
        <v>2100</v>
      </c>
      <c r="I194" s="56">
        <f t="shared" si="19"/>
        <v>6.2597004780114718</v>
      </c>
      <c r="J194" s="56">
        <v>0</v>
      </c>
      <c r="K194" s="56">
        <f t="shared" si="22"/>
        <v>0</v>
      </c>
      <c r="L194" s="51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0" t="s">
        <v>94</v>
      </c>
    </row>
    <row r="198" spans="1:15" ht="16.8" thickBot="1" x14ac:dyDescent="0.35">
      <c r="B198" s="109" t="s">
        <v>95</v>
      </c>
      <c r="C198" s="110">
        <f xml:space="preserve"> ($C$2*$C$2) /(8*$B$2*$B$2*$A$2*$H$198)</f>
        <v>1.222890457844473</v>
      </c>
      <c r="F198" s="35"/>
      <c r="H198" s="5">
        <f>SQRT(E6*E6+F6*F6+G6*G6)</f>
        <v>3.2935734495583509E-46</v>
      </c>
      <c r="I198" s="36" t="s">
        <v>96</v>
      </c>
      <c r="K198" s="25">
        <v>1.18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97</v>
      </c>
      <c r="B200" s="196" t="s">
        <v>98</v>
      </c>
      <c r="C200" s="196"/>
      <c r="D200" s="196"/>
      <c r="E200" s="196"/>
      <c r="F200" s="196"/>
      <c r="H200" s="196" t="s">
        <v>99</v>
      </c>
      <c r="I200" s="196"/>
      <c r="J200" s="196"/>
      <c r="K200" s="196"/>
      <c r="L200" s="196"/>
    </row>
    <row r="201" spans="1:15" ht="18" x14ac:dyDescent="0.3">
      <c r="A201" s="5" t="s">
        <v>98</v>
      </c>
      <c r="B201" s="95" t="s">
        <v>46</v>
      </c>
      <c r="C201" s="16" t="s">
        <v>100</v>
      </c>
      <c r="D201" s="16" t="s">
        <v>88</v>
      </c>
      <c r="E201" s="16" t="s">
        <v>36</v>
      </c>
      <c r="F201" s="16" t="s">
        <v>37</v>
      </c>
      <c r="G201" s="16" t="s">
        <v>89</v>
      </c>
      <c r="H201" s="95" t="s">
        <v>46</v>
      </c>
      <c r="I201" s="16" t="s">
        <v>88</v>
      </c>
      <c r="J201" s="16" t="s">
        <v>36</v>
      </c>
      <c r="K201" s="16" t="s">
        <v>37</v>
      </c>
      <c r="L201" s="16" t="s">
        <v>89</v>
      </c>
      <c r="O201" s="80"/>
    </row>
    <row r="202" spans="1:15" ht="15" thickBot="1" x14ac:dyDescent="0.35">
      <c r="B202" s="35">
        <f>298.15</f>
        <v>298.14999999999998</v>
      </c>
      <c r="C202" s="53">
        <f>($A$2*B202)/$J$2</f>
        <v>4.062431680236861E-26</v>
      </c>
      <c r="D202" s="111">
        <f xml:space="preserve"> $D$2 *( 5/2  +   LN(  ((2*$B$2*$E$2*$A$2*B202)/($C$2*$C$2) )^1.5  * ($D$2*B202 )/($F$2*$J$2)  ) )</f>
        <v>108.83877560341737</v>
      </c>
      <c r="E202" s="53">
        <v>0</v>
      </c>
      <c r="F202" s="53">
        <f>0</f>
        <v>0</v>
      </c>
      <c r="G202" s="56">
        <f>$D$2*LN(K198)</f>
        <v>1.3761651643175061</v>
      </c>
      <c r="H202" s="35">
        <f>298.15</f>
        <v>298.14999999999998</v>
      </c>
      <c r="I202" s="106">
        <f xml:space="preserve"> $D$2 *( 5/2  +   LN(  ((2*$B$2*$E$2*$A$2*B202)/($C$2*$C$2) )^1.5  * ($D$2*B202 )/($F$2*$J$2)  ) ) / 4.184</f>
        <v>26.013091683417155</v>
      </c>
      <c r="J202" s="106">
        <v>0</v>
      </c>
      <c r="K202" s="106">
        <f>F202</f>
        <v>0</v>
      </c>
      <c r="L202" s="112">
        <f>$D$2*LN(K198)</f>
        <v>1.3761651643175061</v>
      </c>
      <c r="O202" s="80"/>
    </row>
    <row r="203" spans="1:15" x14ac:dyDescent="0.3">
      <c r="B203" s="35">
        <f>300+100</f>
        <v>400</v>
      </c>
      <c r="C203" s="53">
        <f t="shared" ref="C203:C220" si="23">($A$2*B203)/$J$2</f>
        <v>5.4501850481125095E-26</v>
      </c>
      <c r="D203" s="111">
        <f t="shared" ref="D203:D220" si="24" xml:space="preserve"> $D$2 *( 5/2  +   LN(  ((2*$B$2*$E$2*$A$2*B203)/($C$2*$C$2) )^1.5  * ($D$2*B203 )/($F$2*$J$2)  ) )</f>
        <v>114.9471652459938</v>
      </c>
      <c r="E203" s="53">
        <v>0</v>
      </c>
      <c r="F203" s="53">
        <f>0</f>
        <v>0</v>
      </c>
      <c r="H203" s="35">
        <f>300+100</f>
        <v>400</v>
      </c>
      <c r="I203" s="111">
        <f xml:space="preserve"> $D$2 *( 5/2  +   LN(  ((2*$B$2*$E$2*$A$2*B203)/($C$2*$C$2) )^1.5  * ($D$2*B203 )/($F$2*$J$2)  ) )/ 4.184</f>
        <v>27.473031846556836</v>
      </c>
      <c r="J203" s="53">
        <v>0</v>
      </c>
      <c r="K203" s="53">
        <f>F203</f>
        <v>0</v>
      </c>
      <c r="O203" s="46"/>
    </row>
    <row r="204" spans="1:15" ht="18" x14ac:dyDescent="0.3">
      <c r="B204" s="35">
        <f t="shared" ref="B204:B220" si="25">B203+100</f>
        <v>500</v>
      </c>
      <c r="C204" s="53">
        <f t="shared" si="23"/>
        <v>6.8127313101406362E-26</v>
      </c>
      <c r="D204" s="111">
        <f t="shared" si="24"/>
        <v>119.58546726945025</v>
      </c>
      <c r="E204" s="53">
        <v>0</v>
      </c>
      <c r="F204" s="53">
        <f>0</f>
        <v>0</v>
      </c>
      <c r="H204" s="35">
        <f t="shared" ref="H204:H220" si="26">H203+100</f>
        <v>500</v>
      </c>
      <c r="I204" s="111">
        <f t="shared" ref="I204:I220" si="27" xml:space="preserve"> $D$2 *( 5/2  +   LN(  ((2*$B$2*$E$2*$A$2*B204)/($C$2*$C$2) )^1.5  * ($D$2*B204 )/($F$2*$J$2)  ) )/ 4.184</f>
        <v>28.581612636101873</v>
      </c>
      <c r="J204" s="53">
        <v>0</v>
      </c>
      <c r="K204" s="53">
        <f t="shared" ref="K204:K220" si="28">F204</f>
        <v>0</v>
      </c>
      <c r="M204" s="202"/>
      <c r="N204" s="202"/>
      <c r="O204" s="46"/>
    </row>
    <row r="205" spans="1:15" ht="18.600000000000001" thickBot="1" x14ac:dyDescent="0.35">
      <c r="B205" s="35">
        <f t="shared" si="25"/>
        <v>600</v>
      </c>
      <c r="C205" s="53">
        <f t="shared" si="23"/>
        <v>8.175277572168763E-26</v>
      </c>
      <c r="D205" s="111">
        <f t="shared" si="24"/>
        <v>123.37523596684963</v>
      </c>
      <c r="E205" s="53">
        <v>0</v>
      </c>
      <c r="F205" s="53">
        <f>0</f>
        <v>0</v>
      </c>
      <c r="H205" s="35">
        <f t="shared" si="26"/>
        <v>600</v>
      </c>
      <c r="I205" s="111">
        <f t="shared" si="27"/>
        <v>29.487389093415302</v>
      </c>
      <c r="J205" s="53">
        <v>0</v>
      </c>
      <c r="K205" s="53">
        <f t="shared" si="28"/>
        <v>0</v>
      </c>
      <c r="M205" s="202" t="s">
        <v>92</v>
      </c>
      <c r="N205" s="202"/>
      <c r="O205" s="46"/>
    </row>
    <row r="206" spans="1:15" x14ac:dyDescent="0.3">
      <c r="B206" s="35">
        <f t="shared" si="25"/>
        <v>700</v>
      </c>
      <c r="C206" s="53">
        <f t="shared" si="23"/>
        <v>9.5378238341968898E-26</v>
      </c>
      <c r="D206" s="111">
        <f t="shared" si="24"/>
        <v>126.57943974486139</v>
      </c>
      <c r="E206" s="53">
        <v>0</v>
      </c>
      <c r="F206" s="53">
        <f>0</f>
        <v>0</v>
      </c>
      <c r="H206" s="35">
        <f t="shared" si="26"/>
        <v>700</v>
      </c>
      <c r="I206" s="111">
        <f t="shared" si="27"/>
        <v>30.253212176114097</v>
      </c>
      <c r="J206" s="53">
        <v>0</v>
      </c>
      <c r="K206" s="53">
        <f t="shared" si="28"/>
        <v>0</v>
      </c>
      <c r="M206" s="38"/>
      <c r="N206" s="4" t="s">
        <v>30</v>
      </c>
      <c r="O206" s="46"/>
    </row>
    <row r="207" spans="1:15" x14ac:dyDescent="0.3">
      <c r="B207" s="35">
        <f t="shared" si="25"/>
        <v>800</v>
      </c>
      <c r="C207" s="53">
        <f t="shared" si="23"/>
        <v>1.0900370096225019E-25</v>
      </c>
      <c r="D207" s="111">
        <f t="shared" si="24"/>
        <v>129.35504730760536</v>
      </c>
      <c r="E207" s="53">
        <v>0</v>
      </c>
      <c r="F207" s="53">
        <f>0</f>
        <v>0</v>
      </c>
      <c r="H207" s="35">
        <f t="shared" si="26"/>
        <v>800</v>
      </c>
      <c r="I207" s="111">
        <f t="shared" si="27"/>
        <v>30.916598304876999</v>
      </c>
      <c r="J207" s="53">
        <v>0</v>
      </c>
      <c r="K207" s="53">
        <f t="shared" si="28"/>
        <v>0</v>
      </c>
      <c r="M207" s="39"/>
      <c r="N207" s="41" t="s">
        <v>32</v>
      </c>
      <c r="O207" s="46"/>
    </row>
    <row r="208" spans="1:15" x14ac:dyDescent="0.3">
      <c r="B208" s="35">
        <f t="shared" si="25"/>
        <v>900</v>
      </c>
      <c r="C208" s="53">
        <f t="shared" si="23"/>
        <v>1.2262916358253145E-25</v>
      </c>
      <c r="D208" s="111">
        <f t="shared" si="24"/>
        <v>131.80330668770546</v>
      </c>
      <c r="E208" s="53">
        <v>0</v>
      </c>
      <c r="F208" s="53">
        <f>0</f>
        <v>0</v>
      </c>
      <c r="H208" s="35">
        <f t="shared" si="26"/>
        <v>900</v>
      </c>
      <c r="I208" s="111">
        <f t="shared" si="27"/>
        <v>31.501746340273769</v>
      </c>
      <c r="J208" s="53">
        <v>0</v>
      </c>
      <c r="K208" s="53">
        <f t="shared" si="28"/>
        <v>0</v>
      </c>
      <c r="M208" s="39" t="s">
        <v>33</v>
      </c>
      <c r="N208" s="41">
        <v>27.391999999999999</v>
      </c>
      <c r="O208" s="46"/>
    </row>
    <row r="209" spans="1:14" x14ac:dyDescent="0.3">
      <c r="B209" s="35">
        <f t="shared" si="25"/>
        <v>1000</v>
      </c>
      <c r="C209" s="53">
        <f t="shared" si="23"/>
        <v>1.3625462620281272E-25</v>
      </c>
      <c r="D209" s="111">
        <f t="shared" si="24"/>
        <v>133.99334933106181</v>
      </c>
      <c r="E209" s="53">
        <v>0</v>
      </c>
      <c r="F209" s="53">
        <f>0</f>
        <v>0</v>
      </c>
      <c r="H209" s="35">
        <f t="shared" si="26"/>
        <v>1000</v>
      </c>
      <c r="I209" s="111">
        <f t="shared" si="27"/>
        <v>32.025179094422036</v>
      </c>
      <c r="J209" s="53">
        <v>0</v>
      </c>
      <c r="K209" s="53">
        <f t="shared" si="28"/>
        <v>0</v>
      </c>
      <c r="M209" s="39" t="s">
        <v>34</v>
      </c>
      <c r="N209" s="41">
        <v>1.377</v>
      </c>
    </row>
    <row r="210" spans="1:14" x14ac:dyDescent="0.3">
      <c r="B210" s="35">
        <f t="shared" si="25"/>
        <v>1100</v>
      </c>
      <c r="C210" s="53">
        <f t="shared" si="23"/>
        <v>1.4988008882309398E-25</v>
      </c>
      <c r="D210" s="111">
        <f t="shared" si="24"/>
        <v>135.97448388430692</v>
      </c>
      <c r="E210" s="53">
        <v>0</v>
      </c>
      <c r="F210" s="53">
        <f>0</f>
        <v>0</v>
      </c>
      <c r="H210" s="35">
        <f t="shared" si="26"/>
        <v>1100</v>
      </c>
      <c r="I210" s="111">
        <f t="shared" si="27"/>
        <v>32.498681616708154</v>
      </c>
      <c r="J210" s="53">
        <v>0</v>
      </c>
      <c r="K210" s="53">
        <f t="shared" si="28"/>
        <v>0</v>
      </c>
      <c r="M210" s="39" t="s">
        <v>35</v>
      </c>
      <c r="N210" s="41">
        <v>26.013999999999999</v>
      </c>
    </row>
    <row r="211" spans="1:14" x14ac:dyDescent="0.3">
      <c r="A211" s="51"/>
      <c r="B211" s="35">
        <f t="shared" si="25"/>
        <v>1200</v>
      </c>
      <c r="C211" s="53">
        <f t="shared" si="23"/>
        <v>1.6350555144337526E-25</v>
      </c>
      <c r="D211" s="111">
        <f t="shared" si="24"/>
        <v>137.78311802846119</v>
      </c>
      <c r="E211" s="53">
        <v>0</v>
      </c>
      <c r="F211" s="53">
        <f>0</f>
        <v>0</v>
      </c>
      <c r="H211" s="35">
        <f t="shared" si="26"/>
        <v>1200</v>
      </c>
      <c r="I211" s="111">
        <f t="shared" si="27"/>
        <v>32.930955551735465</v>
      </c>
      <c r="J211" s="53">
        <v>0</v>
      </c>
      <c r="K211" s="53">
        <f t="shared" si="28"/>
        <v>0</v>
      </c>
      <c r="M211" s="39" t="s">
        <v>36</v>
      </c>
      <c r="N211" s="41">
        <v>0</v>
      </c>
    </row>
    <row r="212" spans="1:14" ht="15" thickBot="1" x14ac:dyDescent="0.35">
      <c r="B212" s="35">
        <f t="shared" si="25"/>
        <v>1300</v>
      </c>
      <c r="C212" s="53">
        <f t="shared" si="23"/>
        <v>1.7713101406365654E-25</v>
      </c>
      <c r="D212" s="111">
        <f t="shared" si="24"/>
        <v>139.44690015785071</v>
      </c>
      <c r="E212" s="53">
        <v>0</v>
      </c>
      <c r="F212" s="53">
        <f>0</f>
        <v>0</v>
      </c>
      <c r="H212" s="35">
        <f t="shared" si="26"/>
        <v>1300</v>
      </c>
      <c r="I212" s="111">
        <f t="shared" si="27"/>
        <v>33.328609024342903</v>
      </c>
      <c r="J212" s="53">
        <v>0</v>
      </c>
      <c r="K212" s="53">
        <f t="shared" si="28"/>
        <v>0</v>
      </c>
      <c r="M212" s="43" t="s">
        <v>37</v>
      </c>
      <c r="N212" s="45">
        <v>0</v>
      </c>
    </row>
    <row r="213" spans="1:14" x14ac:dyDescent="0.3">
      <c r="B213" s="35">
        <f t="shared" si="25"/>
        <v>1400</v>
      </c>
      <c r="C213" s="53">
        <f t="shared" si="23"/>
        <v>1.907564766839378E-25</v>
      </c>
      <c r="D213" s="111">
        <f t="shared" si="24"/>
        <v>140.98732180647292</v>
      </c>
      <c r="E213" s="53">
        <v>0</v>
      </c>
      <c r="F213" s="53">
        <f>0</f>
        <v>0</v>
      </c>
      <c r="H213" s="35">
        <f t="shared" si="26"/>
        <v>1400</v>
      </c>
      <c r="I213" s="111">
        <f t="shared" si="27"/>
        <v>33.696778634434253</v>
      </c>
      <c r="J213" s="53">
        <v>0</v>
      </c>
      <c r="K213" s="53">
        <f t="shared" si="28"/>
        <v>0</v>
      </c>
    </row>
    <row r="214" spans="1:14" x14ac:dyDescent="0.3">
      <c r="B214" s="35">
        <f t="shared" si="25"/>
        <v>1500</v>
      </c>
      <c r="C214" s="53">
        <f t="shared" si="23"/>
        <v>2.0438193930421908E-25</v>
      </c>
      <c r="D214" s="111">
        <f t="shared" si="24"/>
        <v>142.42142005191764</v>
      </c>
      <c r="E214" s="53">
        <v>0</v>
      </c>
      <c r="F214" s="53">
        <f>0</f>
        <v>0</v>
      </c>
      <c r="H214" s="35">
        <f t="shared" si="26"/>
        <v>1500</v>
      </c>
      <c r="I214" s="111">
        <f t="shared" si="27"/>
        <v>34.039536341280503</v>
      </c>
      <c r="J214" s="53">
        <v>0</v>
      </c>
      <c r="K214" s="53">
        <f t="shared" si="28"/>
        <v>0</v>
      </c>
    </row>
    <row r="215" spans="1:14" x14ac:dyDescent="0.3">
      <c r="B215" s="35">
        <f t="shared" si="25"/>
        <v>1600</v>
      </c>
      <c r="C215" s="53">
        <f t="shared" si="23"/>
        <v>2.1800740192450038E-25</v>
      </c>
      <c r="D215" s="111">
        <f t="shared" si="24"/>
        <v>143.76292936921692</v>
      </c>
      <c r="E215" s="53">
        <v>0</v>
      </c>
      <c r="F215" s="53">
        <f>0</f>
        <v>0</v>
      </c>
      <c r="H215" s="35">
        <f t="shared" si="26"/>
        <v>1600</v>
      </c>
      <c r="I215" s="111">
        <f t="shared" si="27"/>
        <v>34.360164763197162</v>
      </c>
      <c r="J215" s="53">
        <v>0</v>
      </c>
      <c r="K215" s="53">
        <f t="shared" si="28"/>
        <v>0</v>
      </c>
      <c r="M215" s="5" t="s">
        <v>93</v>
      </c>
      <c r="N215" s="113">
        <f>SUM(I202:L202)</f>
        <v>27.389256847734661</v>
      </c>
    </row>
    <row r="216" spans="1:14" x14ac:dyDescent="0.3">
      <c r="B216" s="35">
        <f t="shared" si="25"/>
        <v>1700</v>
      </c>
      <c r="C216" s="53">
        <f t="shared" si="23"/>
        <v>2.3163286454478159E-25</v>
      </c>
      <c r="D216" s="111">
        <f t="shared" si="24"/>
        <v>145.0230836707253</v>
      </c>
      <c r="E216" s="53">
        <v>0</v>
      </c>
      <c r="F216" s="53">
        <f>0</f>
        <v>0</v>
      </c>
      <c r="H216" s="35">
        <f t="shared" si="26"/>
        <v>1700</v>
      </c>
      <c r="I216" s="111">
        <f t="shared" si="27"/>
        <v>34.661348869676218</v>
      </c>
      <c r="J216" s="53">
        <v>0</v>
      </c>
      <c r="K216" s="53">
        <f t="shared" si="28"/>
        <v>0</v>
      </c>
    </row>
    <row r="217" spans="1:14" x14ac:dyDescent="0.3">
      <c r="B217" s="35">
        <f t="shared" si="25"/>
        <v>1800</v>
      </c>
      <c r="C217" s="53">
        <f t="shared" si="23"/>
        <v>2.4525832716506289E-25</v>
      </c>
      <c r="D217" s="111">
        <f t="shared" si="24"/>
        <v>146.21118874931688</v>
      </c>
      <c r="E217" s="53">
        <v>0</v>
      </c>
      <c r="F217" s="53">
        <f>0</f>
        <v>0</v>
      </c>
      <c r="H217" s="35">
        <f t="shared" si="26"/>
        <v>1800</v>
      </c>
      <c r="I217" s="111">
        <f t="shared" si="27"/>
        <v>34.945312798593896</v>
      </c>
      <c r="J217" s="53">
        <v>0</v>
      </c>
      <c r="K217" s="53">
        <f t="shared" si="28"/>
        <v>0</v>
      </c>
    </row>
    <row r="218" spans="1:14" x14ac:dyDescent="0.3">
      <c r="B218" s="35">
        <f t="shared" si="25"/>
        <v>1900</v>
      </c>
      <c r="C218" s="53">
        <f t="shared" si="23"/>
        <v>2.5888378978534419E-25</v>
      </c>
      <c r="D218" s="111">
        <f t="shared" si="24"/>
        <v>147.33503974274069</v>
      </c>
      <c r="E218" s="53">
        <v>0</v>
      </c>
      <c r="F218" s="53">
        <f>0</f>
        <v>0</v>
      </c>
      <c r="H218" s="35">
        <f t="shared" si="26"/>
        <v>1900</v>
      </c>
      <c r="I218" s="111">
        <f t="shared" si="27"/>
        <v>35.213919632586205</v>
      </c>
      <c r="J218" s="53">
        <v>0</v>
      </c>
      <c r="K218" s="53">
        <f t="shared" si="28"/>
        <v>0</v>
      </c>
    </row>
    <row r="219" spans="1:14" x14ac:dyDescent="0.3">
      <c r="B219" s="35">
        <f t="shared" si="25"/>
        <v>2000</v>
      </c>
      <c r="C219" s="53">
        <f t="shared" si="23"/>
        <v>2.7250925240562545E-25</v>
      </c>
      <c r="D219" s="111">
        <f t="shared" si="24"/>
        <v>148.40123139267337</v>
      </c>
      <c r="E219" s="53">
        <v>0</v>
      </c>
      <c r="F219" s="53">
        <f>0</f>
        <v>0</v>
      </c>
      <c r="H219" s="35">
        <f t="shared" si="26"/>
        <v>2000</v>
      </c>
      <c r="I219" s="111">
        <f t="shared" si="27"/>
        <v>35.468745552742199</v>
      </c>
      <c r="J219" s="53">
        <v>0</v>
      </c>
      <c r="K219" s="53">
        <f t="shared" si="28"/>
        <v>0</v>
      </c>
    </row>
    <row r="220" spans="1:14" ht="15" thickBot="1" x14ac:dyDescent="0.35">
      <c r="B220" s="26">
        <f t="shared" si="25"/>
        <v>2100</v>
      </c>
      <c r="C220" s="56">
        <f t="shared" si="23"/>
        <v>2.8613471502590675E-25</v>
      </c>
      <c r="D220" s="114">
        <f t="shared" si="24"/>
        <v>149.41539252732866</v>
      </c>
      <c r="E220" s="56">
        <v>0</v>
      </c>
      <c r="F220" s="56">
        <f>0</f>
        <v>0</v>
      </c>
      <c r="G220" s="51"/>
      <c r="H220" s="26">
        <f t="shared" si="26"/>
        <v>2100</v>
      </c>
      <c r="I220" s="114">
        <f t="shared" si="27"/>
        <v>35.711135881292698</v>
      </c>
      <c r="J220" s="56">
        <v>0</v>
      </c>
      <c r="K220" s="56">
        <f t="shared" si="28"/>
        <v>0</v>
      </c>
      <c r="L220" s="51"/>
    </row>
    <row r="224" spans="1:14" ht="15" thickBot="1" x14ac:dyDescent="0.35">
      <c r="A224" s="5" t="s">
        <v>101</v>
      </c>
      <c r="B224" s="196" t="s">
        <v>102</v>
      </c>
      <c r="C224" s="196"/>
      <c r="D224" s="196"/>
      <c r="E224" s="196"/>
      <c r="F224" s="196"/>
      <c r="H224" s="196" t="s">
        <v>103</v>
      </c>
      <c r="I224" s="196"/>
      <c r="J224" s="196"/>
      <c r="K224" s="196"/>
      <c r="L224" s="196"/>
    </row>
    <row r="225" spans="1:15" ht="18" x14ac:dyDescent="0.3">
      <c r="A225" s="5" t="s">
        <v>98</v>
      </c>
      <c r="B225" s="95" t="s">
        <v>46</v>
      </c>
      <c r="C225" s="16" t="s">
        <v>88</v>
      </c>
      <c r="D225" s="16" t="s">
        <v>36</v>
      </c>
      <c r="E225" s="16" t="s">
        <v>37</v>
      </c>
      <c r="F225" s="16" t="s">
        <v>89</v>
      </c>
      <c r="H225" s="95" t="s">
        <v>46</v>
      </c>
      <c r="I225" s="16" t="s">
        <v>88</v>
      </c>
      <c r="J225" s="16" t="s">
        <v>36</v>
      </c>
      <c r="K225" s="16" t="s">
        <v>37</v>
      </c>
      <c r="L225" s="16" t="s">
        <v>89</v>
      </c>
    </row>
    <row r="226" spans="1:15" ht="15" thickBot="1" x14ac:dyDescent="0.35">
      <c r="B226" s="35">
        <f>298.15</f>
        <v>298.14999999999998</v>
      </c>
      <c r="C226" s="53">
        <f>3/2*$D$2</f>
        <v>12.471708</v>
      </c>
      <c r="D226" s="53">
        <v>0</v>
      </c>
      <c r="E226" s="53">
        <v>0</v>
      </c>
      <c r="F226" s="56">
        <v>0</v>
      </c>
      <c r="H226" s="35">
        <f>298.15</f>
        <v>298.14999999999998</v>
      </c>
      <c r="I226" s="106">
        <f>3/2*$D$2 / 4.184</f>
        <v>2.9808097514340344</v>
      </c>
      <c r="J226" s="106">
        <f>D226</f>
        <v>0</v>
      </c>
      <c r="K226" s="106">
        <f>E226</f>
        <v>0</v>
      </c>
      <c r="L226" s="112">
        <v>0</v>
      </c>
    </row>
    <row r="227" spans="1:15" x14ac:dyDescent="0.3">
      <c r="B227" s="35">
        <f>300+100</f>
        <v>400</v>
      </c>
      <c r="C227" s="53">
        <f t="shared" ref="C227:C244" si="29">3/2*$D$2</f>
        <v>12.471708</v>
      </c>
      <c r="D227" s="53">
        <v>0</v>
      </c>
      <c r="E227" s="53">
        <v>0</v>
      </c>
      <c r="H227" s="35">
        <f>300+100</f>
        <v>400</v>
      </c>
      <c r="I227" s="53">
        <f t="shared" ref="I227:I244" si="30">3/2*$D$2 / 4.184</f>
        <v>2.9808097514340344</v>
      </c>
      <c r="J227" s="53">
        <f>D227</f>
        <v>0</v>
      </c>
      <c r="K227" s="53">
        <f>E227</f>
        <v>0</v>
      </c>
    </row>
    <row r="228" spans="1:15" ht="18.600000000000001" thickBot="1" x14ac:dyDescent="0.35">
      <c r="B228" s="35">
        <f t="shared" ref="B228:B244" si="31">B227+100</f>
        <v>500</v>
      </c>
      <c r="C228" s="53">
        <f t="shared" si="29"/>
        <v>12.471708</v>
      </c>
      <c r="D228" s="53">
        <v>0</v>
      </c>
      <c r="E228" s="53">
        <v>0</v>
      </c>
      <c r="H228" s="35">
        <f t="shared" ref="H228:H244" si="32">H227+100</f>
        <v>500</v>
      </c>
      <c r="I228" s="53">
        <f t="shared" si="30"/>
        <v>2.9808097514340344</v>
      </c>
      <c r="J228" s="53">
        <f t="shared" ref="J228:K244" si="33">D228</f>
        <v>0</v>
      </c>
      <c r="K228" s="53">
        <f t="shared" si="33"/>
        <v>0</v>
      </c>
      <c r="M228" s="202" t="s">
        <v>92</v>
      </c>
      <c r="N228" s="202"/>
    </row>
    <row r="229" spans="1:15" x14ac:dyDescent="0.3">
      <c r="B229" s="35">
        <f t="shared" si="31"/>
        <v>600</v>
      </c>
      <c r="C229" s="53">
        <f t="shared" si="29"/>
        <v>12.471708</v>
      </c>
      <c r="D229" s="53">
        <v>0</v>
      </c>
      <c r="E229" s="53">
        <v>0</v>
      </c>
      <c r="H229" s="35">
        <f t="shared" si="32"/>
        <v>600</v>
      </c>
      <c r="I229" s="53">
        <f t="shared" si="30"/>
        <v>2.9808097514340344</v>
      </c>
      <c r="J229" s="53">
        <f t="shared" si="33"/>
        <v>0</v>
      </c>
      <c r="K229" s="53">
        <f t="shared" si="33"/>
        <v>0</v>
      </c>
      <c r="M229" s="38"/>
      <c r="N229" s="4" t="s">
        <v>29</v>
      </c>
      <c r="O229" s="80"/>
    </row>
    <row r="230" spans="1:15" x14ac:dyDescent="0.3">
      <c r="B230" s="35">
        <f t="shared" si="31"/>
        <v>700</v>
      </c>
      <c r="C230" s="53">
        <f t="shared" si="29"/>
        <v>12.471708</v>
      </c>
      <c r="D230" s="53">
        <v>0</v>
      </c>
      <c r="E230" s="53">
        <v>0</v>
      </c>
      <c r="H230" s="35">
        <f t="shared" si="32"/>
        <v>700</v>
      </c>
      <c r="I230" s="53">
        <f t="shared" si="30"/>
        <v>2.9808097514340344</v>
      </c>
      <c r="J230" s="53">
        <f t="shared" si="33"/>
        <v>0</v>
      </c>
      <c r="K230" s="53">
        <f t="shared" si="33"/>
        <v>0</v>
      </c>
      <c r="M230" s="39"/>
      <c r="N230" s="41" t="s">
        <v>32</v>
      </c>
      <c r="O230" s="80"/>
    </row>
    <row r="231" spans="1:15" x14ac:dyDescent="0.3">
      <c r="B231" s="35">
        <f t="shared" si="31"/>
        <v>800</v>
      </c>
      <c r="C231" s="53">
        <f t="shared" si="29"/>
        <v>12.471708</v>
      </c>
      <c r="D231" s="53">
        <v>0</v>
      </c>
      <c r="E231" s="53">
        <v>0</v>
      </c>
      <c r="H231" s="35">
        <f t="shared" si="32"/>
        <v>800</v>
      </c>
      <c r="I231" s="53">
        <f t="shared" si="30"/>
        <v>2.9808097514340344</v>
      </c>
      <c r="J231" s="53">
        <f t="shared" si="33"/>
        <v>0</v>
      </c>
      <c r="K231" s="53">
        <f t="shared" si="33"/>
        <v>0</v>
      </c>
      <c r="M231" s="39" t="s">
        <v>33</v>
      </c>
      <c r="N231" s="115">
        <v>2.9809999999999999</v>
      </c>
      <c r="O231" s="46"/>
    </row>
    <row r="232" spans="1:15" x14ac:dyDescent="0.3">
      <c r="B232" s="35">
        <f t="shared" si="31"/>
        <v>900</v>
      </c>
      <c r="C232" s="53">
        <f t="shared" si="29"/>
        <v>12.471708</v>
      </c>
      <c r="D232" s="53">
        <v>0</v>
      </c>
      <c r="E232" s="53">
        <v>0</v>
      </c>
      <c r="H232" s="35">
        <f t="shared" si="32"/>
        <v>900</v>
      </c>
      <c r="I232" s="53">
        <f t="shared" si="30"/>
        <v>2.9808097514340344</v>
      </c>
      <c r="J232" s="53">
        <f t="shared" si="33"/>
        <v>0</v>
      </c>
      <c r="K232" s="53">
        <f t="shared" si="33"/>
        <v>0</v>
      </c>
      <c r="M232" s="39" t="s">
        <v>34</v>
      </c>
      <c r="N232" s="115">
        <v>0</v>
      </c>
      <c r="O232" s="46"/>
    </row>
    <row r="233" spans="1:15" x14ac:dyDescent="0.3">
      <c r="B233" s="35">
        <f t="shared" si="31"/>
        <v>1000</v>
      </c>
      <c r="C233" s="53">
        <f t="shared" si="29"/>
        <v>12.471708</v>
      </c>
      <c r="D233" s="53">
        <v>0</v>
      </c>
      <c r="E233" s="53">
        <v>0</v>
      </c>
      <c r="H233" s="35">
        <f t="shared" si="32"/>
        <v>1000</v>
      </c>
      <c r="I233" s="53">
        <f t="shared" si="30"/>
        <v>2.9808097514340344</v>
      </c>
      <c r="J233" s="53">
        <f t="shared" si="33"/>
        <v>0</v>
      </c>
      <c r="K233" s="53">
        <f t="shared" si="33"/>
        <v>0</v>
      </c>
      <c r="M233" s="39" t="s">
        <v>35</v>
      </c>
      <c r="N233" s="115">
        <v>2.9809999999999999</v>
      </c>
      <c r="O233" s="46"/>
    </row>
    <row r="234" spans="1:15" x14ac:dyDescent="0.3">
      <c r="B234" s="35">
        <f t="shared" si="31"/>
        <v>1100</v>
      </c>
      <c r="C234" s="53">
        <f t="shared" si="29"/>
        <v>12.471708</v>
      </c>
      <c r="D234" s="53">
        <v>0</v>
      </c>
      <c r="E234" s="53">
        <v>0</v>
      </c>
      <c r="H234" s="35">
        <f t="shared" si="32"/>
        <v>1100</v>
      </c>
      <c r="I234" s="53">
        <f t="shared" si="30"/>
        <v>2.9808097514340344</v>
      </c>
      <c r="J234" s="53">
        <f t="shared" si="33"/>
        <v>0</v>
      </c>
      <c r="K234" s="53">
        <f t="shared" si="33"/>
        <v>0</v>
      </c>
      <c r="M234" s="39" t="s">
        <v>36</v>
      </c>
      <c r="N234" s="115">
        <v>0</v>
      </c>
      <c r="O234" s="46"/>
    </row>
    <row r="235" spans="1:15" ht="15" thickBot="1" x14ac:dyDescent="0.35">
      <c r="B235" s="35">
        <f t="shared" si="31"/>
        <v>1200</v>
      </c>
      <c r="C235" s="53">
        <f t="shared" si="29"/>
        <v>12.471708</v>
      </c>
      <c r="D235" s="53">
        <v>0</v>
      </c>
      <c r="E235" s="53">
        <v>0</v>
      </c>
      <c r="H235" s="35">
        <f t="shared" si="32"/>
        <v>1200</v>
      </c>
      <c r="I235" s="53">
        <f t="shared" si="30"/>
        <v>2.9808097514340344</v>
      </c>
      <c r="J235" s="53">
        <f t="shared" si="33"/>
        <v>0</v>
      </c>
      <c r="K235" s="53">
        <f t="shared" si="33"/>
        <v>0</v>
      </c>
      <c r="M235" s="43" t="s">
        <v>37</v>
      </c>
      <c r="N235" s="116">
        <v>0</v>
      </c>
      <c r="O235" s="46"/>
    </row>
    <row r="236" spans="1:15" x14ac:dyDescent="0.3">
      <c r="B236" s="35">
        <f t="shared" si="31"/>
        <v>1300</v>
      </c>
      <c r="C236" s="53">
        <f t="shared" si="29"/>
        <v>12.471708</v>
      </c>
      <c r="D236" s="53">
        <v>0</v>
      </c>
      <c r="E236" s="53">
        <v>0</v>
      </c>
      <c r="H236" s="35">
        <f t="shared" si="32"/>
        <v>1300</v>
      </c>
      <c r="I236" s="53">
        <f t="shared" si="30"/>
        <v>2.9808097514340344</v>
      </c>
      <c r="J236" s="53">
        <f t="shared" si="33"/>
        <v>0</v>
      </c>
      <c r="K236" s="53">
        <f t="shared" si="33"/>
        <v>0</v>
      </c>
      <c r="N236" s="46"/>
      <c r="O236" s="46"/>
    </row>
    <row r="237" spans="1:15" x14ac:dyDescent="0.3">
      <c r="B237" s="35">
        <f t="shared" si="31"/>
        <v>1400</v>
      </c>
      <c r="C237" s="53">
        <f t="shared" si="29"/>
        <v>12.471708</v>
      </c>
      <c r="D237" s="53">
        <v>0</v>
      </c>
      <c r="E237" s="53">
        <v>0</v>
      </c>
      <c r="H237" s="35">
        <f t="shared" si="32"/>
        <v>1400</v>
      </c>
      <c r="I237" s="53">
        <f t="shared" si="30"/>
        <v>2.9808097514340344</v>
      </c>
      <c r="J237" s="53">
        <f t="shared" si="33"/>
        <v>0</v>
      </c>
      <c r="K237" s="53">
        <f t="shared" si="33"/>
        <v>0</v>
      </c>
    </row>
    <row r="238" spans="1:15" x14ac:dyDescent="0.3">
      <c r="B238" s="35">
        <f t="shared" si="31"/>
        <v>1500</v>
      </c>
      <c r="C238" s="53">
        <f t="shared" si="29"/>
        <v>12.471708</v>
      </c>
      <c r="D238" s="53">
        <v>0</v>
      </c>
      <c r="E238" s="53">
        <v>0</v>
      </c>
      <c r="H238" s="35">
        <f t="shared" si="32"/>
        <v>1500</v>
      </c>
      <c r="I238" s="53">
        <f t="shared" si="30"/>
        <v>2.9808097514340344</v>
      </c>
      <c r="J238" s="53">
        <f t="shared" si="33"/>
        <v>0</v>
      </c>
      <c r="K238" s="53">
        <f t="shared" si="33"/>
        <v>0</v>
      </c>
    </row>
    <row r="239" spans="1:15" x14ac:dyDescent="0.3">
      <c r="B239" s="35">
        <f t="shared" si="31"/>
        <v>1600</v>
      </c>
      <c r="C239" s="53">
        <f t="shared" si="29"/>
        <v>12.471708</v>
      </c>
      <c r="D239" s="53">
        <v>0</v>
      </c>
      <c r="E239" s="53">
        <v>0</v>
      </c>
      <c r="H239" s="35">
        <f t="shared" si="32"/>
        <v>1600</v>
      </c>
      <c r="I239" s="53">
        <f t="shared" si="30"/>
        <v>2.9808097514340344</v>
      </c>
      <c r="J239" s="53">
        <f t="shared" si="33"/>
        <v>0</v>
      </c>
      <c r="K239" s="53">
        <f t="shared" si="33"/>
        <v>0</v>
      </c>
      <c r="M239" s="5" t="s">
        <v>93</v>
      </c>
      <c r="N239" s="117">
        <f>SUM(I226:L226)</f>
        <v>2.9808097514340344</v>
      </c>
    </row>
    <row r="240" spans="1:15" x14ac:dyDescent="0.3">
      <c r="B240" s="35">
        <f t="shared" si="31"/>
        <v>1700</v>
      </c>
      <c r="C240" s="53">
        <f t="shared" si="29"/>
        <v>12.471708</v>
      </c>
      <c r="D240" s="53">
        <v>0</v>
      </c>
      <c r="E240" s="53">
        <v>0</v>
      </c>
      <c r="H240" s="35">
        <f t="shared" si="32"/>
        <v>1700</v>
      </c>
      <c r="I240" s="53">
        <f t="shared" si="30"/>
        <v>2.9808097514340344</v>
      </c>
      <c r="J240" s="53">
        <f t="shared" si="33"/>
        <v>0</v>
      </c>
      <c r="K240" s="53">
        <f t="shared" si="33"/>
        <v>0</v>
      </c>
    </row>
    <row r="241" spans="2:12" x14ac:dyDescent="0.3">
      <c r="B241" s="35">
        <f t="shared" si="31"/>
        <v>1800</v>
      </c>
      <c r="C241" s="53">
        <f t="shared" si="29"/>
        <v>12.471708</v>
      </c>
      <c r="D241" s="53">
        <v>0</v>
      </c>
      <c r="E241" s="53">
        <v>0</v>
      </c>
      <c r="H241" s="35">
        <f t="shared" si="32"/>
        <v>1800</v>
      </c>
      <c r="I241" s="53">
        <f t="shared" si="30"/>
        <v>2.9808097514340344</v>
      </c>
      <c r="J241" s="53">
        <f t="shared" si="33"/>
        <v>0</v>
      </c>
      <c r="K241" s="53">
        <f t="shared" si="33"/>
        <v>0</v>
      </c>
    </row>
    <row r="242" spans="2:12" x14ac:dyDescent="0.3">
      <c r="B242" s="35">
        <f t="shared" si="31"/>
        <v>1900</v>
      </c>
      <c r="C242" s="53">
        <f t="shared" si="29"/>
        <v>12.471708</v>
      </c>
      <c r="D242" s="53">
        <v>0</v>
      </c>
      <c r="E242" s="53">
        <v>0</v>
      </c>
      <c r="H242" s="35">
        <f t="shared" si="32"/>
        <v>1900</v>
      </c>
      <c r="I242" s="53">
        <f t="shared" si="30"/>
        <v>2.9808097514340344</v>
      </c>
      <c r="J242" s="53">
        <f t="shared" si="33"/>
        <v>0</v>
      </c>
      <c r="K242" s="53">
        <f t="shared" si="33"/>
        <v>0</v>
      </c>
    </row>
    <row r="243" spans="2:12" x14ac:dyDescent="0.3">
      <c r="B243" s="35">
        <f t="shared" si="31"/>
        <v>2000</v>
      </c>
      <c r="C243" s="53">
        <f t="shared" si="29"/>
        <v>12.471708</v>
      </c>
      <c r="D243" s="53">
        <v>0</v>
      </c>
      <c r="E243" s="53">
        <v>0</v>
      </c>
      <c r="H243" s="35">
        <f t="shared" si="32"/>
        <v>2000</v>
      </c>
      <c r="I243" s="53">
        <f t="shared" si="30"/>
        <v>2.9808097514340344</v>
      </c>
      <c r="J243" s="53">
        <f t="shared" si="33"/>
        <v>0</v>
      </c>
      <c r="K243" s="53">
        <f t="shared" si="33"/>
        <v>0</v>
      </c>
    </row>
    <row r="244" spans="2:12" ht="15" thickBot="1" x14ac:dyDescent="0.35">
      <c r="B244" s="26">
        <f t="shared" si="31"/>
        <v>2100</v>
      </c>
      <c r="C244" s="56">
        <f t="shared" si="29"/>
        <v>12.471708</v>
      </c>
      <c r="D244" s="56">
        <v>0</v>
      </c>
      <c r="E244" s="56">
        <v>0</v>
      </c>
      <c r="F244" s="51"/>
      <c r="H244" s="26">
        <f t="shared" si="32"/>
        <v>2100</v>
      </c>
      <c r="I244" s="56">
        <f t="shared" si="30"/>
        <v>2.9808097514340344</v>
      </c>
      <c r="J244" s="56">
        <f t="shared" si="33"/>
        <v>0</v>
      </c>
      <c r="K244" s="56">
        <f t="shared" si="33"/>
        <v>0</v>
      </c>
      <c r="L244" s="51"/>
    </row>
    <row r="248" spans="2:12" ht="18" x14ac:dyDescent="0.3">
      <c r="B248" s="82"/>
    </row>
    <row r="249" spans="2:12" x14ac:dyDescent="0.3">
      <c r="C249" s="51"/>
      <c r="D249" s="51"/>
      <c r="E249" s="51"/>
      <c r="F249" s="51"/>
    </row>
    <row r="250" spans="2:12" x14ac:dyDescent="0.3">
      <c r="C250" s="51"/>
      <c r="D250" s="51"/>
      <c r="E250" s="51"/>
    </row>
    <row r="251" spans="2:12" x14ac:dyDescent="0.3">
      <c r="C251" s="51"/>
      <c r="D251" s="51"/>
      <c r="E251" s="51"/>
    </row>
    <row r="252" spans="2:12" x14ac:dyDescent="0.3">
      <c r="C252" s="51"/>
      <c r="D252" s="51"/>
      <c r="E252" s="51"/>
    </row>
    <row r="253" spans="2:12" x14ac:dyDescent="0.3">
      <c r="C253" s="51"/>
      <c r="D253" s="51"/>
      <c r="E253" s="51"/>
    </row>
    <row r="254" spans="2:12" x14ac:dyDescent="0.3">
      <c r="C254" s="51"/>
      <c r="D254" s="51"/>
      <c r="E254" s="51"/>
    </row>
    <row r="255" spans="2:12" x14ac:dyDescent="0.3">
      <c r="C255" s="51"/>
      <c r="D255" s="51"/>
      <c r="E255" s="51"/>
    </row>
    <row r="256" spans="2:12" x14ac:dyDescent="0.3">
      <c r="C256" s="51"/>
      <c r="D256" s="51"/>
      <c r="E256" s="51"/>
    </row>
    <row r="257" spans="1:12" x14ac:dyDescent="0.3">
      <c r="C257" s="51"/>
      <c r="D257" s="51"/>
      <c r="E257" s="51"/>
    </row>
    <row r="258" spans="1:12" x14ac:dyDescent="0.3">
      <c r="C258" s="51"/>
      <c r="D258" s="51"/>
      <c r="E258" s="51"/>
    </row>
    <row r="259" spans="1:12" x14ac:dyDescent="0.3">
      <c r="C259" s="51"/>
      <c r="D259" s="51"/>
      <c r="E259" s="51"/>
    </row>
    <row r="260" spans="1:12" x14ac:dyDescent="0.3">
      <c r="C260" s="51"/>
      <c r="D260" s="51"/>
      <c r="E260" s="51"/>
    </row>
    <row r="261" spans="1:12" x14ac:dyDescent="0.3">
      <c r="C261" s="51"/>
      <c r="D261" s="51"/>
      <c r="E261" s="51"/>
    </row>
    <row r="262" spans="1:12" x14ac:dyDescent="0.3">
      <c r="C262" s="51"/>
      <c r="D262" s="51"/>
      <c r="E262" s="51"/>
    </row>
    <row r="263" spans="1:12" x14ac:dyDescent="0.3">
      <c r="C263" s="51"/>
      <c r="D263" s="51"/>
      <c r="E263" s="51"/>
    </row>
    <row r="264" spans="1:12" x14ac:dyDescent="0.3">
      <c r="C264" s="51"/>
      <c r="D264" s="51"/>
      <c r="E264" s="51"/>
    </row>
    <row r="265" spans="1:12" x14ac:dyDescent="0.3">
      <c r="C265" s="51"/>
      <c r="D265" s="51"/>
      <c r="E265" s="51"/>
    </row>
    <row r="266" spans="1:12" x14ac:dyDescent="0.3">
      <c r="C266" s="51"/>
      <c r="D266" s="51"/>
      <c r="E266" s="51"/>
    </row>
    <row r="267" spans="1:12" x14ac:dyDescent="0.3">
      <c r="C267" s="51"/>
      <c r="D267" s="51"/>
      <c r="E267" s="51"/>
      <c r="F267" s="51"/>
    </row>
    <row r="272" spans="1:12" ht="15" thickBot="1" x14ac:dyDescent="0.35">
      <c r="A272" s="5" t="s">
        <v>104</v>
      </c>
      <c r="B272" s="196" t="s">
        <v>102</v>
      </c>
      <c r="C272" s="196"/>
      <c r="D272" s="196"/>
      <c r="E272" s="196"/>
      <c r="F272" s="196"/>
      <c r="H272" s="196" t="s">
        <v>103</v>
      </c>
      <c r="I272" s="196"/>
      <c r="J272" s="196"/>
      <c r="K272" s="196"/>
      <c r="L272" s="196"/>
    </row>
    <row r="273" spans="1:12" ht="18" x14ac:dyDescent="0.3">
      <c r="A273" s="5" t="s">
        <v>98</v>
      </c>
      <c r="B273" s="95" t="s">
        <v>46</v>
      </c>
      <c r="C273" s="16" t="s">
        <v>88</v>
      </c>
      <c r="D273" s="16" t="s">
        <v>36</v>
      </c>
      <c r="E273" s="16" t="s">
        <v>37</v>
      </c>
      <c r="F273" s="16" t="s">
        <v>89</v>
      </c>
      <c r="H273" s="95" t="s">
        <v>46</v>
      </c>
      <c r="I273" s="118" t="s">
        <v>88</v>
      </c>
      <c r="J273" s="118" t="s">
        <v>36</v>
      </c>
      <c r="K273" s="118" t="s">
        <v>37</v>
      </c>
      <c r="L273" s="16" t="s">
        <v>89</v>
      </c>
    </row>
    <row r="274" spans="1:12" ht="15" thickBot="1" x14ac:dyDescent="0.35">
      <c r="B274" s="35">
        <f>298.15</f>
        <v>298.14999999999998</v>
      </c>
      <c r="C274" s="53">
        <f>3/2*$D$2 + $D$2</f>
        <v>20.786180000000002</v>
      </c>
      <c r="D274" s="53">
        <f>3/2*$D$2  + $D$2</f>
        <v>20.786180000000002</v>
      </c>
      <c r="E274" s="53" t="e" cm="1">
        <f t="array" ref="E274">$D$2*SUM( ( ($B$12:$B$20) * ($B$12:$B$20)* EXP($B$12:$B$20/B274) ) / ( B274*B274* ( EXP(( $B$12:$B$20)/B274 )  -1)^2 ) ) +   $D$2</f>
        <v>#DIV/0!</v>
      </c>
      <c r="F274" s="56" t="s">
        <v>105</v>
      </c>
      <c r="H274" s="35">
        <f>298.15</f>
        <v>298.14999999999998</v>
      </c>
      <c r="I274" s="106">
        <f>(3/2*$D$2  + $D$2)/ 4.184</f>
        <v>4.9680162523900577</v>
      </c>
      <c r="J274" s="106">
        <f>(3/2*$D$2 + $D$2) / 4.184</f>
        <v>4.9680162523900577</v>
      </c>
      <c r="K274" s="106" t="e" cm="1">
        <f t="array" ref="K274" xml:space="preserve"> ($D$2*SUM( ( ($B$12:$B$20) * ($B$12:$B$20)* EXP($B$12:$B$20/B274) ) / ( B274*B274* ( EXP(( $B$12:$B$20)/B274 )  -1)^2 ) ) +   $D$2 ) / 4.184</f>
        <v>#DIV/0!</v>
      </c>
      <c r="L274" s="119" t="s">
        <v>105</v>
      </c>
    </row>
    <row r="275" spans="1:12" x14ac:dyDescent="0.3">
      <c r="B275" s="35">
        <f>300+100</f>
        <v>400</v>
      </c>
      <c r="C275" s="53">
        <f t="shared" ref="C275:C292" si="34">3/2*$D$2 + $D$2</f>
        <v>20.786180000000002</v>
      </c>
      <c r="D275" s="53">
        <f t="shared" ref="D275:D292" si="35">3/2*$D$2  + $D$2</f>
        <v>20.786180000000002</v>
      </c>
      <c r="E275" s="53" t="e" cm="1">
        <f t="array" ref="E275">$D$2*SUM( ( ($B$12:$B$20) * ($B$12:$B$20)* EXP($B$12:$B$20/B275) ) / ( B275*B275* ( EXP(( $B$12:$B$20)/B275 )  -1)^2 ) ) +   $D$2</f>
        <v>#DIV/0!</v>
      </c>
      <c r="H275" s="35">
        <f>300+100</f>
        <v>400</v>
      </c>
      <c r="I275" s="53">
        <f t="shared" ref="I275:I292" si="36">(3/2*$D$2  + $D$2)/ 4.184</f>
        <v>4.9680162523900577</v>
      </c>
      <c r="J275" s="53">
        <f t="shared" ref="J275:J292" si="37">(3/2*$D$2 + $D$2) / 4.184</f>
        <v>4.9680162523900577</v>
      </c>
      <c r="K275" s="53" t="e" cm="1">
        <f t="array" ref="K275" xml:space="preserve"> ($D$2*SUM( ( ($B$12:$B$20) * ($B$12:$B$20)* EXP($B$12:$B$20/B275) ) / ( B275*B275* ( EXP(( $B$12:$B$20)/B275)  -1)^2 ) ) +   $D$2 ) / 4.184</f>
        <v>#DIV/0!</v>
      </c>
    </row>
    <row r="276" spans="1:12" x14ac:dyDescent="0.3">
      <c r="B276" s="35">
        <f t="shared" ref="B276:B292" si="38">B275+100</f>
        <v>500</v>
      </c>
      <c r="C276" s="53">
        <f t="shared" si="34"/>
        <v>20.786180000000002</v>
      </c>
      <c r="D276" s="53">
        <f t="shared" si="35"/>
        <v>20.786180000000002</v>
      </c>
      <c r="E276" s="53" t="e" cm="1">
        <f t="array" ref="E276">$D$2*SUM( ( ($B$12:$B$20) * ($B$12:$B$20)* EXP($B$12:$B$20/B276) ) / ( B276*B276* ( EXP(( $B$12:$B$20)/B276 )  -1)^2 ) ) +   $D$2</f>
        <v>#DIV/0!</v>
      </c>
      <c r="H276" s="35">
        <f t="shared" ref="H276:H292" si="39">H275+100</f>
        <v>500</v>
      </c>
      <c r="I276" s="53">
        <f t="shared" si="36"/>
        <v>4.9680162523900577</v>
      </c>
      <c r="J276" s="53">
        <f t="shared" si="37"/>
        <v>4.9680162523900577</v>
      </c>
      <c r="K276" s="53" t="e" cm="1">
        <f t="array" ref="K276" xml:space="preserve"> ($D$2*SUM( ( ($B$12:$B$20) * ($B$12:$B$20)* EXP($B$12:$B$20/B276) ) / ( B276*B276* ( EXP(( $B$12:$B$20)/B276)  -1)^2 ) ) +   $D$2 ) / 4.184</f>
        <v>#DIV/0!</v>
      </c>
    </row>
    <row r="277" spans="1:12" x14ac:dyDescent="0.3">
      <c r="B277" s="35">
        <f t="shared" si="38"/>
        <v>600</v>
      </c>
      <c r="C277" s="53">
        <f t="shared" si="34"/>
        <v>20.786180000000002</v>
      </c>
      <c r="D277" s="53">
        <f t="shared" si="35"/>
        <v>20.786180000000002</v>
      </c>
      <c r="E277" s="53" t="e" cm="1">
        <f t="array" ref="E277">$D$2*SUM( ( ($B$12:$B$20) * ($B$12:$B$20)* EXP($B$12:$B$20/B277) ) / ( B277*B277* ( EXP(( $B$12:$B$20)/B277 )  -1)^2 ) ) +   $D$2</f>
        <v>#DIV/0!</v>
      </c>
      <c r="H277" s="35">
        <f t="shared" si="39"/>
        <v>600</v>
      </c>
      <c r="I277" s="53">
        <f t="shared" si="36"/>
        <v>4.9680162523900577</v>
      </c>
      <c r="J277" s="53">
        <f t="shared" si="37"/>
        <v>4.9680162523900577</v>
      </c>
      <c r="K277" s="53" t="e" cm="1">
        <f t="array" ref="K277" xml:space="preserve"> ($D$2*SUM( ( ($B$12:$B$20) * ($B$12:$B$20)* EXP($B$12:$B$20/B277) ) / ( B277*B277* ( EXP(( $B$12:$B$20)/B277)  -1)^2 ) ) +   $D$2 ) / 4.184</f>
        <v>#DIV/0!</v>
      </c>
    </row>
    <row r="278" spans="1:12" x14ac:dyDescent="0.3">
      <c r="B278" s="35">
        <f t="shared" si="38"/>
        <v>700</v>
      </c>
      <c r="C278" s="53">
        <f t="shared" si="34"/>
        <v>20.786180000000002</v>
      </c>
      <c r="D278" s="53">
        <f t="shared" si="35"/>
        <v>20.786180000000002</v>
      </c>
      <c r="E278" s="53" t="e" cm="1">
        <f t="array" ref="E278">$D$2*SUM( ( ($B$12:$B$20) * ($B$12:$B$20)* EXP($B$12:$B$20/B278) ) / ( B278*B278* ( EXP(( $B$12:$B$20)/B278 )  -1)^2 ) ) +   $D$2</f>
        <v>#DIV/0!</v>
      </c>
      <c r="H278" s="35">
        <f t="shared" si="39"/>
        <v>700</v>
      </c>
      <c r="I278" s="53">
        <f t="shared" si="36"/>
        <v>4.9680162523900577</v>
      </c>
      <c r="J278" s="53">
        <f t="shared" si="37"/>
        <v>4.9680162523900577</v>
      </c>
      <c r="K278" s="53" t="e" cm="1">
        <f t="array" ref="K278" xml:space="preserve"> ($D$2*SUM( ( ($B$12:$B$20) * ($B$12:$B$20)* EXP($B$12:$B$20/B278) ) / ( B278*B278* ( EXP(( $B$12:$B$20)/B278)  -1)^2 ) ) +   $D$2 ) / 4.184</f>
        <v>#DIV/0!</v>
      </c>
    </row>
    <row r="279" spans="1:12" x14ac:dyDescent="0.3">
      <c r="B279" s="35">
        <f t="shared" si="38"/>
        <v>800</v>
      </c>
      <c r="C279" s="53">
        <f t="shared" si="34"/>
        <v>20.786180000000002</v>
      </c>
      <c r="D279" s="53">
        <f t="shared" si="35"/>
        <v>20.786180000000002</v>
      </c>
      <c r="E279" s="53" t="e" cm="1">
        <f t="array" ref="E279">$D$2*SUM( ( ($B$12:$B$20) * ($B$12:$B$20)* EXP($B$12:$B$20/B279) ) / ( B279*B279* ( EXP(( $B$12:$B$20)/B279 )  -1)^2 ) ) +   $D$2</f>
        <v>#DIV/0!</v>
      </c>
      <c r="H279" s="35">
        <f t="shared" si="39"/>
        <v>800</v>
      </c>
      <c r="I279" s="53">
        <f t="shared" si="36"/>
        <v>4.9680162523900577</v>
      </c>
      <c r="J279" s="53">
        <f t="shared" si="37"/>
        <v>4.9680162523900577</v>
      </c>
      <c r="K279" s="53" t="e" cm="1">
        <f t="array" ref="K279" xml:space="preserve"> ($D$2*SUM( ( ($B$12:$B$20) * ($B$12:$B$20)* EXP($B$12:$B$20/B279) ) / ( B279*B279* ( EXP(( $B$12:$B$20)/B279)  -1)^2 ) ) +   $D$2 ) / 4.184</f>
        <v>#DIV/0!</v>
      </c>
    </row>
    <row r="280" spans="1:12" x14ac:dyDescent="0.3">
      <c r="B280" s="35">
        <f t="shared" si="38"/>
        <v>900</v>
      </c>
      <c r="C280" s="53">
        <f t="shared" si="34"/>
        <v>20.786180000000002</v>
      </c>
      <c r="D280" s="53">
        <f t="shared" si="35"/>
        <v>20.786180000000002</v>
      </c>
      <c r="E280" s="53" t="e" cm="1">
        <f t="array" ref="E280">$D$2*SUM( ( ($B$12:$B$20) * ($B$12:$B$20)* EXP($B$12:$B$20/B280) ) / ( B280*B280* ( EXP(( $B$12:$B$20)/B280 )  -1)^2 ) ) +   $D$2</f>
        <v>#DIV/0!</v>
      </c>
      <c r="H280" s="35">
        <f t="shared" si="39"/>
        <v>900</v>
      </c>
      <c r="I280" s="53">
        <f t="shared" si="36"/>
        <v>4.9680162523900577</v>
      </c>
      <c r="J280" s="53">
        <f t="shared" si="37"/>
        <v>4.9680162523900577</v>
      </c>
      <c r="K280" s="53" t="e" cm="1">
        <f t="array" ref="K280" xml:space="preserve"> ($D$2*SUM( ( ($B$12:$B$20) * ($B$12:$B$20)* EXP($B$12:$B$20/B280) ) / ( B280*B280* ( EXP(( $B$12:$B$20)/B280)  -1)^2 ) ) +   $D$2 ) / 4.184</f>
        <v>#DIV/0!</v>
      </c>
    </row>
    <row r="281" spans="1:12" x14ac:dyDescent="0.3">
      <c r="B281" s="35">
        <f t="shared" si="38"/>
        <v>1000</v>
      </c>
      <c r="C281" s="53">
        <f t="shared" si="34"/>
        <v>20.786180000000002</v>
      </c>
      <c r="D281" s="53">
        <f t="shared" si="35"/>
        <v>20.786180000000002</v>
      </c>
      <c r="E281" s="53" t="e" cm="1">
        <f t="array" ref="E281">$D$2*SUM( ( ($B$12:$B$20) * ($B$12:$B$20)* EXP($B$12:$B$20/B281) ) / ( B281*B281* ( EXP(( $B$12:$B$20)/B281 )  -1)^2 ) ) +   $D$2</f>
        <v>#DIV/0!</v>
      </c>
      <c r="H281" s="35">
        <f t="shared" si="39"/>
        <v>1000</v>
      </c>
      <c r="I281" s="53">
        <f t="shared" si="36"/>
        <v>4.9680162523900577</v>
      </c>
      <c r="J281" s="53">
        <f t="shared" si="37"/>
        <v>4.9680162523900577</v>
      </c>
      <c r="K281" s="53" t="e" cm="1">
        <f t="array" ref="K281" xml:space="preserve"> ($D$2*SUM( ( ($B$12:$B$20) * ($B$12:$B$20)* EXP($B$12:$B$20/B281) ) / ( B281*B281* ( EXP(( $B$12:$B$20)/B281)  -1)^2 ) ) +   $D$2 ) / 4.184</f>
        <v>#DIV/0!</v>
      </c>
    </row>
    <row r="282" spans="1:12" x14ac:dyDescent="0.3">
      <c r="B282" s="35">
        <f t="shared" si="38"/>
        <v>1100</v>
      </c>
      <c r="C282" s="53">
        <f t="shared" si="34"/>
        <v>20.786180000000002</v>
      </c>
      <c r="D282" s="53">
        <f t="shared" si="35"/>
        <v>20.786180000000002</v>
      </c>
      <c r="E282" s="53" t="e" cm="1">
        <f t="array" ref="E282">$D$2*SUM( ( ($B$12:$B$20) * ($B$12:$B$20)* EXP($B$12:$B$20/B282) ) / ( B282*B282* ( EXP(( $B$12:$B$20)/B282 )  -1)^2 ) ) +   $D$2</f>
        <v>#DIV/0!</v>
      </c>
      <c r="H282" s="35">
        <f t="shared" si="39"/>
        <v>1100</v>
      </c>
      <c r="I282" s="53">
        <f t="shared" si="36"/>
        <v>4.9680162523900577</v>
      </c>
      <c r="J282" s="53">
        <f t="shared" si="37"/>
        <v>4.9680162523900577</v>
      </c>
      <c r="K282" s="53" t="e" cm="1">
        <f t="array" ref="K282" xml:space="preserve"> ($D$2*SUM( ( ($B$12:$B$20) * ($B$12:$B$20)* EXP($B$12:$B$20/B282) ) / ( B282*B282* ( EXP(( $B$12:$B$20)/B282)  -1)^2 ) ) +   $D$2 ) / 4.184</f>
        <v>#DIV/0!</v>
      </c>
    </row>
    <row r="283" spans="1:12" x14ac:dyDescent="0.3">
      <c r="B283" s="35">
        <f t="shared" si="38"/>
        <v>1200</v>
      </c>
      <c r="C283" s="53">
        <f t="shared" si="34"/>
        <v>20.786180000000002</v>
      </c>
      <c r="D283" s="53">
        <f t="shared" si="35"/>
        <v>20.786180000000002</v>
      </c>
      <c r="E283" s="53" t="e" cm="1">
        <f t="array" ref="E283">$D$2*SUM( ( ($B$12:$B$20) * ($B$12:$B$20)* EXP($B$12:$B$20/B283) ) / ( B283*B283* ( EXP(( $B$12:$B$20)/B283 )  -1)^2 ) ) +   $D$2</f>
        <v>#DIV/0!</v>
      </c>
      <c r="H283" s="35">
        <f t="shared" si="39"/>
        <v>1200</v>
      </c>
      <c r="I283" s="53">
        <f t="shared" si="36"/>
        <v>4.9680162523900577</v>
      </c>
      <c r="J283" s="53">
        <f t="shared" si="37"/>
        <v>4.9680162523900577</v>
      </c>
      <c r="K283" s="53" t="e" cm="1">
        <f t="array" ref="K283" xml:space="preserve"> ($D$2*SUM( ( ($B$12:$B$20) * ($B$12:$B$20)* EXP($B$12:$B$20/B283) ) / ( B283*B283* ( EXP(( $B$12:$B$20)/B283)  -1)^2 ) ) +   $D$2 ) / 4.184</f>
        <v>#DIV/0!</v>
      </c>
    </row>
    <row r="284" spans="1:12" x14ac:dyDescent="0.3">
      <c r="B284" s="35">
        <f t="shared" si="38"/>
        <v>1300</v>
      </c>
      <c r="C284" s="53">
        <f t="shared" si="34"/>
        <v>20.786180000000002</v>
      </c>
      <c r="D284" s="53">
        <f t="shared" si="35"/>
        <v>20.786180000000002</v>
      </c>
      <c r="E284" s="53" t="e" cm="1">
        <f t="array" ref="E284">$D$2*SUM( ( ($B$12:$B$20) * ($B$12:$B$20)* EXP($B$12:$B$20/B284) ) / ( B284*B284* ( EXP(( $B$12:$B$20)/B284 )  -1)^2 ) ) +   $D$2</f>
        <v>#DIV/0!</v>
      </c>
      <c r="H284" s="35">
        <f t="shared" si="39"/>
        <v>1300</v>
      </c>
      <c r="I284" s="53">
        <f t="shared" si="36"/>
        <v>4.9680162523900577</v>
      </c>
      <c r="J284" s="53">
        <f t="shared" si="37"/>
        <v>4.9680162523900577</v>
      </c>
      <c r="K284" s="53" t="e" cm="1">
        <f t="array" ref="K284" xml:space="preserve"> ($D$2*SUM( ( ($B$12:$B$20) * ($B$12:$B$20)* EXP($B$12:$B$20/B284) ) / ( B284*B284* ( EXP(( $B$12:$B$20)/B284)  -1)^2 ) ) +   $D$2 ) / 4.184</f>
        <v>#DIV/0!</v>
      </c>
    </row>
    <row r="285" spans="1:12" x14ac:dyDescent="0.3">
      <c r="B285" s="35">
        <f t="shared" si="38"/>
        <v>1400</v>
      </c>
      <c r="C285" s="53">
        <f t="shared" si="34"/>
        <v>20.786180000000002</v>
      </c>
      <c r="D285" s="53">
        <f t="shared" si="35"/>
        <v>20.786180000000002</v>
      </c>
      <c r="E285" s="53" t="e" cm="1">
        <f t="array" ref="E285">$D$2*SUM( ( ($B$12:$B$20) * ($B$12:$B$20)* EXP($B$12:$B$20/B285) ) / ( B285*B285* ( EXP(( $B$12:$B$20)/B285 )  -1)^2 ) ) +   $D$2</f>
        <v>#DIV/0!</v>
      </c>
      <c r="H285" s="35">
        <f t="shared" si="39"/>
        <v>1400</v>
      </c>
      <c r="I285" s="53">
        <f t="shared" si="36"/>
        <v>4.9680162523900577</v>
      </c>
      <c r="J285" s="53">
        <f t="shared" si="37"/>
        <v>4.9680162523900577</v>
      </c>
      <c r="K285" s="53" t="e" cm="1">
        <f t="array" ref="K285" xml:space="preserve"> ($D$2*SUM( ( ($B$12:$B$20) * ($B$12:$B$20)* EXP($B$12:$B$20/B285) ) / ( B285*B285* ( EXP(( $B$12:$B$20)/B285)  -1)^2 ) ) +   $D$2 ) / 4.184</f>
        <v>#DIV/0!</v>
      </c>
    </row>
    <row r="286" spans="1:12" x14ac:dyDescent="0.3">
      <c r="B286" s="35">
        <f t="shared" si="38"/>
        <v>1500</v>
      </c>
      <c r="C286" s="53">
        <f t="shared" si="34"/>
        <v>20.786180000000002</v>
      </c>
      <c r="D286" s="53">
        <f t="shared" si="35"/>
        <v>20.786180000000002</v>
      </c>
      <c r="E286" s="53" t="e" cm="1">
        <f t="array" ref="E286">$D$2*SUM( ( ($B$12:$B$20) * ($B$12:$B$20)* EXP($B$12:$B$20/B286) ) / ( B286*B286* ( EXP(( $B$12:$B$20)/B286 )  -1)^2 ) ) +   $D$2</f>
        <v>#DIV/0!</v>
      </c>
      <c r="H286" s="35">
        <f t="shared" si="39"/>
        <v>1500</v>
      </c>
      <c r="I286" s="53">
        <f t="shared" si="36"/>
        <v>4.9680162523900577</v>
      </c>
      <c r="J286" s="53">
        <f t="shared" si="37"/>
        <v>4.9680162523900577</v>
      </c>
      <c r="K286" s="53" t="e" cm="1">
        <f t="array" ref="K286" xml:space="preserve"> ($D$2*SUM( ( ($B$12:$B$20) * ($B$12:$B$20)* EXP($B$12:$B$20/B286) ) / ( B286*B286* ( EXP(( $B$12:$B$20)/B286)  -1)^2 ) ) +   $D$2 ) / 4.184</f>
        <v>#DIV/0!</v>
      </c>
    </row>
    <row r="287" spans="1:12" x14ac:dyDescent="0.3">
      <c r="B287" s="35">
        <f t="shared" si="38"/>
        <v>1600</v>
      </c>
      <c r="C287" s="53">
        <f t="shared" si="34"/>
        <v>20.786180000000002</v>
      </c>
      <c r="D287" s="53">
        <f t="shared" si="35"/>
        <v>20.786180000000002</v>
      </c>
      <c r="E287" s="53" t="e" cm="1">
        <f t="array" ref="E287">$D$2*SUM( ( ($B$12:$B$20) * ($B$12:$B$20)* EXP($B$12:$B$20/B287) ) / ( B287*B287* ( EXP(( $B$12:$B$20)/B287 )  -1)^2 ) ) +   $D$2</f>
        <v>#DIV/0!</v>
      </c>
      <c r="H287" s="35">
        <f t="shared" si="39"/>
        <v>1600</v>
      </c>
      <c r="I287" s="53">
        <f t="shared" si="36"/>
        <v>4.9680162523900577</v>
      </c>
      <c r="J287" s="53">
        <f t="shared" si="37"/>
        <v>4.9680162523900577</v>
      </c>
      <c r="K287" s="53" t="e" cm="1">
        <f t="array" ref="K287" xml:space="preserve"> ($D$2*SUM( ( ($B$12:$B$20) * ($B$12:$B$20)* EXP($B$12:$B$20/B287) ) / ( B287*B287* ( EXP(( $B$12:$B$20)/B287)  -1)^2 ) ) +   $D$2 ) / 4.184</f>
        <v>#DIV/0!</v>
      </c>
    </row>
    <row r="288" spans="1:12" x14ac:dyDescent="0.3">
      <c r="B288" s="35">
        <f t="shared" si="38"/>
        <v>1700</v>
      </c>
      <c r="C288" s="53">
        <f t="shared" si="34"/>
        <v>20.786180000000002</v>
      </c>
      <c r="D288" s="53">
        <f t="shared" si="35"/>
        <v>20.786180000000002</v>
      </c>
      <c r="E288" s="53" t="e" cm="1">
        <f t="array" ref="E288">$D$2*SUM( ( ($B$12:$B$20) * ($B$12:$B$20)* EXP($B$12:$B$20/B288) ) / ( B288*B288* ( EXP(( $B$12:$B$20)/B288 )  -1)^2 ) ) +   $D$2</f>
        <v>#DIV/0!</v>
      </c>
      <c r="H288" s="35">
        <f t="shared" si="39"/>
        <v>1700</v>
      </c>
      <c r="I288" s="53">
        <f t="shared" si="36"/>
        <v>4.9680162523900577</v>
      </c>
      <c r="J288" s="53">
        <f t="shared" si="37"/>
        <v>4.9680162523900577</v>
      </c>
      <c r="K288" s="53" t="e" cm="1">
        <f t="array" ref="K288" xml:space="preserve"> ($D$2*SUM( ( ($B$12:$B$20) * ($B$12:$B$20)* EXP($B$12:$B$20/B288) ) / ( B288*B288* ( EXP(( $B$12:$B$20)/B288)  -1)^2 ) ) +   $D$2 ) / 4.184</f>
        <v>#DIV/0!</v>
      </c>
    </row>
    <row r="289" spans="2:12" x14ac:dyDescent="0.3">
      <c r="B289" s="35">
        <f t="shared" si="38"/>
        <v>1800</v>
      </c>
      <c r="C289" s="53">
        <f t="shared" si="34"/>
        <v>20.786180000000002</v>
      </c>
      <c r="D289" s="53">
        <f t="shared" si="35"/>
        <v>20.786180000000002</v>
      </c>
      <c r="E289" s="53" t="e" cm="1">
        <f t="array" ref="E289">$D$2*SUM( ( ($B$12:$B$20) * ($B$12:$B$20)* EXP($B$12:$B$20/B289) ) / ( B289*B289* ( EXP(( $B$12:$B$20)/B289 )  -1)^2 ) ) +   $D$2</f>
        <v>#DIV/0!</v>
      </c>
      <c r="H289" s="35">
        <f t="shared" si="39"/>
        <v>1800</v>
      </c>
      <c r="I289" s="53">
        <f t="shared" si="36"/>
        <v>4.9680162523900577</v>
      </c>
      <c r="J289" s="53">
        <f t="shared" si="37"/>
        <v>4.9680162523900577</v>
      </c>
      <c r="K289" s="53" t="e" cm="1">
        <f t="array" ref="K289" xml:space="preserve"> ($D$2*SUM( ( ($B$12:$B$20) * ($B$12:$B$20)* EXP($B$12:$B$20/B289) ) / ( B289*B289* ( EXP(( $B$12:$B$20)/B289)  -1)^2 ) ) +   $D$2 ) / 4.184</f>
        <v>#DIV/0!</v>
      </c>
    </row>
    <row r="290" spans="2:12" x14ac:dyDescent="0.3">
      <c r="B290" s="35">
        <f t="shared" si="38"/>
        <v>1900</v>
      </c>
      <c r="C290" s="53">
        <f t="shared" si="34"/>
        <v>20.786180000000002</v>
      </c>
      <c r="D290" s="53">
        <f t="shared" si="35"/>
        <v>20.786180000000002</v>
      </c>
      <c r="E290" s="53" t="e" cm="1">
        <f t="array" ref="E290">$D$2*SUM( ( ($B$12:$B$20) * ($B$12:$B$20)* EXP($B$12:$B$20/B290) ) / ( B290*B290* ( EXP(( $B$12:$B$20)/B290 )  -1)^2 ) ) +   $D$2</f>
        <v>#DIV/0!</v>
      </c>
      <c r="H290" s="35">
        <f t="shared" si="39"/>
        <v>1900</v>
      </c>
      <c r="I290" s="53">
        <f t="shared" si="36"/>
        <v>4.9680162523900577</v>
      </c>
      <c r="J290" s="53">
        <f t="shared" si="37"/>
        <v>4.9680162523900577</v>
      </c>
      <c r="K290" s="53" t="e" cm="1">
        <f t="array" ref="K290" xml:space="preserve"> ($D$2*SUM( ( ($B$12:$B$20) * ($B$12:$B$20)* EXP($B$12:$B$20/B290) ) / ( B290*B290* ( EXP(( $B$12:$B$20)/B290)  -1)^2 ) ) +   $D$2 ) / 4.184</f>
        <v>#DIV/0!</v>
      </c>
    </row>
    <row r="291" spans="2:12" x14ac:dyDescent="0.3">
      <c r="B291" s="35">
        <f t="shared" si="38"/>
        <v>2000</v>
      </c>
      <c r="C291" s="53">
        <f t="shared" si="34"/>
        <v>20.786180000000002</v>
      </c>
      <c r="D291" s="53">
        <f t="shared" si="35"/>
        <v>20.786180000000002</v>
      </c>
      <c r="E291" s="53" t="e" cm="1">
        <f t="array" ref="E291">$D$2*SUM( ( ($B$12:$B$20) * ($B$12:$B$20)* EXP($B$12:$B$20/B291) ) / ( B291*B291* ( EXP(( $B$12:$B$20)/B291 )  -1)^2 ) ) +   $D$2</f>
        <v>#DIV/0!</v>
      </c>
      <c r="H291" s="35">
        <f t="shared" si="39"/>
        <v>2000</v>
      </c>
      <c r="I291" s="53">
        <f t="shared" si="36"/>
        <v>4.9680162523900577</v>
      </c>
      <c r="J291" s="53">
        <f t="shared" si="37"/>
        <v>4.9680162523900577</v>
      </c>
      <c r="K291" s="53" t="e" cm="1">
        <f t="array" ref="K291" xml:space="preserve"> ($D$2*SUM( ( ($B$12:$B$20) * ($B$12:$B$20)* EXP($B$12:$B$20/B291) ) / ( B291*B291* ( EXP(( $B$12:$B$20)/B291)  -1)^2 ) ) +   $D$2 ) / 4.184</f>
        <v>#DIV/0!</v>
      </c>
    </row>
    <row r="292" spans="2:12" ht="15" thickBot="1" x14ac:dyDescent="0.35">
      <c r="B292" s="26">
        <f t="shared" si="38"/>
        <v>2100</v>
      </c>
      <c r="C292" s="56">
        <f t="shared" si="34"/>
        <v>20.786180000000002</v>
      </c>
      <c r="D292" s="56">
        <f t="shared" si="35"/>
        <v>20.786180000000002</v>
      </c>
      <c r="E292" s="56" t="e" cm="1">
        <f t="array" ref="E292">$D$2*SUM( ( ($B$12:$B$20) * ($B$12:$B$20)* EXP($B$12:$B$20/B292) ) / ( B292*B292* ( EXP(( $B$12:$B$20)/B292 )  -1)^2 ) ) +   $D$2</f>
        <v>#DIV/0!</v>
      </c>
      <c r="F292" s="51"/>
      <c r="H292" s="26">
        <f t="shared" si="39"/>
        <v>2100</v>
      </c>
      <c r="I292" s="56">
        <f t="shared" si="36"/>
        <v>4.9680162523900577</v>
      </c>
      <c r="J292" s="56">
        <f t="shared" si="37"/>
        <v>4.9680162523900577</v>
      </c>
      <c r="K292" s="56" t="e" cm="1">
        <f t="array" ref="K292" xml:space="preserve"> ($D$2*SUM( ( ($B$12:$B$20) * ($B$12:$B$20)* EXP($B$12:$B$20/B292) ) / ( B292*B292* ( EXP(( $B$12:$B$20)/B292)  -1)^2 ) ) +   $D$2 ) / 4.184</f>
        <v>#DIV/0!</v>
      </c>
      <c r="L292" s="51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6877-F5DC-4894-A291-81C749E5A51C}">
  <dimension ref="A1:W292"/>
  <sheetViews>
    <sheetView workbookViewId="0">
      <selection activeCell="D15" sqref="D15"/>
    </sheetView>
  </sheetViews>
  <sheetFormatPr defaultRowHeight="14.4" x14ac:dyDescent="0.3"/>
  <cols>
    <col min="1" max="1" width="29.88671875" style="5" bestFit="1" customWidth="1"/>
    <col min="2" max="2" width="16.55468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6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1.00783*1.66E-27*2</f>
        <v>3.3459956E-27</v>
      </c>
      <c r="F2" s="7">
        <v>6.0221407599999999E+23</v>
      </c>
      <c r="G2" s="7">
        <f>((2*$E$2*$B$2*$A$2*$H$2)/($C$2*$C$2))^1.5</f>
        <v>2.7672198169301061E+30</v>
      </c>
      <c r="H2" s="8">
        <f>298.15</f>
        <v>298.14999999999998</v>
      </c>
      <c r="I2" s="9">
        <v>29979300000</v>
      </c>
      <c r="J2" s="10">
        <v>101325</v>
      </c>
      <c r="K2" s="9">
        <f>(E2*1000)/1.00783</f>
        <v>3.3200000000000002E-24</v>
      </c>
      <c r="L2" s="10">
        <f>F2*K2</f>
        <v>1.9993507323200002</v>
      </c>
    </row>
    <row r="3" spans="1:21" ht="15" thickBot="1" x14ac:dyDescent="0.35"/>
    <row r="4" spans="1:21" ht="15" thickBot="1" x14ac:dyDescent="0.35">
      <c r="E4" s="11" t="s">
        <v>12</v>
      </c>
      <c r="F4" s="12" t="s">
        <v>13</v>
      </c>
      <c r="G4" s="13" t="s">
        <v>14</v>
      </c>
      <c r="I4" s="11" t="s">
        <v>15</v>
      </c>
      <c r="J4" s="12" t="s">
        <v>16</v>
      </c>
      <c r="K4" s="12" t="s">
        <v>17</v>
      </c>
      <c r="L4" s="14" t="s">
        <v>18</v>
      </c>
    </row>
    <row r="5" spans="1:21" ht="16.8" thickBot="1" x14ac:dyDescent="0.35">
      <c r="B5" s="15" t="s">
        <v>19</v>
      </c>
      <c r="D5" s="16" t="s">
        <v>20</v>
      </c>
      <c r="E5" s="17">
        <v>0</v>
      </c>
      <c r="F5" s="18">
        <v>0.99311000000000005</v>
      </c>
      <c r="G5" s="19">
        <v>0.99311000000000005</v>
      </c>
      <c r="I5" s="20">
        <v>1.0170999999999999E-2</v>
      </c>
      <c r="J5" s="21">
        <f>I5*627.509474</f>
        <v>6.3823988600539989</v>
      </c>
      <c r="K5" s="21">
        <f>I5*4.35974E-18</f>
        <v>4.4342915539999994E-20</v>
      </c>
      <c r="L5" s="22">
        <f>(2*K5)/(C2)</f>
        <v>133843828768433.98</v>
      </c>
    </row>
    <row r="6" spans="1:21" ht="16.8" thickBot="1" x14ac:dyDescent="0.35">
      <c r="A6" s="23" t="s">
        <v>21</v>
      </c>
      <c r="B6" s="24">
        <v>2</v>
      </c>
      <c r="D6" s="25" t="s">
        <v>22</v>
      </c>
      <c r="E6" s="26">
        <f>E5*1.66E-47</f>
        <v>0</v>
      </c>
      <c r="F6" s="27">
        <f>F5*1.66E-47</f>
        <v>1.6485626E-47</v>
      </c>
      <c r="G6" s="28">
        <f>G5*1.66E-47</f>
        <v>1.6485626E-47</v>
      </c>
      <c r="U6" s="29"/>
    </row>
    <row r="7" spans="1:21" ht="15" thickBot="1" x14ac:dyDescent="0.35">
      <c r="U7" s="29"/>
    </row>
    <row r="8" spans="1:21" ht="15" thickBot="1" x14ac:dyDescent="0.35">
      <c r="A8" s="5" t="s">
        <v>23</v>
      </c>
      <c r="D8" s="23" t="s">
        <v>24</v>
      </c>
      <c r="E8" s="120">
        <v>1817.2668699999999</v>
      </c>
      <c r="F8" s="18"/>
      <c r="G8" s="19"/>
      <c r="U8" s="29"/>
    </row>
    <row r="9" spans="1:21" ht="15" thickBot="1" x14ac:dyDescent="0.35">
      <c r="E9" s="26">
        <f>E8*1000000000</f>
        <v>1817266870000</v>
      </c>
      <c r="F9" s="27"/>
      <c r="G9" s="28"/>
    </row>
    <row r="10" spans="1:21" ht="15" customHeight="1" thickBot="1" x14ac:dyDescent="0.35"/>
    <row r="11" spans="1:21" ht="15" customHeight="1" thickBot="1" x14ac:dyDescent="0.35">
      <c r="D11" s="30" t="s">
        <v>25</v>
      </c>
      <c r="E11" s="121">
        <v>87.214950000000002</v>
      </c>
      <c r="F11" s="31"/>
      <c r="G11" s="32"/>
    </row>
    <row r="12" spans="1:21" ht="27" customHeight="1" x14ac:dyDescent="0.3">
      <c r="A12" s="33" t="s">
        <v>26</v>
      </c>
      <c r="B12" s="34">
        <v>6423.18</v>
      </c>
    </row>
    <row r="13" spans="1:21" ht="15" thickBot="1" x14ac:dyDescent="0.35">
      <c r="A13" s="35"/>
      <c r="B13" s="36"/>
      <c r="S13" s="29"/>
      <c r="T13" s="29"/>
    </row>
    <row r="14" spans="1:21" ht="15.6" x14ac:dyDescent="0.3">
      <c r="A14" s="35"/>
      <c r="B14" s="36"/>
      <c r="D14" s="37" t="s">
        <v>27</v>
      </c>
      <c r="E14" s="38"/>
      <c r="F14" s="3" t="s">
        <v>28</v>
      </c>
      <c r="G14" s="3" t="s">
        <v>29</v>
      </c>
      <c r="H14" s="4" t="s">
        <v>30</v>
      </c>
    </row>
    <row r="15" spans="1:21" x14ac:dyDescent="0.3">
      <c r="A15" s="35"/>
      <c r="B15" s="36"/>
      <c r="E15" s="39"/>
      <c r="F15" s="40" t="s">
        <v>31</v>
      </c>
      <c r="G15" s="40" t="s">
        <v>32</v>
      </c>
      <c r="H15" s="41" t="s">
        <v>32</v>
      </c>
    </row>
    <row r="16" spans="1:21" x14ac:dyDescent="0.3">
      <c r="A16" s="35"/>
      <c r="B16" s="36"/>
      <c r="E16" s="39" t="s">
        <v>33</v>
      </c>
      <c r="F16" s="40">
        <v>7.8630000000000004</v>
      </c>
      <c r="G16" s="40">
        <v>4.968</v>
      </c>
      <c r="H16" s="41">
        <v>31.132999999999999</v>
      </c>
    </row>
    <row r="17" spans="1:10" x14ac:dyDescent="0.3">
      <c r="A17" s="35"/>
      <c r="B17" s="36"/>
      <c r="E17" s="39" t="s">
        <v>34</v>
      </c>
      <c r="F17" s="40" t="s">
        <v>106</v>
      </c>
      <c r="G17" s="40" t="s">
        <v>106</v>
      </c>
      <c r="H17" s="41" t="s">
        <v>106</v>
      </c>
    </row>
    <row r="18" spans="1:10" x14ac:dyDescent="0.3">
      <c r="A18" s="35"/>
      <c r="B18" s="36"/>
      <c r="E18" s="39" t="s">
        <v>35</v>
      </c>
      <c r="F18" s="40">
        <v>0.88900000000000001</v>
      </c>
      <c r="G18" s="40">
        <v>2.9809999999999999</v>
      </c>
      <c r="H18" s="41">
        <v>28.08</v>
      </c>
    </row>
    <row r="19" spans="1:10" x14ac:dyDescent="0.3">
      <c r="A19" s="35"/>
      <c r="B19" s="36"/>
      <c r="E19" s="39" t="s">
        <v>36</v>
      </c>
      <c r="F19" s="40">
        <v>0.59199999999999997</v>
      </c>
      <c r="G19" s="40">
        <v>1.9870000000000001</v>
      </c>
      <c r="H19" s="41">
        <v>3.052</v>
      </c>
    </row>
    <row r="20" spans="1:10" ht="15" thickBot="1" x14ac:dyDescent="0.35">
      <c r="A20" s="26"/>
      <c r="B20" s="28"/>
      <c r="E20" s="43" t="s">
        <v>37</v>
      </c>
      <c r="F20" s="127">
        <v>6.3819999999999997</v>
      </c>
      <c r="G20" s="127" t="s">
        <v>106</v>
      </c>
      <c r="H20" s="45" t="s">
        <v>106</v>
      </c>
    </row>
    <row r="21" spans="1:10" ht="15" thickBot="1" x14ac:dyDescent="0.35">
      <c r="F21" s="46"/>
      <c r="G21" s="46"/>
      <c r="H21" s="46"/>
    </row>
    <row r="22" spans="1:10" x14ac:dyDescent="0.3">
      <c r="E22" s="38"/>
      <c r="F22" s="4" t="s">
        <v>38</v>
      </c>
    </row>
    <row r="23" spans="1:10" x14ac:dyDescent="0.3">
      <c r="E23" s="39" t="s">
        <v>39</v>
      </c>
      <c r="F23" s="47">
        <v>4.0345199999999997</v>
      </c>
      <c r="J23"/>
    </row>
    <row r="24" spans="1:10" x14ac:dyDescent="0.3">
      <c r="E24" s="39" t="s">
        <v>40</v>
      </c>
      <c r="F24" s="47">
        <v>192261</v>
      </c>
    </row>
    <row r="25" spans="1:10" x14ac:dyDescent="0.3">
      <c r="E25" s="39" t="s">
        <v>41</v>
      </c>
      <c r="F25" s="47">
        <v>2.0984599999999999E-5</v>
      </c>
    </row>
    <row r="26" spans="1:10" x14ac:dyDescent="0.3">
      <c r="E26" s="39" t="s">
        <v>42</v>
      </c>
      <c r="F26" s="47">
        <v>1</v>
      </c>
      <c r="G26" s="5" t="s">
        <v>43</v>
      </c>
    </row>
    <row r="27" spans="1:10" x14ac:dyDescent="0.3">
      <c r="E27" s="39" t="s">
        <v>34</v>
      </c>
      <c r="F27" s="47">
        <v>1</v>
      </c>
      <c r="G27" s="48"/>
    </row>
    <row r="28" spans="1:10" x14ac:dyDescent="0.3">
      <c r="E28" s="39" t="s">
        <v>35</v>
      </c>
      <c r="F28" s="47">
        <v>112481</v>
      </c>
      <c r="G28" s="48"/>
    </row>
    <row r="29" spans="1:10" ht="15" thickBot="1" x14ac:dyDescent="0.35">
      <c r="E29" s="43" t="s">
        <v>36</v>
      </c>
      <c r="F29" s="49">
        <v>1.7092799999999999</v>
      </c>
      <c r="G29" s="48"/>
    </row>
    <row r="30" spans="1:10" ht="15" thickBot="1" x14ac:dyDescent="0.35"/>
    <row r="31" spans="1:10" ht="16.2" x14ac:dyDescent="0.3">
      <c r="A31" s="17" t="s">
        <v>44</v>
      </c>
      <c r="B31" s="18" t="s">
        <v>45</v>
      </c>
      <c r="C31" s="50" t="s">
        <v>46</v>
      </c>
      <c r="D31" s="50" t="s">
        <v>47</v>
      </c>
      <c r="E31" s="16" t="s">
        <v>48</v>
      </c>
    </row>
    <row r="32" spans="1:10" ht="15" thickBot="1" x14ac:dyDescent="0.35">
      <c r="A32" s="122">
        <v>4464.3383000000003</v>
      </c>
      <c r="B32" s="55">
        <f>A32*$I$2</f>
        <v>133837737197190.02</v>
      </c>
      <c r="C32" s="52">
        <f>298.15</f>
        <v>298.14999999999998</v>
      </c>
      <c r="D32" s="53">
        <f>($A$2*C32)/$J$2</f>
        <v>4.062431680236861E-26</v>
      </c>
      <c r="E32" s="54">
        <f>$F$2*($F$83*D32)/($D$2*C32)</f>
        <v>0.99996338110898686</v>
      </c>
    </row>
    <row r="33" spans="1:5" x14ac:dyDescent="0.3">
      <c r="A33" s="35"/>
      <c r="B33" s="51"/>
      <c r="C33" s="52">
        <f>300+100</f>
        <v>400</v>
      </c>
      <c r="D33" s="53">
        <f t="shared" ref="D33:D50" si="0">($A$2*C33)/$J$2</f>
        <v>5.4501850481125095E-26</v>
      </c>
      <c r="E33" s="54">
        <f t="shared" ref="E33:E50" si="1">$F$2*($F$83*D33)/($D$2*C33)</f>
        <v>0.99996338110898686</v>
      </c>
    </row>
    <row r="34" spans="1:5" x14ac:dyDescent="0.3">
      <c r="A34" s="35"/>
      <c r="B34" s="51"/>
      <c r="C34" s="52">
        <f t="shared" ref="C34:C50" si="2">C33+100</f>
        <v>500</v>
      </c>
      <c r="D34" s="53">
        <f t="shared" si="0"/>
        <v>6.8127313101406362E-26</v>
      </c>
      <c r="E34" s="54">
        <f t="shared" si="1"/>
        <v>0.99996338110898675</v>
      </c>
    </row>
    <row r="35" spans="1:5" x14ac:dyDescent="0.3">
      <c r="A35" s="35"/>
      <c r="B35" s="51"/>
      <c r="C35" s="52">
        <f t="shared" si="2"/>
        <v>600</v>
      </c>
      <c r="D35" s="53">
        <f t="shared" si="0"/>
        <v>8.175277572168763E-26</v>
      </c>
      <c r="E35" s="54">
        <f t="shared" si="1"/>
        <v>0.99996338110898653</v>
      </c>
    </row>
    <row r="36" spans="1:5" x14ac:dyDescent="0.3">
      <c r="A36" s="35"/>
      <c r="B36" s="51"/>
      <c r="C36" s="52">
        <f t="shared" si="2"/>
        <v>700</v>
      </c>
      <c r="D36" s="53">
        <f t="shared" si="0"/>
        <v>9.5378238341968898E-26</v>
      </c>
      <c r="E36" s="54">
        <f t="shared" si="1"/>
        <v>0.99996338110898653</v>
      </c>
    </row>
    <row r="37" spans="1:5" x14ac:dyDescent="0.3">
      <c r="A37" s="35"/>
      <c r="B37" s="51"/>
      <c r="C37" s="52">
        <f t="shared" si="2"/>
        <v>800</v>
      </c>
      <c r="D37" s="53">
        <f t="shared" si="0"/>
        <v>1.0900370096225019E-25</v>
      </c>
      <c r="E37" s="54">
        <f t="shared" si="1"/>
        <v>0.99996338110898686</v>
      </c>
    </row>
    <row r="38" spans="1:5" x14ac:dyDescent="0.3">
      <c r="A38" s="35"/>
      <c r="B38" s="51"/>
      <c r="C38" s="52">
        <f t="shared" si="2"/>
        <v>900</v>
      </c>
      <c r="D38" s="53">
        <f t="shared" si="0"/>
        <v>1.2262916358253145E-25</v>
      </c>
      <c r="E38" s="54">
        <f t="shared" si="1"/>
        <v>0.99996338110898675</v>
      </c>
    </row>
    <row r="39" spans="1:5" x14ac:dyDescent="0.3">
      <c r="B39" s="51"/>
      <c r="C39" s="52">
        <f t="shared" si="2"/>
        <v>1000</v>
      </c>
      <c r="D39" s="53">
        <f t="shared" si="0"/>
        <v>1.3625462620281272E-25</v>
      </c>
      <c r="E39" s="54">
        <f t="shared" si="1"/>
        <v>0.99996338110898675</v>
      </c>
    </row>
    <row r="40" spans="1:5" x14ac:dyDescent="0.3">
      <c r="B40" s="51"/>
      <c r="C40" s="52">
        <f t="shared" si="2"/>
        <v>1100</v>
      </c>
      <c r="D40" s="53">
        <f t="shared" si="0"/>
        <v>1.4988008882309398E-25</v>
      </c>
      <c r="E40" s="54">
        <f t="shared" si="1"/>
        <v>0.99996338110898653</v>
      </c>
    </row>
    <row r="41" spans="1:5" x14ac:dyDescent="0.3">
      <c r="B41" s="51"/>
      <c r="C41" s="52">
        <f t="shared" si="2"/>
        <v>1200</v>
      </c>
      <c r="D41" s="53">
        <f t="shared" si="0"/>
        <v>1.6350555144337526E-25</v>
      </c>
      <c r="E41" s="54">
        <f t="shared" si="1"/>
        <v>0.99996338110898653</v>
      </c>
    </row>
    <row r="42" spans="1:5" x14ac:dyDescent="0.3">
      <c r="B42" s="51"/>
      <c r="C42" s="52">
        <f t="shared" si="2"/>
        <v>1300</v>
      </c>
      <c r="D42" s="53">
        <f t="shared" si="0"/>
        <v>1.7713101406365654E-25</v>
      </c>
      <c r="E42" s="54">
        <f t="shared" si="1"/>
        <v>0.99996338110898675</v>
      </c>
    </row>
    <row r="43" spans="1:5" x14ac:dyDescent="0.3">
      <c r="B43" s="51"/>
      <c r="C43" s="52">
        <f t="shared" si="2"/>
        <v>1400</v>
      </c>
      <c r="D43" s="53">
        <f t="shared" si="0"/>
        <v>1.907564766839378E-25</v>
      </c>
      <c r="E43" s="54">
        <f t="shared" si="1"/>
        <v>0.99996338110898653</v>
      </c>
    </row>
    <row r="44" spans="1:5" x14ac:dyDescent="0.3">
      <c r="B44" s="51"/>
      <c r="C44" s="52">
        <f t="shared" si="2"/>
        <v>1500</v>
      </c>
      <c r="D44" s="53">
        <f t="shared" si="0"/>
        <v>2.0438193930421908E-25</v>
      </c>
      <c r="E44" s="54">
        <f t="shared" si="1"/>
        <v>0.99996338110898675</v>
      </c>
    </row>
    <row r="45" spans="1:5" x14ac:dyDescent="0.3">
      <c r="B45" s="51"/>
      <c r="C45" s="52">
        <f t="shared" si="2"/>
        <v>1600</v>
      </c>
      <c r="D45" s="53">
        <f t="shared" si="0"/>
        <v>2.1800740192450038E-25</v>
      </c>
      <c r="E45" s="54">
        <f t="shared" si="1"/>
        <v>0.99996338110898686</v>
      </c>
    </row>
    <row r="46" spans="1:5" x14ac:dyDescent="0.3">
      <c r="B46" s="51"/>
      <c r="C46" s="52">
        <f t="shared" si="2"/>
        <v>1700</v>
      </c>
      <c r="D46" s="53">
        <f t="shared" si="0"/>
        <v>2.3163286454478159E-25</v>
      </c>
      <c r="E46" s="54">
        <f t="shared" si="1"/>
        <v>0.99996338110898664</v>
      </c>
    </row>
    <row r="47" spans="1:5" x14ac:dyDescent="0.3">
      <c r="B47" s="51"/>
      <c r="C47" s="52">
        <f t="shared" si="2"/>
        <v>1800</v>
      </c>
      <c r="D47" s="53">
        <f t="shared" si="0"/>
        <v>2.4525832716506289E-25</v>
      </c>
      <c r="E47" s="54">
        <f t="shared" si="1"/>
        <v>0.99996338110898675</v>
      </c>
    </row>
    <row r="48" spans="1:5" x14ac:dyDescent="0.3">
      <c r="B48" s="51"/>
      <c r="C48" s="52">
        <f t="shared" si="2"/>
        <v>1900</v>
      </c>
      <c r="D48" s="53">
        <f t="shared" si="0"/>
        <v>2.5888378978534419E-25</v>
      </c>
      <c r="E48" s="54">
        <f t="shared" si="1"/>
        <v>0.99996338110898686</v>
      </c>
    </row>
    <row r="49" spans="1:23" x14ac:dyDescent="0.3">
      <c r="B49" s="51"/>
      <c r="C49" s="52">
        <f t="shared" si="2"/>
        <v>2000</v>
      </c>
      <c r="D49" s="53">
        <f t="shared" si="0"/>
        <v>2.7250925240562545E-25</v>
      </c>
      <c r="E49" s="54">
        <f t="shared" si="1"/>
        <v>0.99996338110898675</v>
      </c>
    </row>
    <row r="50" spans="1:23" ht="15" thickBot="1" x14ac:dyDescent="0.35">
      <c r="C50" s="25">
        <f t="shared" si="2"/>
        <v>2100</v>
      </c>
      <c r="D50" s="56">
        <f t="shared" si="0"/>
        <v>2.8613471502590675E-25</v>
      </c>
      <c r="E50" s="57">
        <f t="shared" si="1"/>
        <v>0.99996338110898664</v>
      </c>
    </row>
    <row r="51" spans="1:23" ht="15" thickBot="1" x14ac:dyDescent="0.35"/>
    <row r="52" spans="1:23" ht="18.600000000000001" thickBot="1" x14ac:dyDescent="0.35">
      <c r="D52" s="197" t="s">
        <v>49</v>
      </c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9"/>
    </row>
    <row r="53" spans="1:23" x14ac:dyDescent="0.3">
      <c r="A53" s="11" t="s">
        <v>50</v>
      </c>
      <c r="B53" s="59">
        <f>E54</f>
        <v>1.0000000004399896</v>
      </c>
      <c r="D53" s="60" t="s">
        <v>51</v>
      </c>
      <c r="E53" s="61">
        <v>298.14999999999998</v>
      </c>
      <c r="F53" s="61">
        <f>300+100</f>
        <v>400</v>
      </c>
      <c r="G53" s="61">
        <f t="shared" ref="G53:W53" si="3">F53+100</f>
        <v>500</v>
      </c>
      <c r="H53" s="61">
        <f t="shared" si="3"/>
        <v>600</v>
      </c>
      <c r="I53" s="61">
        <f t="shared" si="3"/>
        <v>700</v>
      </c>
      <c r="J53" s="61">
        <f t="shared" si="3"/>
        <v>800</v>
      </c>
      <c r="K53" s="61">
        <f t="shared" si="3"/>
        <v>900</v>
      </c>
      <c r="L53" s="61">
        <f t="shared" si="3"/>
        <v>1000</v>
      </c>
      <c r="M53" s="61">
        <f t="shared" si="3"/>
        <v>1100</v>
      </c>
      <c r="N53" s="61">
        <f t="shared" si="3"/>
        <v>1200</v>
      </c>
      <c r="O53" s="61">
        <f t="shared" si="3"/>
        <v>1300</v>
      </c>
      <c r="P53" s="61">
        <f t="shared" si="3"/>
        <v>1400</v>
      </c>
      <c r="Q53" s="61">
        <f t="shared" si="3"/>
        <v>1500</v>
      </c>
      <c r="R53" s="61">
        <f t="shared" si="3"/>
        <v>1600</v>
      </c>
      <c r="S53" s="61">
        <f t="shared" si="3"/>
        <v>1700</v>
      </c>
      <c r="T53" s="61">
        <f t="shared" si="3"/>
        <v>1800</v>
      </c>
      <c r="U53" s="61">
        <f t="shared" si="3"/>
        <v>1900</v>
      </c>
      <c r="V53" s="61">
        <f t="shared" si="3"/>
        <v>2000</v>
      </c>
      <c r="W53" s="62">
        <f t="shared" si="3"/>
        <v>2100</v>
      </c>
    </row>
    <row r="54" spans="1:23" x14ac:dyDescent="0.3">
      <c r="A54" s="35"/>
      <c r="B54" s="63"/>
      <c r="D54" s="64">
        <f t="shared" ref="D54:D62" si="4">A32*$I$2</f>
        <v>133837737197190.02</v>
      </c>
      <c r="E54" s="51">
        <f>1/(1 - EXP((-$C$2*$D$54)/($A$2*E53)))</f>
        <v>1.0000000004399896</v>
      </c>
      <c r="F54" s="51">
        <f t="shared" ref="F54:W54" si="5">1/(1 - EXP((-$C$2*$D$54)/($A$2*F53)))</f>
        <v>1.0000001061343131</v>
      </c>
      <c r="G54" s="51">
        <f t="shared" si="5"/>
        <v>1.0000026344245077</v>
      </c>
      <c r="H54" s="51">
        <f t="shared" si="5"/>
        <v>1.0000224171422158</v>
      </c>
      <c r="I54" s="51">
        <f t="shared" si="5"/>
        <v>1.0001034712412127</v>
      </c>
      <c r="J54" s="51">
        <f t="shared" si="5"/>
        <v>1.0003258887678592</v>
      </c>
      <c r="K54" s="51">
        <f t="shared" si="5"/>
        <v>1.000795656752637</v>
      </c>
      <c r="L54" s="51">
        <f t="shared" si="5"/>
        <v>1.0016257275973854</v>
      </c>
      <c r="M54" s="51">
        <f t="shared" si="5"/>
        <v>1.0029188605732668</v>
      </c>
      <c r="N54" s="51">
        <f t="shared" si="5"/>
        <v>1.0047571446680683</v>
      </c>
      <c r="O54" s="51">
        <f t="shared" si="5"/>
        <v>1.0071982083228574</v>
      </c>
      <c r="P54" s="51">
        <f t="shared" si="5"/>
        <v>1.0102760789457457</v>
      </c>
      <c r="Q54" s="51">
        <f t="shared" si="5"/>
        <v>1.0140045156633004</v>
      </c>
      <c r="R54" s="51">
        <f t="shared" si="5"/>
        <v>1.0183812195969593</v>
      </c>
      <c r="S54" s="51">
        <f t="shared" si="5"/>
        <v>1.023391975131009</v>
      </c>
      <c r="T54" s="51">
        <f t="shared" si="5"/>
        <v>1.0290142644841496</v>
      </c>
      <c r="U54" s="51">
        <f t="shared" si="5"/>
        <v>1.0352202024157715</v>
      </c>
      <c r="V54" s="51">
        <f t="shared" si="5"/>
        <v>1.0419788016761509</v>
      </c>
      <c r="W54" s="51">
        <f t="shared" si="5"/>
        <v>1.0492576536243237</v>
      </c>
    </row>
    <row r="55" spans="1:23" x14ac:dyDescent="0.3">
      <c r="A55" s="35"/>
      <c r="B55" s="63"/>
      <c r="D55" s="64">
        <f t="shared" si="4"/>
        <v>0</v>
      </c>
      <c r="E55" s="51">
        <v>1</v>
      </c>
      <c r="F55" s="51">
        <v>1</v>
      </c>
      <c r="G55" s="51">
        <v>1</v>
      </c>
      <c r="H55" s="51">
        <v>1</v>
      </c>
      <c r="I55" s="51">
        <v>1</v>
      </c>
      <c r="J55" s="51">
        <v>1</v>
      </c>
      <c r="K55" s="51">
        <v>1</v>
      </c>
      <c r="L55" s="51">
        <v>1</v>
      </c>
      <c r="M55" s="51">
        <v>1</v>
      </c>
      <c r="N55" s="51">
        <v>1</v>
      </c>
      <c r="O55" s="51">
        <v>1</v>
      </c>
      <c r="P55" s="51">
        <v>1</v>
      </c>
      <c r="Q55" s="51">
        <v>1</v>
      </c>
      <c r="R55" s="51">
        <v>1</v>
      </c>
      <c r="S55" s="51">
        <v>1</v>
      </c>
      <c r="T55" s="51">
        <v>1</v>
      </c>
      <c r="U55" s="51">
        <v>1</v>
      </c>
      <c r="V55" s="51">
        <v>1</v>
      </c>
      <c r="W55" s="63">
        <v>1</v>
      </c>
    </row>
    <row r="56" spans="1:23" x14ac:dyDescent="0.3">
      <c r="A56" s="35"/>
      <c r="B56" s="63"/>
      <c r="D56" s="64">
        <f t="shared" si="4"/>
        <v>0</v>
      </c>
      <c r="E56" s="51">
        <v>1</v>
      </c>
      <c r="F56" s="51">
        <v>1</v>
      </c>
      <c r="G56" s="51">
        <v>1</v>
      </c>
      <c r="H56" s="51">
        <v>1</v>
      </c>
      <c r="I56" s="51">
        <v>1</v>
      </c>
      <c r="J56" s="51">
        <v>1</v>
      </c>
      <c r="K56" s="51">
        <v>1</v>
      </c>
      <c r="L56" s="51">
        <v>1</v>
      </c>
      <c r="M56" s="51">
        <v>1</v>
      </c>
      <c r="N56" s="51">
        <v>1</v>
      </c>
      <c r="O56" s="51">
        <v>1</v>
      </c>
      <c r="P56" s="51">
        <v>1</v>
      </c>
      <c r="Q56" s="51">
        <v>1</v>
      </c>
      <c r="R56" s="51">
        <v>1</v>
      </c>
      <c r="S56" s="51">
        <v>1</v>
      </c>
      <c r="T56" s="51">
        <v>1</v>
      </c>
      <c r="U56" s="51">
        <v>1</v>
      </c>
      <c r="V56" s="51">
        <v>1</v>
      </c>
      <c r="W56" s="63">
        <v>1</v>
      </c>
    </row>
    <row r="57" spans="1:23" x14ac:dyDescent="0.3">
      <c r="A57" s="35"/>
      <c r="B57" s="63"/>
      <c r="D57" s="64">
        <f t="shared" si="4"/>
        <v>0</v>
      </c>
      <c r="E57" s="51">
        <v>1</v>
      </c>
      <c r="F57" s="51">
        <v>1</v>
      </c>
      <c r="G57" s="51">
        <v>1</v>
      </c>
      <c r="H57" s="51">
        <v>1</v>
      </c>
      <c r="I57" s="51">
        <v>1</v>
      </c>
      <c r="J57" s="51">
        <v>1</v>
      </c>
      <c r="K57" s="51">
        <v>1</v>
      </c>
      <c r="L57" s="51">
        <v>1</v>
      </c>
      <c r="M57" s="51">
        <v>1</v>
      </c>
      <c r="N57" s="51">
        <v>1</v>
      </c>
      <c r="O57" s="51">
        <v>1</v>
      </c>
      <c r="P57" s="51">
        <v>1</v>
      </c>
      <c r="Q57" s="51">
        <v>1</v>
      </c>
      <c r="R57" s="51">
        <v>1</v>
      </c>
      <c r="S57" s="51">
        <v>1</v>
      </c>
      <c r="T57" s="51">
        <v>1</v>
      </c>
      <c r="U57" s="51">
        <v>1</v>
      </c>
      <c r="V57" s="51">
        <v>1</v>
      </c>
      <c r="W57" s="63">
        <v>1</v>
      </c>
    </row>
    <row r="58" spans="1:23" x14ac:dyDescent="0.3">
      <c r="A58" s="35"/>
      <c r="B58" s="63"/>
      <c r="D58" s="64">
        <f t="shared" si="4"/>
        <v>0</v>
      </c>
      <c r="E58" s="51">
        <v>1</v>
      </c>
      <c r="F58" s="51">
        <v>1</v>
      </c>
      <c r="G58" s="51">
        <v>1</v>
      </c>
      <c r="H58" s="51">
        <v>1</v>
      </c>
      <c r="I58" s="51">
        <v>1</v>
      </c>
      <c r="J58" s="51">
        <v>1</v>
      </c>
      <c r="K58" s="51">
        <v>1</v>
      </c>
      <c r="L58" s="51">
        <v>1</v>
      </c>
      <c r="M58" s="51">
        <v>1</v>
      </c>
      <c r="N58" s="51">
        <v>1</v>
      </c>
      <c r="O58" s="51">
        <v>1</v>
      </c>
      <c r="P58" s="51">
        <v>1</v>
      </c>
      <c r="Q58" s="51">
        <v>1</v>
      </c>
      <c r="R58" s="51">
        <v>1</v>
      </c>
      <c r="S58" s="51">
        <v>1</v>
      </c>
      <c r="T58" s="51">
        <v>1</v>
      </c>
      <c r="U58" s="51">
        <v>1</v>
      </c>
      <c r="V58" s="51">
        <v>1</v>
      </c>
      <c r="W58" s="63">
        <v>1</v>
      </c>
    </row>
    <row r="59" spans="1:23" x14ac:dyDescent="0.3">
      <c r="A59" s="35"/>
      <c r="B59" s="63"/>
      <c r="D59" s="64">
        <f t="shared" si="4"/>
        <v>0</v>
      </c>
      <c r="E59" s="51">
        <v>1</v>
      </c>
      <c r="F59" s="51">
        <v>1</v>
      </c>
      <c r="G59" s="51">
        <v>1</v>
      </c>
      <c r="H59" s="51">
        <v>1</v>
      </c>
      <c r="I59" s="51">
        <v>1</v>
      </c>
      <c r="J59" s="51">
        <v>1</v>
      </c>
      <c r="K59" s="51">
        <v>1</v>
      </c>
      <c r="L59" s="51">
        <v>1</v>
      </c>
      <c r="M59" s="51">
        <v>1</v>
      </c>
      <c r="N59" s="51">
        <v>1</v>
      </c>
      <c r="O59" s="51">
        <v>1</v>
      </c>
      <c r="P59" s="51">
        <v>1</v>
      </c>
      <c r="Q59" s="51">
        <v>1</v>
      </c>
      <c r="R59" s="51">
        <v>1</v>
      </c>
      <c r="S59" s="51">
        <v>1</v>
      </c>
      <c r="T59" s="51">
        <v>1</v>
      </c>
      <c r="U59" s="51">
        <v>1</v>
      </c>
      <c r="V59" s="51">
        <v>1</v>
      </c>
      <c r="W59" s="63">
        <v>1</v>
      </c>
    </row>
    <row r="60" spans="1:23" x14ac:dyDescent="0.3">
      <c r="A60" s="35"/>
      <c r="B60" s="63"/>
      <c r="D60" s="64">
        <f t="shared" si="4"/>
        <v>0</v>
      </c>
      <c r="E60" s="51">
        <v>1</v>
      </c>
      <c r="F60" s="51">
        <v>1</v>
      </c>
      <c r="G60" s="51">
        <v>1</v>
      </c>
      <c r="H60" s="51">
        <v>1</v>
      </c>
      <c r="I60" s="51">
        <v>1</v>
      </c>
      <c r="J60" s="51">
        <v>1</v>
      </c>
      <c r="K60" s="51">
        <v>1</v>
      </c>
      <c r="L60" s="51">
        <v>1</v>
      </c>
      <c r="M60" s="51">
        <v>1</v>
      </c>
      <c r="N60" s="51">
        <v>1</v>
      </c>
      <c r="O60" s="51">
        <v>1</v>
      </c>
      <c r="P60" s="51">
        <v>1</v>
      </c>
      <c r="Q60" s="51">
        <v>1</v>
      </c>
      <c r="R60" s="51">
        <v>1</v>
      </c>
      <c r="S60" s="51">
        <v>1</v>
      </c>
      <c r="T60" s="51">
        <v>1</v>
      </c>
      <c r="U60" s="51">
        <v>1</v>
      </c>
      <c r="V60" s="51">
        <v>1</v>
      </c>
      <c r="W60" s="63">
        <v>1</v>
      </c>
    </row>
    <row r="61" spans="1:23" ht="15" thickBot="1" x14ac:dyDescent="0.35">
      <c r="A61" s="26"/>
      <c r="B61" s="65"/>
      <c r="D61" s="64">
        <f t="shared" si="4"/>
        <v>0</v>
      </c>
      <c r="E61" s="51">
        <v>1</v>
      </c>
      <c r="F61" s="51">
        <v>1</v>
      </c>
      <c r="G61" s="51">
        <v>1</v>
      </c>
      <c r="H61" s="51">
        <v>1</v>
      </c>
      <c r="I61" s="51">
        <v>1</v>
      </c>
      <c r="J61" s="51">
        <v>1</v>
      </c>
      <c r="K61" s="51">
        <v>1</v>
      </c>
      <c r="L61" s="51">
        <v>1</v>
      </c>
      <c r="M61" s="51">
        <v>1</v>
      </c>
      <c r="N61" s="51">
        <v>1</v>
      </c>
      <c r="O61" s="51">
        <v>1</v>
      </c>
      <c r="P61" s="51">
        <v>1</v>
      </c>
      <c r="Q61" s="51">
        <v>1</v>
      </c>
      <c r="R61" s="51">
        <v>1</v>
      </c>
      <c r="S61" s="51">
        <v>1</v>
      </c>
      <c r="T61" s="51">
        <v>1</v>
      </c>
      <c r="U61" s="51">
        <v>1</v>
      </c>
      <c r="V61" s="51">
        <v>1</v>
      </c>
      <c r="W61" s="63">
        <v>1</v>
      </c>
    </row>
    <row r="62" spans="1:23" ht="15" thickBot="1" x14ac:dyDescent="0.35">
      <c r="B62" s="51"/>
      <c r="D62" s="66">
        <f t="shared" si="4"/>
        <v>0</v>
      </c>
      <c r="E62" s="55">
        <v>1</v>
      </c>
      <c r="F62" s="55">
        <v>1</v>
      </c>
      <c r="G62" s="55">
        <v>1</v>
      </c>
      <c r="H62" s="55">
        <v>1</v>
      </c>
      <c r="I62" s="55">
        <v>1</v>
      </c>
      <c r="J62" s="55">
        <v>1</v>
      </c>
      <c r="K62" s="55">
        <v>1</v>
      </c>
      <c r="L62" s="55">
        <v>1</v>
      </c>
      <c r="M62" s="55">
        <v>1</v>
      </c>
      <c r="N62" s="55">
        <v>1</v>
      </c>
      <c r="O62" s="55">
        <v>1</v>
      </c>
      <c r="P62" s="55">
        <v>1</v>
      </c>
      <c r="Q62" s="55">
        <v>1</v>
      </c>
      <c r="R62" s="55">
        <v>1</v>
      </c>
      <c r="S62" s="55">
        <v>1</v>
      </c>
      <c r="T62" s="55">
        <v>1</v>
      </c>
      <c r="U62" s="55">
        <v>1</v>
      </c>
      <c r="V62" s="55">
        <v>1</v>
      </c>
      <c r="W62" s="65">
        <v>1</v>
      </c>
    </row>
    <row r="63" spans="1:23" x14ac:dyDescent="0.3">
      <c r="B63" s="51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</row>
    <row r="64" spans="1:23" ht="15" thickBot="1" x14ac:dyDescent="0.35">
      <c r="B64" s="51"/>
      <c r="D64" s="67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</row>
    <row r="65" spans="1:23" x14ac:dyDescent="0.3">
      <c r="B65" s="51"/>
      <c r="D65" s="68" t="s">
        <v>52</v>
      </c>
      <c r="E65" s="69">
        <v>298.14999999999998</v>
      </c>
      <c r="F65" s="69">
        <f>300+100</f>
        <v>400</v>
      </c>
      <c r="G65" s="69">
        <f t="shared" ref="G65:W65" si="6">F65+100</f>
        <v>500</v>
      </c>
      <c r="H65" s="69">
        <f t="shared" si="6"/>
        <v>600</v>
      </c>
      <c r="I65" s="69">
        <f t="shared" si="6"/>
        <v>700</v>
      </c>
      <c r="J65" s="69">
        <f t="shared" si="6"/>
        <v>800</v>
      </c>
      <c r="K65" s="69">
        <f t="shared" si="6"/>
        <v>900</v>
      </c>
      <c r="L65" s="69">
        <f t="shared" si="6"/>
        <v>1000</v>
      </c>
      <c r="M65" s="69">
        <f t="shared" si="6"/>
        <v>1100</v>
      </c>
      <c r="N65" s="69">
        <f t="shared" si="6"/>
        <v>1200</v>
      </c>
      <c r="O65" s="69">
        <f t="shared" si="6"/>
        <v>1300</v>
      </c>
      <c r="P65" s="69">
        <f t="shared" si="6"/>
        <v>1400</v>
      </c>
      <c r="Q65" s="69">
        <f t="shared" si="6"/>
        <v>1500</v>
      </c>
      <c r="R65" s="69">
        <f t="shared" si="6"/>
        <v>1600</v>
      </c>
      <c r="S65" s="69">
        <f t="shared" si="6"/>
        <v>1700</v>
      </c>
      <c r="T65" s="69">
        <f t="shared" si="6"/>
        <v>1800</v>
      </c>
      <c r="U65" s="69">
        <f t="shared" si="6"/>
        <v>1900</v>
      </c>
      <c r="V65" s="69">
        <f t="shared" si="6"/>
        <v>2000</v>
      </c>
      <c r="W65" s="70">
        <f t="shared" si="6"/>
        <v>2100</v>
      </c>
    </row>
    <row r="66" spans="1:23" ht="15" thickBot="1" x14ac:dyDescent="0.35">
      <c r="B66" s="51"/>
      <c r="D66" s="66" t="s">
        <v>53</v>
      </c>
      <c r="E66" s="55">
        <f>PRODUCT(E54:E62)</f>
        <v>1.0000000004399896</v>
      </c>
      <c r="F66" s="55">
        <f>PRODUCT(F54:F62)</f>
        <v>1.0000001061343131</v>
      </c>
      <c r="G66" s="55">
        <f t="shared" ref="G66:W66" si="7">PRODUCT(G54:G62)</f>
        <v>1.0000026344245077</v>
      </c>
      <c r="H66" s="55">
        <f t="shared" si="7"/>
        <v>1.0000224171422158</v>
      </c>
      <c r="I66" s="55">
        <f t="shared" si="7"/>
        <v>1.0001034712412127</v>
      </c>
      <c r="J66" s="55">
        <f t="shared" si="7"/>
        <v>1.0003258887678592</v>
      </c>
      <c r="K66" s="55">
        <f t="shared" si="7"/>
        <v>1.000795656752637</v>
      </c>
      <c r="L66" s="55">
        <f t="shared" si="7"/>
        <v>1.0016257275973854</v>
      </c>
      <c r="M66" s="55">
        <f t="shared" si="7"/>
        <v>1.0029188605732668</v>
      </c>
      <c r="N66" s="55">
        <f t="shared" si="7"/>
        <v>1.0047571446680683</v>
      </c>
      <c r="O66" s="55">
        <f t="shared" si="7"/>
        <v>1.0071982083228574</v>
      </c>
      <c r="P66" s="55">
        <f t="shared" si="7"/>
        <v>1.0102760789457457</v>
      </c>
      <c r="Q66" s="55">
        <f t="shared" si="7"/>
        <v>1.0140045156633004</v>
      </c>
      <c r="R66" s="55">
        <f t="shared" si="7"/>
        <v>1.0183812195969593</v>
      </c>
      <c r="S66" s="55">
        <f t="shared" si="7"/>
        <v>1.023391975131009</v>
      </c>
      <c r="T66" s="55">
        <f t="shared" si="7"/>
        <v>1.0290142644841496</v>
      </c>
      <c r="U66" s="55">
        <f t="shared" si="7"/>
        <v>1.0352202024157715</v>
      </c>
      <c r="V66" s="55">
        <f t="shared" si="7"/>
        <v>1.0419788016761509</v>
      </c>
      <c r="W66" s="65">
        <f t="shared" si="7"/>
        <v>1.0492576536243237</v>
      </c>
    </row>
    <row r="67" spans="1:23" x14ac:dyDescent="0.3">
      <c r="B67" s="51"/>
      <c r="D67" s="67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</row>
    <row r="68" spans="1:23" x14ac:dyDescent="0.3">
      <c r="B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</row>
    <row r="69" spans="1:23" x14ac:dyDescent="0.3">
      <c r="B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</row>
    <row r="70" spans="1:23" x14ac:dyDescent="0.3">
      <c r="B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</row>
    <row r="71" spans="1:23" ht="15" thickBot="1" x14ac:dyDescent="0.35"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</row>
    <row r="72" spans="1:23" x14ac:dyDescent="0.3">
      <c r="A72" s="17" t="s">
        <v>54</v>
      </c>
      <c r="B72" s="19">
        <f>COUNT(B53:B70)</f>
        <v>1</v>
      </c>
    </row>
    <row r="73" spans="1:23" ht="21" thickBot="1" x14ac:dyDescent="0.35">
      <c r="A73" s="71" t="s">
        <v>55</v>
      </c>
      <c r="B73" s="123">
        <f>PRODUCT(B53:B61)</f>
        <v>1.0000000004399896</v>
      </c>
    </row>
    <row r="76" spans="1:23" ht="15" thickBot="1" x14ac:dyDescent="0.35"/>
    <row r="77" spans="1:23" x14ac:dyDescent="0.3">
      <c r="A77" s="16" t="s">
        <v>56</v>
      </c>
    </row>
    <row r="78" spans="1:23" x14ac:dyDescent="0.3">
      <c r="A78" s="73">
        <v>1</v>
      </c>
    </row>
    <row r="79" spans="1:23" x14ac:dyDescent="0.3">
      <c r="A79" s="74" t="s">
        <v>57</v>
      </c>
    </row>
    <row r="80" spans="1:23" ht="15" thickBot="1" x14ac:dyDescent="0.35">
      <c r="A80" s="75">
        <f>ABS(B73-A78)/B73</f>
        <v>4.3998960011574089E-10</v>
      </c>
    </row>
    <row r="81" spans="2:10" ht="15" thickBot="1" x14ac:dyDescent="0.35"/>
    <row r="82" spans="2:10" ht="18" x14ac:dyDescent="0.3">
      <c r="D82" s="11" t="s">
        <v>46</v>
      </c>
      <c r="E82" s="58" t="s">
        <v>58</v>
      </c>
      <c r="F82" s="50" t="s">
        <v>9</v>
      </c>
    </row>
    <row r="83" spans="2:10" ht="18.600000000000001" thickBot="1" x14ac:dyDescent="0.35">
      <c r="B83" s="76"/>
      <c r="D83" s="35">
        <f>298.15</f>
        <v>298.14999999999998</v>
      </c>
      <c r="E83" s="63">
        <f xml:space="preserve"> ( (2*$B$2*$E$2*$A$2*D83)/($C$2*$C$2) )^(1.5) * ($A$2*D83) /$F$83</f>
        <v>112416.41450476111</v>
      </c>
      <c r="F83" s="25">
        <v>101325</v>
      </c>
      <c r="H83" s="5" t="s">
        <v>59</v>
      </c>
    </row>
    <row r="84" spans="2:10" ht="15" thickBot="1" x14ac:dyDescent="0.35">
      <c r="D84" s="35">
        <f>300+100</f>
        <v>400</v>
      </c>
      <c r="E84" s="63">
        <f t="shared" ref="E84:E101" si="8" xml:space="preserve"> ( (2*$B$2*$E$2*$A$2*D84)/($C$2*$C$2) )^(1.5) * ($A$2*D84) /$F$83</f>
        <v>234364.95617748235</v>
      </c>
    </row>
    <row r="85" spans="2:10" ht="15" thickBot="1" x14ac:dyDescent="0.35">
      <c r="D85" s="35">
        <f t="shared" ref="D85:D101" si="9">D84+100</f>
        <v>500</v>
      </c>
      <c r="E85" s="63">
        <f t="shared" si="8"/>
        <v>409418.72934110375</v>
      </c>
      <c r="J85" s="16" t="s">
        <v>60</v>
      </c>
    </row>
    <row r="86" spans="2:10" x14ac:dyDescent="0.3">
      <c r="D86" s="35">
        <f t="shared" si="9"/>
        <v>600</v>
      </c>
      <c r="E86" s="63">
        <f t="shared" si="8"/>
        <v>645833.87575264857</v>
      </c>
      <c r="H86" s="77" t="s">
        <v>61</v>
      </c>
      <c r="I86" s="17" t="s">
        <v>62</v>
      </c>
      <c r="J86" s="78">
        <f xml:space="preserve"> ( (2*$B$2*$E$2*$A$2*298.15)/($C$2*$C$2) )^(1.5) * ($A$2*D83) /$F$83</f>
        <v>112416.41450476111</v>
      </c>
    </row>
    <row r="87" spans="2:10" ht="15" thickBot="1" x14ac:dyDescent="0.35">
      <c r="D87" s="35">
        <f t="shared" si="9"/>
        <v>700</v>
      </c>
      <c r="E87" s="63">
        <f t="shared" si="8"/>
        <v>949484.31605107896</v>
      </c>
      <c r="H87" s="61" t="s">
        <v>63</v>
      </c>
      <c r="I87" s="26" t="s">
        <v>62</v>
      </c>
      <c r="J87" s="79">
        <v>112481</v>
      </c>
    </row>
    <row r="88" spans="2:10" x14ac:dyDescent="0.3">
      <c r="D88" s="35">
        <f t="shared" si="9"/>
        <v>800</v>
      </c>
      <c r="E88" s="63">
        <f t="shared" si="8"/>
        <v>1325768.3982846902</v>
      </c>
      <c r="J88" s="80" t="s">
        <v>57</v>
      </c>
    </row>
    <row r="89" spans="2:10" x14ac:dyDescent="0.3">
      <c r="D89" s="35">
        <f t="shared" si="9"/>
        <v>900</v>
      </c>
      <c r="E89" s="63">
        <f t="shared" si="8"/>
        <v>1779708.8859727592</v>
      </c>
      <c r="J89" s="81">
        <f>ABS(J86-J87)/J87</f>
        <v>5.7419026536829215E-4</v>
      </c>
    </row>
    <row r="90" spans="2:10" x14ac:dyDescent="0.3">
      <c r="D90" s="35">
        <f t="shared" si="9"/>
        <v>1000</v>
      </c>
      <c r="E90" s="63">
        <f t="shared" si="8"/>
        <v>2316022.0788949998</v>
      </c>
    </row>
    <row r="91" spans="2:10" x14ac:dyDescent="0.3">
      <c r="D91" s="35">
        <f t="shared" si="9"/>
        <v>1100</v>
      </c>
      <c r="E91" s="63">
        <f t="shared" si="8"/>
        <v>2939167.9831720074</v>
      </c>
    </row>
    <row r="92" spans="2:10" x14ac:dyDescent="0.3">
      <c r="D92" s="35">
        <f t="shared" si="9"/>
        <v>1200</v>
      </c>
      <c r="E92" s="63">
        <f t="shared" si="8"/>
        <v>3653388.1045174622</v>
      </c>
    </row>
    <row r="93" spans="2:10" x14ac:dyDescent="0.3">
      <c r="D93" s="35">
        <f t="shared" si="9"/>
        <v>1300</v>
      </c>
      <c r="E93" s="63">
        <f t="shared" si="8"/>
        <v>4462734.7645998448</v>
      </c>
    </row>
    <row r="94" spans="2:10" x14ac:dyDescent="0.3">
      <c r="D94" s="35">
        <f t="shared" si="9"/>
        <v>1400</v>
      </c>
      <c r="E94" s="63">
        <f t="shared" si="8"/>
        <v>5371094.3880799273</v>
      </c>
    </row>
    <row r="95" spans="2:10" x14ac:dyDescent="0.3">
      <c r="D95" s="35">
        <f t="shared" si="9"/>
        <v>1500</v>
      </c>
      <c r="E95" s="63">
        <f t="shared" si="8"/>
        <v>6382206.3671018081</v>
      </c>
    </row>
    <row r="96" spans="2:10" x14ac:dyDescent="0.3">
      <c r="D96" s="35">
        <f t="shared" si="9"/>
        <v>1600</v>
      </c>
      <c r="E96" s="63">
        <f t="shared" si="8"/>
        <v>7499678.5976794772</v>
      </c>
    </row>
    <row r="97" spans="1:10" x14ac:dyDescent="0.3">
      <c r="D97" s="35">
        <f t="shared" si="9"/>
        <v>1700</v>
      </c>
      <c r="E97" s="63">
        <f t="shared" si="8"/>
        <v>8727000.456781581</v>
      </c>
    </row>
    <row r="98" spans="1:10" x14ac:dyDescent="0.3">
      <c r="D98" s="35">
        <f t="shared" si="9"/>
        <v>1800</v>
      </c>
      <c r="E98" s="63">
        <f t="shared" si="8"/>
        <v>10067553.774474381</v>
      </c>
    </row>
    <row r="99" spans="1:10" x14ac:dyDescent="0.3">
      <c r="D99" s="35">
        <f t="shared" si="9"/>
        <v>1900</v>
      </c>
      <c r="E99" s="63">
        <f t="shared" si="8"/>
        <v>11524622.209952559</v>
      </c>
    </row>
    <row r="100" spans="1:10" x14ac:dyDescent="0.3">
      <c r="D100" s="35">
        <f t="shared" si="9"/>
        <v>2000</v>
      </c>
      <c r="E100" s="63">
        <f t="shared" si="8"/>
        <v>13101399.338915395</v>
      </c>
    </row>
    <row r="101" spans="1:10" ht="15" thickBot="1" x14ac:dyDescent="0.35">
      <c r="D101" s="26">
        <f t="shared" si="9"/>
        <v>2100</v>
      </c>
      <c r="E101" s="65">
        <f t="shared" si="8"/>
        <v>14800995.687512243</v>
      </c>
    </row>
    <row r="104" spans="1:10" ht="15" thickBot="1" x14ac:dyDescent="0.35"/>
    <row r="105" spans="1:10" ht="18" x14ac:dyDescent="0.3">
      <c r="D105" s="11" t="s">
        <v>46</v>
      </c>
      <c r="E105" s="58" t="s">
        <v>64</v>
      </c>
    </row>
    <row r="106" spans="1:10" x14ac:dyDescent="0.3">
      <c r="D106" s="35">
        <f>298.15</f>
        <v>298.14999999999998</v>
      </c>
      <c r="E106" s="63">
        <f xml:space="preserve"> ( 8*$B$2*$B$2 *$A$2*D106 *$B$112) / ($B$6*$C$2*$C$2)</f>
        <v>1.7087400538066488</v>
      </c>
    </row>
    <row r="107" spans="1:10" x14ac:dyDescent="0.3">
      <c r="D107" s="35">
        <f>300+100</f>
        <v>400</v>
      </c>
      <c r="E107" s="63">
        <f t="shared" ref="E107:E124" si="10" xml:space="preserve"> ( 8*$B$2*$B$2 *$A$2*D107 *$B$112) / ($B$6*$C$2*$C$2)</f>
        <v>2.292456889225758</v>
      </c>
    </row>
    <row r="108" spans="1:10" x14ac:dyDescent="0.3">
      <c r="D108" s="35">
        <f t="shared" ref="D108:D124" si="11">D107+100</f>
        <v>500</v>
      </c>
      <c r="E108" s="63">
        <f t="shared" si="10"/>
        <v>2.8655711115321969</v>
      </c>
      <c r="H108" s="5" t="s">
        <v>59</v>
      </c>
    </row>
    <row r="109" spans="1:10" ht="15" thickBot="1" x14ac:dyDescent="0.35">
      <c r="D109" s="35">
        <f t="shared" si="11"/>
        <v>600</v>
      </c>
      <c r="E109" s="63">
        <f t="shared" si="10"/>
        <v>3.4386853338386367</v>
      </c>
    </row>
    <row r="110" spans="1:10" ht="18.600000000000001" thickBot="1" x14ac:dyDescent="0.35">
      <c r="A110" s="82"/>
      <c r="B110" s="76"/>
      <c r="D110" s="35">
        <f t="shared" si="11"/>
        <v>700</v>
      </c>
      <c r="E110" s="63">
        <f t="shared" si="10"/>
        <v>4.0117995561450757</v>
      </c>
      <c r="J110" s="16" t="s">
        <v>60</v>
      </c>
    </row>
    <row r="111" spans="1:10" x14ac:dyDescent="0.3">
      <c r="D111" s="35">
        <f t="shared" si="11"/>
        <v>800</v>
      </c>
      <c r="E111" s="63">
        <f t="shared" si="10"/>
        <v>4.5849137784515159</v>
      </c>
      <c r="H111" s="77" t="s">
        <v>61</v>
      </c>
      <c r="I111" s="17" t="s">
        <v>65</v>
      </c>
      <c r="J111" s="83">
        <f>E106</f>
        <v>1.7087400538066488</v>
      </c>
    </row>
    <row r="112" spans="1:10" ht="15" thickBot="1" x14ac:dyDescent="0.35">
      <c r="B112" s="51">
        <f>B116*B120*B120</f>
        <v>4.61664085874549E-48</v>
      </c>
      <c r="C112" s="124" t="s">
        <v>107</v>
      </c>
      <c r="D112" s="35">
        <f t="shared" si="11"/>
        <v>900</v>
      </c>
      <c r="E112" s="63">
        <f t="shared" si="10"/>
        <v>5.1580280007579544</v>
      </c>
      <c r="H112" s="61" t="s">
        <v>63</v>
      </c>
      <c r="I112" s="26" t="s">
        <v>65</v>
      </c>
      <c r="J112" s="84">
        <v>1.7092799999999999</v>
      </c>
    </row>
    <row r="113" spans="2:10" x14ac:dyDescent="0.3">
      <c r="D113" s="35">
        <f t="shared" si="11"/>
        <v>1000</v>
      </c>
      <c r="E113" s="63">
        <f t="shared" si="10"/>
        <v>5.7311422230643938</v>
      </c>
      <c r="J113" s="80" t="s">
        <v>57</v>
      </c>
    </row>
    <row r="114" spans="2:10" x14ac:dyDescent="0.3">
      <c r="D114" s="35">
        <f t="shared" si="11"/>
        <v>1100</v>
      </c>
      <c r="E114" s="63">
        <f t="shared" si="10"/>
        <v>6.3042564453708341</v>
      </c>
      <c r="J114" s="81">
        <f>ABS(J111-J112)/J112</f>
        <v>3.158910145506124E-4</v>
      </c>
    </row>
    <row r="115" spans="2:10" x14ac:dyDescent="0.3">
      <c r="D115" s="35">
        <f t="shared" si="11"/>
        <v>1200</v>
      </c>
      <c r="E115" s="63">
        <f t="shared" si="10"/>
        <v>6.8773706676772735</v>
      </c>
    </row>
    <row r="116" spans="2:10" x14ac:dyDescent="0.3">
      <c r="B116" s="5">
        <f>(1.00783*1.66E-27)^2 /(1.00783*1.66E-27*2)</f>
        <v>8.3649890000000001E-28</v>
      </c>
      <c r="C116" s="124" t="s">
        <v>108</v>
      </c>
      <c r="D116" s="35">
        <f t="shared" si="11"/>
        <v>1300</v>
      </c>
      <c r="E116" s="63">
        <f t="shared" si="10"/>
        <v>7.4504848899837119</v>
      </c>
      <c r="H116" s="85"/>
    </row>
    <row r="117" spans="2:10" x14ac:dyDescent="0.3">
      <c r="D117" s="35">
        <f t="shared" si="11"/>
        <v>1400</v>
      </c>
      <c r="E117" s="63">
        <f t="shared" si="10"/>
        <v>8.0235991122901513</v>
      </c>
    </row>
    <row r="118" spans="2:10" x14ac:dyDescent="0.3">
      <c r="D118" s="35">
        <f t="shared" si="11"/>
        <v>1500</v>
      </c>
      <c r="E118" s="63">
        <f t="shared" si="10"/>
        <v>8.5967133345965898</v>
      </c>
    </row>
    <row r="119" spans="2:10" x14ac:dyDescent="0.3">
      <c r="D119" s="35">
        <f t="shared" si="11"/>
        <v>1600</v>
      </c>
      <c r="E119" s="63">
        <f t="shared" si="10"/>
        <v>9.1698275569030319</v>
      </c>
    </row>
    <row r="120" spans="2:10" x14ac:dyDescent="0.3">
      <c r="B120" s="51">
        <v>7.4289999999999996E-11</v>
      </c>
      <c r="C120" s="124" t="s">
        <v>109</v>
      </c>
      <c r="D120" s="35">
        <f t="shared" si="11"/>
        <v>1700</v>
      </c>
      <c r="E120" s="63">
        <f t="shared" si="10"/>
        <v>9.7429417792094686</v>
      </c>
    </row>
    <row r="121" spans="2:10" x14ac:dyDescent="0.3">
      <c r="D121" s="35">
        <f t="shared" si="11"/>
        <v>1800</v>
      </c>
      <c r="E121" s="63">
        <f t="shared" si="10"/>
        <v>10.316056001515909</v>
      </c>
    </row>
    <row r="122" spans="2:10" x14ac:dyDescent="0.3">
      <c r="D122" s="35">
        <f t="shared" si="11"/>
        <v>1900</v>
      </c>
      <c r="E122" s="63">
        <f t="shared" si="10"/>
        <v>10.889170223822349</v>
      </c>
    </row>
    <row r="123" spans="2:10" x14ac:dyDescent="0.3">
      <c r="D123" s="35">
        <f t="shared" si="11"/>
        <v>2000</v>
      </c>
      <c r="E123" s="63">
        <f t="shared" si="10"/>
        <v>11.462284446128788</v>
      </c>
    </row>
    <row r="124" spans="2:10" ht="15" thickBot="1" x14ac:dyDescent="0.35">
      <c r="D124" s="26">
        <f t="shared" si="11"/>
        <v>2100</v>
      </c>
      <c r="E124" s="65">
        <f t="shared" si="10"/>
        <v>12.035398668435226</v>
      </c>
    </row>
    <row r="126" spans="2:10" ht="15" thickBot="1" x14ac:dyDescent="0.35"/>
    <row r="127" spans="2:10" ht="18" x14ac:dyDescent="0.3">
      <c r="D127" s="11" t="s">
        <v>46</v>
      </c>
      <c r="E127" s="13" t="s">
        <v>66</v>
      </c>
      <c r="F127" s="50" t="s">
        <v>67</v>
      </c>
    </row>
    <row r="128" spans="2:10" ht="15.6" x14ac:dyDescent="0.3">
      <c r="D128" s="35">
        <f>298.15</f>
        <v>298.14999999999998</v>
      </c>
      <c r="E128" s="86">
        <f>$B$135*EXP($B$134/($A$2*D128) )</f>
        <v>0</v>
      </c>
      <c r="F128" s="87">
        <f>$B$135</f>
        <v>1</v>
      </c>
      <c r="G128" s="5" t="s">
        <v>68</v>
      </c>
      <c r="H128" s="88">
        <f>$B$135*EXP($B$134/($A$2*298.15) )</f>
        <v>0</v>
      </c>
    </row>
    <row r="129" spans="1:10" ht="15.6" x14ac:dyDescent="0.2">
      <c r="A129" s="89"/>
      <c r="D129" s="35">
        <f>300+100</f>
        <v>400</v>
      </c>
      <c r="E129" s="86">
        <f t="shared" ref="E129:E146" si="12">$B$135*EXP($B$134/($A$2*D129) )</f>
        <v>0</v>
      </c>
      <c r="F129" s="87">
        <f t="shared" ref="F129:F146" si="13">$B$135</f>
        <v>1</v>
      </c>
    </row>
    <row r="130" spans="1:10" ht="16.2" thickBot="1" x14ac:dyDescent="0.35">
      <c r="D130" s="35">
        <f t="shared" ref="D130:D146" si="14">D129+100</f>
        <v>500</v>
      </c>
      <c r="E130" s="86">
        <f t="shared" si="12"/>
        <v>0</v>
      </c>
      <c r="F130" s="87">
        <f t="shared" si="13"/>
        <v>1</v>
      </c>
    </row>
    <row r="131" spans="1:10" ht="15.6" x14ac:dyDescent="0.3">
      <c r="A131" s="90" t="s">
        <v>69</v>
      </c>
      <c r="B131" s="91">
        <v>-1.17853933039</v>
      </c>
      <c r="D131" s="35">
        <f t="shared" si="14"/>
        <v>600</v>
      </c>
      <c r="E131" s="86">
        <f t="shared" si="12"/>
        <v>9.4518296227257601E-268</v>
      </c>
      <c r="F131" s="87">
        <f t="shared" si="13"/>
        <v>1</v>
      </c>
      <c r="H131" s="17"/>
      <c r="I131" s="18" t="s">
        <v>157</v>
      </c>
      <c r="J131" s="19" t="s">
        <v>119</v>
      </c>
    </row>
    <row r="132" spans="1:10" ht="18.600000000000001" thickBot="1" x14ac:dyDescent="0.35">
      <c r="A132" s="90" t="s">
        <v>70</v>
      </c>
      <c r="B132" s="92">
        <f>B131/(229400000000000000)</f>
        <v>-5.1374861830427205E-18</v>
      </c>
      <c r="D132" s="35">
        <f t="shared" si="14"/>
        <v>700</v>
      </c>
      <c r="E132" s="86">
        <f t="shared" si="12"/>
        <v>1.3239474825467393E-229</v>
      </c>
      <c r="F132" s="87">
        <f t="shared" si="13"/>
        <v>1</v>
      </c>
      <c r="H132" s="190" t="s">
        <v>156</v>
      </c>
      <c r="I132" s="191">
        <f>$I$5+$B$131</f>
        <v>-1.1683683303900001</v>
      </c>
      <c r="J132" s="28">
        <f>$I$132*627.503</f>
        <v>-733.15463242471628</v>
      </c>
    </row>
    <row r="133" spans="1:10" ht="15.6" x14ac:dyDescent="0.3">
      <c r="A133" s="90" t="s">
        <v>71</v>
      </c>
      <c r="B133" s="90">
        <f>K5</f>
        <v>4.4342915539999994E-20</v>
      </c>
      <c r="D133" s="35">
        <f t="shared" si="14"/>
        <v>800</v>
      </c>
      <c r="E133" s="86">
        <f t="shared" si="12"/>
        <v>5.3905975971253726E-201</v>
      </c>
      <c r="F133" s="87">
        <f t="shared" si="13"/>
        <v>1</v>
      </c>
    </row>
    <row r="134" spans="1:10" ht="18" x14ac:dyDescent="0.3">
      <c r="A134" s="90" t="s">
        <v>72</v>
      </c>
      <c r="B134" s="92">
        <f>B132+B133</f>
        <v>-5.0931432675027207E-18</v>
      </c>
      <c r="D134" s="35">
        <f t="shared" si="14"/>
        <v>900</v>
      </c>
      <c r="E134" s="86">
        <f t="shared" si="12"/>
        <v>9.631130252225589E-179</v>
      </c>
      <c r="F134" s="87">
        <f t="shared" si="13"/>
        <v>1</v>
      </c>
    </row>
    <row r="135" spans="1:10" ht="18" x14ac:dyDescent="0.3">
      <c r="A135" s="90" t="s">
        <v>73</v>
      </c>
      <c r="B135" s="90">
        <v>1</v>
      </c>
      <c r="D135" s="35">
        <f t="shared" si="14"/>
        <v>1000</v>
      </c>
      <c r="E135" s="86">
        <f t="shared" si="12"/>
        <v>6.0997148170334278E-161</v>
      </c>
      <c r="F135" s="87">
        <f t="shared" si="13"/>
        <v>1</v>
      </c>
    </row>
    <row r="136" spans="1:10" ht="15.6" x14ac:dyDescent="0.3">
      <c r="A136" s="5" t="s">
        <v>74</v>
      </c>
      <c r="B136" s="51">
        <f>A2*D128</f>
        <v>4.1162588999999997E-21</v>
      </c>
      <c r="D136" s="35">
        <f t="shared" si="14"/>
        <v>1100</v>
      </c>
      <c r="E136" s="86">
        <f t="shared" si="12"/>
        <v>2.240172138658581E-146</v>
      </c>
      <c r="F136" s="87">
        <f t="shared" si="13"/>
        <v>1</v>
      </c>
    </row>
    <row r="137" spans="1:10" ht="15.6" x14ac:dyDescent="0.3">
      <c r="D137" s="35">
        <f t="shared" si="14"/>
        <v>1200</v>
      </c>
      <c r="E137" s="86">
        <f t="shared" si="12"/>
        <v>3.0743828035437879E-134</v>
      </c>
      <c r="F137" s="87">
        <f t="shared" si="13"/>
        <v>1</v>
      </c>
    </row>
    <row r="138" spans="1:10" ht="15.6" x14ac:dyDescent="0.3">
      <c r="D138" s="35">
        <f t="shared" si="14"/>
        <v>1300</v>
      </c>
      <c r="E138" s="86">
        <f t="shared" si="12"/>
        <v>5.7270425294940169E-124</v>
      </c>
      <c r="F138" s="87">
        <f t="shared" si="13"/>
        <v>1</v>
      </c>
    </row>
    <row r="139" spans="1:10" ht="15.6" x14ac:dyDescent="0.3">
      <c r="D139" s="35">
        <f t="shared" si="14"/>
        <v>1400</v>
      </c>
      <c r="E139" s="86">
        <f t="shared" si="12"/>
        <v>3.638608913509034E-115</v>
      </c>
      <c r="F139" s="87">
        <f t="shared" si="13"/>
        <v>1</v>
      </c>
    </row>
    <row r="140" spans="1:10" ht="15.6" x14ac:dyDescent="0.3">
      <c r="D140" s="35">
        <f t="shared" si="14"/>
        <v>1500</v>
      </c>
      <c r="E140" s="86">
        <f t="shared" si="12"/>
        <v>1.5495527096335446E-107</v>
      </c>
      <c r="F140" s="87">
        <f t="shared" si="13"/>
        <v>1</v>
      </c>
    </row>
    <row r="141" spans="1:10" ht="15.6" x14ac:dyDescent="0.3">
      <c r="D141" s="35">
        <f t="shared" si="14"/>
        <v>1600</v>
      </c>
      <c r="E141" s="86">
        <f t="shared" si="12"/>
        <v>7.3420689162696995E-101</v>
      </c>
      <c r="F141" s="87">
        <f t="shared" si="13"/>
        <v>1</v>
      </c>
    </row>
    <row r="142" spans="1:10" ht="15.6" x14ac:dyDescent="0.3">
      <c r="D142" s="35">
        <f t="shared" si="14"/>
        <v>1700</v>
      </c>
      <c r="E142" s="86">
        <f t="shared" si="12"/>
        <v>5.7024886536379932E-95</v>
      </c>
      <c r="F142" s="87">
        <f t="shared" si="13"/>
        <v>1</v>
      </c>
    </row>
    <row r="143" spans="1:10" ht="15.6" x14ac:dyDescent="0.3">
      <c r="D143" s="35">
        <f t="shared" si="14"/>
        <v>1800</v>
      </c>
      <c r="E143" s="86">
        <f t="shared" si="12"/>
        <v>9.8138322036937181E-90</v>
      </c>
      <c r="F143" s="87">
        <f t="shared" si="13"/>
        <v>1</v>
      </c>
    </row>
    <row r="144" spans="1:10" ht="15.6" x14ac:dyDescent="0.3">
      <c r="D144" s="35">
        <f t="shared" si="14"/>
        <v>1900</v>
      </c>
      <c r="E144" s="86">
        <f t="shared" si="12"/>
        <v>4.7476500589507867E-85</v>
      </c>
      <c r="F144" s="87">
        <f t="shared" si="13"/>
        <v>1</v>
      </c>
    </row>
    <row r="145" spans="4:13" ht="15.6" x14ac:dyDescent="0.3">
      <c r="D145" s="35">
        <f t="shared" si="14"/>
        <v>2000</v>
      </c>
      <c r="E145" s="86">
        <f t="shared" si="12"/>
        <v>7.8100671040865117E-81</v>
      </c>
      <c r="F145" s="87">
        <f t="shared" si="13"/>
        <v>1</v>
      </c>
    </row>
    <row r="146" spans="4:13" ht="16.2" thickBot="1" x14ac:dyDescent="0.35">
      <c r="D146" s="26">
        <f t="shared" si="14"/>
        <v>2100</v>
      </c>
      <c r="E146" s="93">
        <f t="shared" si="12"/>
        <v>5.0967138673658266E-77</v>
      </c>
      <c r="F146" s="94">
        <f t="shared" si="13"/>
        <v>1</v>
      </c>
    </row>
    <row r="151" spans="4:13" ht="15" thickBot="1" x14ac:dyDescent="0.35">
      <c r="H151" s="5" t="s">
        <v>75</v>
      </c>
    </row>
    <row r="152" spans="4:13" ht="20.399999999999999" x14ac:dyDescent="0.3">
      <c r="D152" s="95" t="s">
        <v>46</v>
      </c>
      <c r="E152" s="96" t="s">
        <v>76</v>
      </c>
      <c r="F152" s="97" t="s">
        <v>77</v>
      </c>
      <c r="G152" s="97" t="s">
        <v>78</v>
      </c>
      <c r="H152" s="97" t="s">
        <v>79</v>
      </c>
      <c r="I152" s="98" t="s">
        <v>80</v>
      </c>
    </row>
    <row r="153" spans="4:13" ht="15.6" x14ac:dyDescent="0.3">
      <c r="D153" s="35">
        <f>298.15</f>
        <v>298.14999999999998</v>
      </c>
      <c r="E153" s="99">
        <f xml:space="preserve"> ( 8*$B$2*$B$2 *$A$2*D106 *$B$112) / ($B$6*$C$2*$C$2)</f>
        <v>1.7087400538066488</v>
      </c>
      <c r="F153" s="92">
        <v>1</v>
      </c>
      <c r="G153" s="51">
        <f xml:space="preserve"> ( (2*$B$2*$E$2*$A$2*D153)/($C$2*$C$2) )^(1.5) * ($A$2*D153) /$F$83</f>
        <v>112416.41450476111</v>
      </c>
      <c r="H153" s="51">
        <f>PRODUCT(E54:E62)</f>
        <v>1.0000000004399896</v>
      </c>
      <c r="I153" s="100">
        <f>PRODUCT(E153:H153)</f>
        <v>192090.43025413383</v>
      </c>
      <c r="J153" s="61"/>
      <c r="K153" s="85"/>
      <c r="M153" s="51"/>
    </row>
    <row r="154" spans="4:13" ht="15.6" x14ac:dyDescent="0.3">
      <c r="D154" s="35">
        <f>300+100</f>
        <v>400</v>
      </c>
      <c r="E154" s="99">
        <f t="shared" ref="E154:E171" si="15" xml:space="preserve"> ( 8*$B$2*$B$2 *$A$2*D107 *$B$112) / ($B$6*$C$2*$C$2)</f>
        <v>2.292456889225758</v>
      </c>
      <c r="F154" s="92">
        <v>1</v>
      </c>
      <c r="G154" s="51">
        <f t="shared" ref="G154:G171" si="16" xml:space="preserve"> ( (2*$B$2*$E$2*$A$2*D154)/($C$2*$C$2) )^(1.5) * ($A$2*D154) /$F$83</f>
        <v>234364.95617748235</v>
      </c>
      <c r="H154" s="51">
        <f>PRODUCT(F54:F62)</f>
        <v>1.0000001061343131</v>
      </c>
      <c r="I154" s="63">
        <f>PRODUCT(E154:H154)</f>
        <v>537271.61540511006</v>
      </c>
      <c r="M154" s="101"/>
    </row>
    <row r="155" spans="4:13" ht="15.6" x14ac:dyDescent="0.3">
      <c r="D155" s="35">
        <f t="shared" ref="D155:D171" si="17">D154+100</f>
        <v>500</v>
      </c>
      <c r="E155" s="99">
        <f t="shared" si="15"/>
        <v>2.8655711115321969</v>
      </c>
      <c r="F155" s="92">
        <v>1</v>
      </c>
      <c r="G155" s="51">
        <f t="shared" si="16"/>
        <v>409418.72934110375</v>
      </c>
      <c r="H155" s="51">
        <f>PRODUCT(G54:G62)</f>
        <v>1.0000026344245077</v>
      </c>
      <c r="I155" s="63">
        <f>PRODUCT(E155:H155)</f>
        <v>1173221.5740756115</v>
      </c>
      <c r="J155" s="5" t="s">
        <v>81</v>
      </c>
    </row>
    <row r="156" spans="4:13" ht="16.2" thickBot="1" x14ac:dyDescent="0.35">
      <c r="D156" s="35">
        <f t="shared" si="17"/>
        <v>600</v>
      </c>
      <c r="E156" s="99">
        <f t="shared" si="15"/>
        <v>3.4386853338386367</v>
      </c>
      <c r="F156" s="92">
        <v>1</v>
      </c>
      <c r="G156" s="51">
        <f t="shared" si="16"/>
        <v>645833.87575264857</v>
      </c>
      <c r="H156" s="51">
        <f>PRODUCT(H54:H62)</f>
        <v>1.0000224171422158</v>
      </c>
      <c r="I156" s="63">
        <f t="shared" ref="I156:I171" si="18">PRODUCT(E156:H156)</f>
        <v>2220869.2610728405</v>
      </c>
    </row>
    <row r="157" spans="4:13" ht="16.2" thickBot="1" x14ac:dyDescent="0.35">
      <c r="D157" s="35">
        <f t="shared" si="17"/>
        <v>700</v>
      </c>
      <c r="E157" s="99">
        <f t="shared" si="15"/>
        <v>4.0117995561450757</v>
      </c>
      <c r="F157" s="92">
        <v>1</v>
      </c>
      <c r="G157" s="51">
        <f t="shared" si="16"/>
        <v>949484.31605107896</v>
      </c>
      <c r="H157" s="51">
        <f>PRODUCT(I54:I62)</f>
        <v>1.0001034712412127</v>
      </c>
      <c r="I157" s="63">
        <f t="shared" si="18"/>
        <v>3809534.8942225822</v>
      </c>
      <c r="L157" s="16" t="s">
        <v>60</v>
      </c>
    </row>
    <row r="158" spans="4:13" ht="15.6" x14ac:dyDescent="0.3">
      <c r="D158" s="35">
        <f t="shared" si="17"/>
        <v>800</v>
      </c>
      <c r="E158" s="99">
        <f t="shared" si="15"/>
        <v>4.5849137784515159</v>
      </c>
      <c r="F158" s="92">
        <v>1</v>
      </c>
      <c r="G158" s="51">
        <f t="shared" si="16"/>
        <v>1325768.3982846902</v>
      </c>
      <c r="H158" s="51">
        <f>PRODUCT(J54:J62)</f>
        <v>1.0003258887678592</v>
      </c>
      <c r="I158" s="63">
        <f t="shared" si="18"/>
        <v>6080514.7222203501</v>
      </c>
      <c r="J158" s="77" t="s">
        <v>61</v>
      </c>
      <c r="K158" s="17" t="s">
        <v>82</v>
      </c>
      <c r="L158" s="83">
        <f>I153</f>
        <v>192090.43025413383</v>
      </c>
    </row>
    <row r="159" spans="4:13" ht="16.2" thickBot="1" x14ac:dyDescent="0.35">
      <c r="D159" s="35">
        <f t="shared" si="17"/>
        <v>900</v>
      </c>
      <c r="E159" s="99">
        <f t="shared" si="15"/>
        <v>5.1580280007579544</v>
      </c>
      <c r="F159" s="92">
        <v>1</v>
      </c>
      <c r="G159" s="51">
        <f t="shared" si="16"/>
        <v>1779708.8859727592</v>
      </c>
      <c r="H159" s="51">
        <f>PRODUCT(K54:K62)</f>
        <v>1.000795656752637</v>
      </c>
      <c r="I159" s="63">
        <f t="shared" si="18"/>
        <v>9187092.2275676895</v>
      </c>
      <c r="J159" s="61" t="s">
        <v>63</v>
      </c>
      <c r="K159" s="26" t="s">
        <v>82</v>
      </c>
      <c r="L159" s="84">
        <v>192261</v>
      </c>
    </row>
    <row r="160" spans="4:13" ht="15.6" x14ac:dyDescent="0.3">
      <c r="D160" s="35">
        <f t="shared" si="17"/>
        <v>1000</v>
      </c>
      <c r="E160" s="99">
        <f t="shared" si="15"/>
        <v>5.7311422230643938</v>
      </c>
      <c r="F160" s="92">
        <v>1</v>
      </c>
      <c r="G160" s="51">
        <f t="shared" si="16"/>
        <v>2316022.0788949998</v>
      </c>
      <c r="H160" s="51">
        <f>PRODUCT(L54:L62)</f>
        <v>1.0016257275973854</v>
      </c>
      <c r="I160" s="63">
        <f t="shared" si="18"/>
        <v>13295030.94301302</v>
      </c>
      <c r="L160" s="80" t="s">
        <v>57</v>
      </c>
    </row>
    <row r="161" spans="1:12" ht="15.6" x14ac:dyDescent="0.3">
      <c r="D161" s="35">
        <f t="shared" si="17"/>
        <v>1100</v>
      </c>
      <c r="E161" s="99">
        <f t="shared" si="15"/>
        <v>6.3042564453708341</v>
      </c>
      <c r="F161" s="92">
        <v>1</v>
      </c>
      <c r="G161" s="51">
        <f t="shared" si="16"/>
        <v>2939167.9831720074</v>
      </c>
      <c r="H161" s="51">
        <f>PRODUCT(M54:M62)</f>
        <v>1.0029188605732668</v>
      </c>
      <c r="I161" s="63">
        <f t="shared" si="18"/>
        <v>18583353.053805284</v>
      </c>
      <c r="L161" s="125">
        <f>ABS(L158-L159)/L159</f>
        <v>8.871780853432279E-4</v>
      </c>
    </row>
    <row r="162" spans="1:12" ht="15.6" x14ac:dyDescent="0.3">
      <c r="D162" s="35">
        <f t="shared" si="17"/>
        <v>1200</v>
      </c>
      <c r="E162" s="99">
        <f t="shared" si="15"/>
        <v>6.8773706676772735</v>
      </c>
      <c r="F162" s="92">
        <v>1</v>
      </c>
      <c r="G162" s="51">
        <f t="shared" si="16"/>
        <v>3653388.1045174622</v>
      </c>
      <c r="H162" s="51">
        <f>PRODUCT(N54:N62)</f>
        <v>1.0047571446680683</v>
      </c>
      <c r="I162" s="63">
        <f t="shared" si="18"/>
        <v>25245230.797357205</v>
      </c>
    </row>
    <row r="163" spans="1:12" ht="15.6" x14ac:dyDescent="0.3">
      <c r="D163" s="35">
        <f t="shared" si="17"/>
        <v>1300</v>
      </c>
      <c r="E163" s="99">
        <f t="shared" si="15"/>
        <v>7.4504848899837119</v>
      </c>
      <c r="F163" s="92">
        <v>1</v>
      </c>
      <c r="G163" s="51">
        <f t="shared" si="16"/>
        <v>4462734.7645998448</v>
      </c>
      <c r="H163" s="51">
        <f>PRODUCT(O54:O62)</f>
        <v>1.0071982083228574</v>
      </c>
      <c r="I163" s="63">
        <f t="shared" si="18"/>
        <v>33488875.032326974</v>
      </c>
      <c r="J163" s="85"/>
    </row>
    <row r="164" spans="1:12" ht="15.6" x14ac:dyDescent="0.3">
      <c r="D164" s="35">
        <f t="shared" si="17"/>
        <v>1400</v>
      </c>
      <c r="E164" s="99">
        <f t="shared" si="15"/>
        <v>8.0235991122901513</v>
      </c>
      <c r="F164" s="92">
        <v>1</v>
      </c>
      <c r="G164" s="51">
        <f t="shared" si="16"/>
        <v>5371094.3880799273</v>
      </c>
      <c r="H164" s="51">
        <f>PRODUCT(P54:P62)</f>
        <v>1.0102760789457457</v>
      </c>
      <c r="I164" s="63">
        <f t="shared" si="18"/>
        <v>43538361.00832732</v>
      </c>
    </row>
    <row r="165" spans="1:12" ht="15.6" x14ac:dyDescent="0.3">
      <c r="D165" s="35">
        <f t="shared" si="17"/>
        <v>1500</v>
      </c>
      <c r="E165" s="99">
        <f t="shared" si="15"/>
        <v>8.5967133345965898</v>
      </c>
      <c r="F165" s="92">
        <v>1</v>
      </c>
      <c r="G165" s="51">
        <f t="shared" si="16"/>
        <v>6382206.3671018081</v>
      </c>
      <c r="H165" s="51">
        <f>PRODUCT(Q54:Q62)</f>
        <v>1.0140045156633004</v>
      </c>
      <c r="I165" s="63">
        <f t="shared" si="18"/>
        <v>55634370.316710562</v>
      </c>
    </row>
    <row r="166" spans="1:12" ht="15.6" x14ac:dyDescent="0.3">
      <c r="D166" s="35">
        <f t="shared" si="17"/>
        <v>1600</v>
      </c>
      <c r="E166" s="99">
        <f t="shared" si="15"/>
        <v>9.1698275569030319</v>
      </c>
      <c r="F166" s="92">
        <v>1</v>
      </c>
      <c r="G166" s="51">
        <f t="shared" si="16"/>
        <v>7499678.5976794772</v>
      </c>
      <c r="H166" s="51">
        <f>PRODUCT(R54:R62)</f>
        <v>1.0183812195969593</v>
      </c>
      <c r="I166" s="63">
        <f t="shared" si="18"/>
        <v>70034849.904638514</v>
      </c>
    </row>
    <row r="167" spans="1:12" ht="15.6" x14ac:dyDescent="0.3">
      <c r="D167" s="35">
        <f t="shared" si="17"/>
        <v>1700</v>
      </c>
      <c r="E167" s="99">
        <f t="shared" si="15"/>
        <v>9.7429417792094686</v>
      </c>
      <c r="F167" s="92">
        <v>1</v>
      </c>
      <c r="G167" s="51">
        <f t="shared" si="16"/>
        <v>8727000.456781581</v>
      </c>
      <c r="H167" s="51">
        <f>PRODUCT(S54:S62)</f>
        <v>1.023391975131009</v>
      </c>
      <c r="I167" s="63">
        <f t="shared" si="18"/>
        <v>87015598.811938196</v>
      </c>
    </row>
    <row r="168" spans="1:12" ht="15.6" x14ac:dyDescent="0.3">
      <c r="D168" s="35">
        <f t="shared" si="17"/>
        <v>1800</v>
      </c>
      <c r="E168" s="99">
        <f t="shared" si="15"/>
        <v>10.316056001515909</v>
      </c>
      <c r="F168" s="92">
        <v>1</v>
      </c>
      <c r="G168" s="51">
        <f t="shared" si="16"/>
        <v>10067553.774474381</v>
      </c>
      <c r="H168" s="51">
        <f>PRODUCT(T54:T62)</f>
        <v>1.0290142644841496</v>
      </c>
      <c r="I168" s="63">
        <f t="shared" si="18"/>
        <v>106870796.01621579</v>
      </c>
    </row>
    <row r="169" spans="1:12" ht="15.6" x14ac:dyDescent="0.3">
      <c r="D169" s="35">
        <f t="shared" si="17"/>
        <v>1900</v>
      </c>
      <c r="E169" s="99">
        <f t="shared" si="15"/>
        <v>10.889170223822349</v>
      </c>
      <c r="F169" s="92">
        <v>1</v>
      </c>
      <c r="G169" s="51">
        <f t="shared" si="16"/>
        <v>11524622.209952559</v>
      </c>
      <c r="H169" s="51">
        <f>PRODUCT(U54:U62)</f>
        <v>1.0352202024157715</v>
      </c>
      <c r="I169" s="63">
        <f>PRODUCT(E169:H169)</f>
        <v>129913482.0526872</v>
      </c>
    </row>
    <row r="170" spans="1:12" ht="15.6" x14ac:dyDescent="0.3">
      <c r="D170" s="35">
        <f t="shared" si="17"/>
        <v>2000</v>
      </c>
      <c r="E170" s="99">
        <f t="shared" si="15"/>
        <v>11.462284446128788</v>
      </c>
      <c r="F170" s="92">
        <v>1</v>
      </c>
      <c r="G170" s="51">
        <f t="shared" si="16"/>
        <v>13101399.338915395</v>
      </c>
      <c r="H170" s="51">
        <f>PRODUCT(V54:V62)</f>
        <v>1.0419788016761509</v>
      </c>
      <c r="I170" s="63">
        <f t="shared" si="18"/>
        <v>156476005.03733525</v>
      </c>
    </row>
    <row r="171" spans="1:12" ht="16.2" thickBot="1" x14ac:dyDescent="0.35">
      <c r="D171" s="26">
        <f t="shared" si="17"/>
        <v>2100</v>
      </c>
      <c r="E171" s="103">
        <f t="shared" si="15"/>
        <v>12.035398668435226</v>
      </c>
      <c r="F171" s="104">
        <v>1</v>
      </c>
      <c r="G171" s="55">
        <f t="shared" si="16"/>
        <v>14800995.687512243</v>
      </c>
      <c r="H171" s="55">
        <f>PRODUCT(W54:W62)</f>
        <v>1.0492576536243237</v>
      </c>
      <c r="I171" s="65">
        <f t="shared" si="18"/>
        <v>186910439.45074171</v>
      </c>
    </row>
    <row r="174" spans="1:12" ht="15" thickBot="1" x14ac:dyDescent="0.35">
      <c r="A174" s="5" t="s">
        <v>84</v>
      </c>
      <c r="B174" s="196" t="s">
        <v>85</v>
      </c>
      <c r="C174" s="196"/>
      <c r="D174" s="196"/>
      <c r="E174" s="196"/>
      <c r="F174" s="196"/>
      <c r="G174" s="105"/>
      <c r="H174" s="196" t="s">
        <v>86</v>
      </c>
      <c r="I174" s="196"/>
      <c r="J174" s="196"/>
      <c r="K174" s="196"/>
    </row>
    <row r="175" spans="1:12" ht="18" x14ac:dyDescent="0.3">
      <c r="A175" s="5" t="s">
        <v>87</v>
      </c>
      <c r="B175" s="96" t="s">
        <v>46</v>
      </c>
      <c r="C175" s="16" t="s">
        <v>88</v>
      </c>
      <c r="D175" s="16" t="s">
        <v>36</v>
      </c>
      <c r="E175" s="16" t="s">
        <v>37</v>
      </c>
      <c r="F175" s="16" t="s">
        <v>89</v>
      </c>
      <c r="G175" s="105" t="s">
        <v>90</v>
      </c>
      <c r="H175" s="96" t="s">
        <v>46</v>
      </c>
      <c r="I175" s="16" t="s">
        <v>88</v>
      </c>
      <c r="J175" s="16" t="s">
        <v>36</v>
      </c>
      <c r="K175" s="16" t="s">
        <v>37</v>
      </c>
      <c r="L175" s="16" t="s">
        <v>89</v>
      </c>
    </row>
    <row r="176" spans="1:12" ht="15" thickBot="1" x14ac:dyDescent="0.35">
      <c r="B176" s="35">
        <f>298.15</f>
        <v>298.14999999999998</v>
      </c>
      <c r="C176" s="53">
        <f>3/2*$D$2*B176</f>
        <v>3718.4397401999995</v>
      </c>
      <c r="D176" s="53">
        <f>3/2*$D$2*B176</f>
        <v>3718.4397401999995</v>
      </c>
      <c r="E176" s="53">
        <f>$D$2* ( $B$12/(EXP($B$12/B176)-1) + 0.5*$B$12 )</f>
        <v>26702.675153997046</v>
      </c>
      <c r="F176" s="56">
        <v>0</v>
      </c>
      <c r="H176" s="35">
        <f>298.15</f>
        <v>298.14999999999998</v>
      </c>
      <c r="I176" s="106">
        <f>3/2*$D$2*H176 /4184</f>
        <v>0.8887284273900572</v>
      </c>
      <c r="J176" s="106">
        <f>3/2*$D$2*H176 / 4184</f>
        <v>0.8887284273900572</v>
      </c>
      <c r="K176" s="106">
        <f xml:space="preserve"> ($D$2* ( $B$12/(EXP($B$12/B176)-1) + 0.5*$B$12 ))/4184</f>
        <v>6.3820925320260624</v>
      </c>
      <c r="L176" s="107">
        <f xml:space="preserve"> F176/4184</f>
        <v>0</v>
      </c>
    </row>
    <row r="177" spans="2:14" x14ac:dyDescent="0.3">
      <c r="B177" s="35">
        <f>300+100</f>
        <v>400</v>
      </c>
      <c r="C177" s="53">
        <f t="shared" ref="C177:C194" si="19">3/2*$D$2*B177</f>
        <v>4988.6831999999995</v>
      </c>
      <c r="D177" s="53">
        <f t="shared" ref="D177:D194" si="20">3/2*$D$2*B177</f>
        <v>4988.6831999999995</v>
      </c>
      <c r="E177" s="53">
        <f t="shared" ref="E177:E194" si="21">$D$2* ( $B$12/(EXP($B$12/B177)-1) + 0.5*$B$12 )</f>
        <v>26702.680802081886</v>
      </c>
      <c r="H177" s="35">
        <f>300+100</f>
        <v>400</v>
      </c>
      <c r="I177" s="53">
        <f t="shared" ref="I177:I194" si="22">3/2*$D$2*H177 /4184</f>
        <v>1.1923239005736137</v>
      </c>
      <c r="J177" s="53">
        <f>3/2*$D$2*H177 / 4184</f>
        <v>1.1923239005736137</v>
      </c>
      <c r="K177" s="53">
        <f>($D$2* ( $B$12/(EXP($B$12/B177)-1) + 0.5*$B$12 ))/4184</f>
        <v>6.3820938819507376</v>
      </c>
      <c r="M177" s="200" t="s">
        <v>91</v>
      </c>
      <c r="N177" s="200"/>
    </row>
    <row r="178" spans="2:14" ht="18.600000000000001" thickBot="1" x14ac:dyDescent="0.35">
      <c r="B178" s="35">
        <f t="shared" ref="B178:B194" si="23">B177+100</f>
        <v>500</v>
      </c>
      <c r="C178" s="53">
        <f t="shared" si="19"/>
        <v>6235.8539999999994</v>
      </c>
      <c r="D178" s="53">
        <f t="shared" si="20"/>
        <v>6235.8539999999994</v>
      </c>
      <c r="E178" s="53">
        <f t="shared" si="21"/>
        <v>26702.81589157995</v>
      </c>
      <c r="H178" s="35">
        <f t="shared" ref="H178:H194" si="24">H177+100</f>
        <v>500</v>
      </c>
      <c r="I178" s="53">
        <f t="shared" si="22"/>
        <v>1.490404875717017</v>
      </c>
      <c r="J178" s="53">
        <f t="shared" ref="J178:J194" si="25">3/2*$D$2*H178 / 4184</f>
        <v>1.490404875717017</v>
      </c>
      <c r="K178" s="53">
        <f t="shared" ref="K178:K194" si="26">($D$2* ( $B$12/(EXP($B$12/B178)-1) + 0.5*$B$12 ))/4184</f>
        <v>6.3821261691156668</v>
      </c>
      <c r="M178" s="201" t="s">
        <v>92</v>
      </c>
      <c r="N178" s="201"/>
    </row>
    <row r="179" spans="2:14" x14ac:dyDescent="0.3">
      <c r="B179" s="35">
        <f t="shared" si="23"/>
        <v>600</v>
      </c>
      <c r="C179" s="53">
        <f t="shared" si="19"/>
        <v>7483.0248000000001</v>
      </c>
      <c r="D179" s="53">
        <f t="shared" si="20"/>
        <v>7483.0248000000001</v>
      </c>
      <c r="E179" s="53">
        <f t="shared" si="21"/>
        <v>26703.872813217829</v>
      </c>
      <c r="H179" s="35">
        <f t="shared" si="24"/>
        <v>600</v>
      </c>
      <c r="I179" s="53">
        <f t="shared" si="22"/>
        <v>1.7884858508604207</v>
      </c>
      <c r="J179" s="53">
        <f t="shared" si="25"/>
        <v>1.7884858508604207</v>
      </c>
      <c r="K179" s="53">
        <f t="shared" si="26"/>
        <v>6.3823787794497679</v>
      </c>
      <c r="M179" s="38"/>
      <c r="N179" s="4" t="s">
        <v>28</v>
      </c>
    </row>
    <row r="180" spans="2:14" x14ac:dyDescent="0.3">
      <c r="B180" s="35">
        <f t="shared" si="23"/>
        <v>700</v>
      </c>
      <c r="C180" s="53">
        <f t="shared" si="19"/>
        <v>8730.1955999999991</v>
      </c>
      <c r="D180" s="53">
        <f t="shared" si="20"/>
        <v>8730.1955999999991</v>
      </c>
      <c r="E180" s="53">
        <f t="shared" si="21"/>
        <v>26708.202976798428</v>
      </c>
      <c r="H180" s="35">
        <f t="shared" si="24"/>
        <v>700</v>
      </c>
      <c r="I180" s="53">
        <f t="shared" si="22"/>
        <v>2.0865668260038239</v>
      </c>
      <c r="J180" s="53">
        <f t="shared" si="25"/>
        <v>2.0865668260038239</v>
      </c>
      <c r="K180" s="53">
        <f t="shared" si="26"/>
        <v>6.3834137133839457</v>
      </c>
      <c r="M180" s="39"/>
      <c r="N180" s="41" t="s">
        <v>31</v>
      </c>
    </row>
    <row r="181" spans="2:14" x14ac:dyDescent="0.3">
      <c r="B181" s="35">
        <f t="shared" si="23"/>
        <v>800</v>
      </c>
      <c r="C181" s="53">
        <f t="shared" si="19"/>
        <v>9977.366399999999</v>
      </c>
      <c r="D181" s="53">
        <f t="shared" si="20"/>
        <v>9977.366399999999</v>
      </c>
      <c r="E181" s="53">
        <f t="shared" si="21"/>
        <v>26720.084649857126</v>
      </c>
      <c r="H181" s="35">
        <f t="shared" si="24"/>
        <v>800</v>
      </c>
      <c r="I181" s="53">
        <f t="shared" si="22"/>
        <v>2.3846478011472274</v>
      </c>
      <c r="J181" s="53">
        <f t="shared" si="25"/>
        <v>2.3846478011472274</v>
      </c>
      <c r="K181" s="53">
        <f t="shared" si="26"/>
        <v>6.3862535013998869</v>
      </c>
      <c r="M181" s="39" t="s">
        <v>33</v>
      </c>
      <c r="N181" s="41">
        <v>7.8630000000000004</v>
      </c>
    </row>
    <row r="182" spans="2:14" x14ac:dyDescent="0.3">
      <c r="B182" s="35">
        <f t="shared" si="23"/>
        <v>900</v>
      </c>
      <c r="C182" s="53">
        <f t="shared" si="19"/>
        <v>11224.537199999999</v>
      </c>
      <c r="D182" s="53">
        <f t="shared" si="20"/>
        <v>11224.537199999999</v>
      </c>
      <c r="E182" s="53">
        <f t="shared" si="21"/>
        <v>26745.178999252781</v>
      </c>
      <c r="H182" s="35">
        <f t="shared" si="24"/>
        <v>900</v>
      </c>
      <c r="I182" s="53">
        <f t="shared" si="22"/>
        <v>2.6827287762906309</v>
      </c>
      <c r="J182" s="53">
        <f t="shared" si="25"/>
        <v>2.6827287762906309</v>
      </c>
      <c r="K182" s="53">
        <f t="shared" si="26"/>
        <v>6.3922511948500906</v>
      </c>
      <c r="M182" s="39" t="s">
        <v>34</v>
      </c>
      <c r="N182" s="41" t="s">
        <v>106</v>
      </c>
    </row>
    <row r="183" spans="2:14" x14ac:dyDescent="0.3">
      <c r="B183" s="35">
        <f t="shared" si="23"/>
        <v>1000</v>
      </c>
      <c r="C183" s="53">
        <f t="shared" si="19"/>
        <v>12471.707999999999</v>
      </c>
      <c r="D183" s="53">
        <f t="shared" si="20"/>
        <v>12471.707999999999</v>
      </c>
      <c r="E183" s="53">
        <f t="shared" si="21"/>
        <v>26789.518923012074</v>
      </c>
      <c r="H183" s="35">
        <f t="shared" si="24"/>
        <v>1000</v>
      </c>
      <c r="I183" s="53">
        <f t="shared" si="22"/>
        <v>2.9808097514340339</v>
      </c>
      <c r="J183" s="53">
        <f t="shared" si="25"/>
        <v>2.9808097514340339</v>
      </c>
      <c r="K183" s="53">
        <f t="shared" si="26"/>
        <v>6.4028486909684688</v>
      </c>
      <c r="M183" s="39" t="s">
        <v>35</v>
      </c>
      <c r="N183" s="41">
        <v>0.88900000000000001</v>
      </c>
    </row>
    <row r="184" spans="2:14" x14ac:dyDescent="0.3">
      <c r="B184" s="35">
        <f t="shared" si="23"/>
        <v>1100</v>
      </c>
      <c r="C184" s="53">
        <f t="shared" si="19"/>
        <v>13718.8788</v>
      </c>
      <c r="D184" s="53">
        <f t="shared" si="20"/>
        <v>13718.8788</v>
      </c>
      <c r="E184" s="53">
        <f t="shared" si="21"/>
        <v>26858.592615278078</v>
      </c>
      <c r="H184" s="35">
        <f t="shared" si="24"/>
        <v>1100</v>
      </c>
      <c r="I184" s="53">
        <f t="shared" si="22"/>
        <v>3.2788907265774379</v>
      </c>
      <c r="J184" s="53">
        <f t="shared" si="25"/>
        <v>3.2788907265774379</v>
      </c>
      <c r="K184" s="53">
        <f t="shared" si="26"/>
        <v>6.4193576996362518</v>
      </c>
      <c r="M184" s="39" t="s">
        <v>36</v>
      </c>
      <c r="N184" s="41">
        <v>0.59199999999999997</v>
      </c>
    </row>
    <row r="185" spans="2:14" ht="15" thickBot="1" x14ac:dyDescent="0.35">
      <c r="B185" s="35">
        <f t="shared" si="23"/>
        <v>1200</v>
      </c>
      <c r="C185" s="53">
        <f t="shared" si="19"/>
        <v>14966.0496</v>
      </c>
      <c r="D185" s="53">
        <f t="shared" si="20"/>
        <v>14966.0496</v>
      </c>
      <c r="E185" s="53">
        <f t="shared" si="21"/>
        <v>26956.78406357878</v>
      </c>
      <c r="H185" s="35">
        <f t="shared" si="24"/>
        <v>1200</v>
      </c>
      <c r="I185" s="53">
        <f t="shared" si="22"/>
        <v>3.5769717017208413</v>
      </c>
      <c r="J185" s="53">
        <f t="shared" si="25"/>
        <v>3.5769717017208413</v>
      </c>
      <c r="K185" s="53">
        <f t="shared" si="26"/>
        <v>6.442826019019785</v>
      </c>
      <c r="M185" s="43" t="s">
        <v>37</v>
      </c>
      <c r="N185" s="45">
        <v>6.3819999999999997</v>
      </c>
    </row>
    <row r="186" spans="2:14" x14ac:dyDescent="0.3">
      <c r="B186" s="35">
        <f t="shared" si="23"/>
        <v>1300</v>
      </c>
      <c r="C186" s="53">
        <f t="shared" si="19"/>
        <v>16213.2204</v>
      </c>
      <c r="D186" s="53">
        <f t="shared" si="20"/>
        <v>16213.2204</v>
      </c>
      <c r="E186" s="53">
        <f t="shared" si="21"/>
        <v>27087.170711867231</v>
      </c>
      <c r="H186" s="35">
        <f t="shared" si="24"/>
        <v>1300</v>
      </c>
      <c r="I186" s="53">
        <f t="shared" si="22"/>
        <v>3.8750526768642448</v>
      </c>
      <c r="J186" s="53">
        <f t="shared" si="25"/>
        <v>3.8750526768642448</v>
      </c>
      <c r="K186" s="53">
        <f t="shared" si="26"/>
        <v>6.4739891758764889</v>
      </c>
      <c r="N186" s="46"/>
    </row>
    <row r="187" spans="2:14" x14ac:dyDescent="0.3">
      <c r="B187" s="35">
        <f t="shared" si="23"/>
        <v>1400</v>
      </c>
      <c r="C187" s="53">
        <f t="shared" si="19"/>
        <v>17460.391199999998</v>
      </c>
      <c r="D187" s="53">
        <f t="shared" si="20"/>
        <v>17460.391199999998</v>
      </c>
      <c r="E187" s="53">
        <f t="shared" si="21"/>
        <v>27251.569451573305</v>
      </c>
      <c r="H187" s="35">
        <f t="shared" si="24"/>
        <v>1400</v>
      </c>
      <c r="I187" s="53">
        <f t="shared" si="22"/>
        <v>4.1731336520076479</v>
      </c>
      <c r="J187" s="53">
        <f t="shared" si="25"/>
        <v>4.1731336520076479</v>
      </c>
      <c r="K187" s="53">
        <f t="shared" si="26"/>
        <v>6.5132814176800444</v>
      </c>
    </row>
    <row r="188" spans="2:14" ht="15" thickBot="1" x14ac:dyDescent="0.35">
      <c r="B188" s="35">
        <f t="shared" si="23"/>
        <v>1500</v>
      </c>
      <c r="C188" s="53">
        <f t="shared" si="19"/>
        <v>18707.561999999998</v>
      </c>
      <c r="D188" s="53">
        <f t="shared" si="20"/>
        <v>18707.561999999998</v>
      </c>
      <c r="E188" s="53">
        <f t="shared" si="21"/>
        <v>27450.714680441055</v>
      </c>
      <c r="H188" s="35">
        <f t="shared" si="24"/>
        <v>1500</v>
      </c>
      <c r="I188" s="53">
        <f t="shared" si="22"/>
        <v>4.4712146271510509</v>
      </c>
      <c r="J188" s="53">
        <f t="shared" si="25"/>
        <v>4.4712146271510509</v>
      </c>
      <c r="K188" s="53">
        <f t="shared" si="26"/>
        <v>6.5608782697038848</v>
      </c>
    </row>
    <row r="189" spans="2:14" ht="15" thickBot="1" x14ac:dyDescent="0.35">
      <c r="B189" s="35">
        <f t="shared" si="23"/>
        <v>1600</v>
      </c>
      <c r="C189" s="53">
        <f t="shared" si="19"/>
        <v>19954.732799999998</v>
      </c>
      <c r="D189" s="53">
        <f t="shared" si="20"/>
        <v>19954.732799999998</v>
      </c>
      <c r="E189" s="53">
        <f t="shared" si="21"/>
        <v>27684.483204177464</v>
      </c>
      <c r="H189" s="35">
        <f t="shared" si="24"/>
        <v>1600</v>
      </c>
      <c r="I189" s="53">
        <f t="shared" si="22"/>
        <v>4.7692956022944548</v>
      </c>
      <c r="J189" s="53">
        <f t="shared" si="25"/>
        <v>4.7692956022944548</v>
      </c>
      <c r="K189" s="53">
        <f t="shared" si="26"/>
        <v>6.6167502878053215</v>
      </c>
      <c r="M189" s="30" t="s">
        <v>93</v>
      </c>
      <c r="N189" s="108">
        <f>SUM(I176:L176)</f>
        <v>8.1595493868061766</v>
      </c>
    </row>
    <row r="190" spans="2:14" x14ac:dyDescent="0.3">
      <c r="B190" s="35">
        <f t="shared" si="23"/>
        <v>1700</v>
      </c>
      <c r="C190" s="53">
        <f t="shared" si="19"/>
        <v>21201.903599999998</v>
      </c>
      <c r="D190" s="53">
        <f t="shared" si="20"/>
        <v>21201.903599999998</v>
      </c>
      <c r="E190" s="53">
        <f t="shared" si="21"/>
        <v>27952.115433303745</v>
      </c>
      <c r="H190" s="35">
        <f t="shared" si="24"/>
        <v>1700</v>
      </c>
      <c r="I190" s="53">
        <f t="shared" si="22"/>
        <v>5.0673765774378579</v>
      </c>
      <c r="J190" s="53">
        <f t="shared" si="25"/>
        <v>5.0673765774378579</v>
      </c>
      <c r="K190" s="53">
        <f t="shared" si="26"/>
        <v>6.6807159257418132</v>
      </c>
    </row>
    <row r="191" spans="2:14" x14ac:dyDescent="0.3">
      <c r="B191" s="35">
        <f t="shared" si="23"/>
        <v>1800</v>
      </c>
      <c r="C191" s="53">
        <f t="shared" si="19"/>
        <v>22449.074399999998</v>
      </c>
      <c r="D191" s="53">
        <f t="shared" si="20"/>
        <v>22449.074399999998</v>
      </c>
      <c r="E191" s="53">
        <f t="shared" si="21"/>
        <v>28252.408437034876</v>
      </c>
      <c r="H191" s="35">
        <f t="shared" si="24"/>
        <v>1800</v>
      </c>
      <c r="I191" s="53">
        <f t="shared" si="22"/>
        <v>5.3654575525812618</v>
      </c>
      <c r="J191" s="53">
        <f t="shared" si="25"/>
        <v>5.3654575525812618</v>
      </c>
      <c r="K191" s="53">
        <f t="shared" si="26"/>
        <v>6.752487676155563</v>
      </c>
    </row>
    <row r="192" spans="2:14" x14ac:dyDescent="0.3">
      <c r="B192" s="35">
        <f t="shared" si="23"/>
        <v>1900</v>
      </c>
      <c r="C192" s="53">
        <f t="shared" si="19"/>
        <v>23696.245199999998</v>
      </c>
      <c r="D192" s="53">
        <f t="shared" si="20"/>
        <v>23696.245199999998</v>
      </c>
      <c r="E192" s="53">
        <f t="shared" si="21"/>
        <v>28583.872678893906</v>
      </c>
      <c r="H192" s="35">
        <f t="shared" si="24"/>
        <v>1900</v>
      </c>
      <c r="I192" s="53">
        <f t="shared" si="22"/>
        <v>5.6635385277246648</v>
      </c>
      <c r="J192" s="53">
        <f t="shared" si="25"/>
        <v>5.6635385277246648</v>
      </c>
      <c r="K192" s="53">
        <f t="shared" si="26"/>
        <v>6.8317095312843943</v>
      </c>
    </row>
    <row r="193" spans="1:15" x14ac:dyDescent="0.3">
      <c r="B193" s="35">
        <f t="shared" si="23"/>
        <v>2000</v>
      </c>
      <c r="C193" s="53">
        <f t="shared" si="19"/>
        <v>24943.415999999997</v>
      </c>
      <c r="D193" s="53">
        <f t="shared" si="20"/>
        <v>24943.415999999997</v>
      </c>
      <c r="E193" s="53">
        <f t="shared" si="21"/>
        <v>28944.853004417288</v>
      </c>
      <c r="H193" s="35">
        <f t="shared" si="24"/>
        <v>2000</v>
      </c>
      <c r="I193" s="53">
        <f t="shared" si="22"/>
        <v>5.9616195028680679</v>
      </c>
      <c r="J193" s="53">
        <f t="shared" si="25"/>
        <v>5.9616195028680679</v>
      </c>
      <c r="K193" s="53">
        <f t="shared" si="26"/>
        <v>6.9179858997173254</v>
      </c>
    </row>
    <row r="194" spans="1:15" ht="15" thickBot="1" x14ac:dyDescent="0.35">
      <c r="B194" s="26">
        <f t="shared" si="23"/>
        <v>2100</v>
      </c>
      <c r="C194" s="56">
        <f t="shared" si="19"/>
        <v>26190.586799999997</v>
      </c>
      <c r="D194" s="56">
        <f t="shared" si="20"/>
        <v>26190.586799999997</v>
      </c>
      <c r="E194" s="56">
        <f t="shared" si="21"/>
        <v>29333.618392302753</v>
      </c>
      <c r="F194" s="51"/>
      <c r="H194" s="26">
        <f t="shared" si="24"/>
        <v>2100</v>
      </c>
      <c r="I194" s="56">
        <f t="shared" si="22"/>
        <v>6.2597004780114718</v>
      </c>
      <c r="J194" s="56">
        <f t="shared" si="25"/>
        <v>6.2597004780114718</v>
      </c>
      <c r="K194" s="56">
        <f t="shared" si="26"/>
        <v>7.0109030574337368</v>
      </c>
      <c r="L194" s="51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0" t="s">
        <v>94</v>
      </c>
    </row>
    <row r="198" spans="1:15" ht="16.8" thickBot="1" x14ac:dyDescent="0.35">
      <c r="B198" s="109" t="s">
        <v>95</v>
      </c>
      <c r="C198" s="110">
        <f xml:space="preserve"> ($C$2*$C$2) /(8*$B$2*$B$2*$A$2*$H$198)</f>
        <v>87.242643881319381</v>
      </c>
      <c r="F198" s="35"/>
      <c r="H198" s="51">
        <f>B116*B120*B120</f>
        <v>4.61664085874549E-48</v>
      </c>
      <c r="I198" s="36" t="s">
        <v>96</v>
      </c>
      <c r="K198" s="25">
        <v>1.18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97</v>
      </c>
      <c r="B200" s="196" t="s">
        <v>98</v>
      </c>
      <c r="C200" s="196"/>
      <c r="D200" s="196"/>
      <c r="E200" s="196"/>
      <c r="F200" s="196"/>
      <c r="H200" s="196" t="s">
        <v>99</v>
      </c>
      <c r="I200" s="196"/>
      <c r="J200" s="196"/>
      <c r="K200" s="196"/>
      <c r="L200" s="196"/>
    </row>
    <row r="201" spans="1:15" ht="18" x14ac:dyDescent="0.3">
      <c r="A201" s="5" t="s">
        <v>98</v>
      </c>
      <c r="B201" s="95" t="s">
        <v>46</v>
      </c>
      <c r="C201" s="16" t="s">
        <v>100</v>
      </c>
      <c r="D201" s="16" t="s">
        <v>88</v>
      </c>
      <c r="E201" s="16" t="s">
        <v>36</v>
      </c>
      <c r="F201" s="16" t="s">
        <v>37</v>
      </c>
      <c r="G201" s="16" t="s">
        <v>89</v>
      </c>
      <c r="H201" s="95" t="s">
        <v>46</v>
      </c>
      <c r="I201" s="16" t="s">
        <v>88</v>
      </c>
      <c r="J201" s="16" t="s">
        <v>36</v>
      </c>
      <c r="K201" s="16" t="s">
        <v>37</v>
      </c>
      <c r="L201" s="16" t="s">
        <v>89</v>
      </c>
      <c r="O201" s="80"/>
    </row>
    <row r="202" spans="1:15" ht="15" thickBot="1" x14ac:dyDescent="0.35">
      <c r="B202" s="35">
        <f>298.15</f>
        <v>298.14999999999998</v>
      </c>
      <c r="C202" s="53">
        <f>($A$2*B202)/$J$2</f>
        <v>4.062431680236861E-26</v>
      </c>
      <c r="D202" s="111">
        <f xml:space="preserve"> $D$2 *( 5/2  +   LN(  ((2*$B$2*$E$2*$A$2*B202)/($C$2*$C$2) )^1.5  * ($D$2*B202 )/($F$2*$J$2)  ) )</f>
        <v>117.48350484038419</v>
      </c>
      <c r="E202" s="53">
        <f>$D$2 *LN( (EXP(1)*B202) / ($B$6 * $C$198))</f>
        <v>12.769002657867782</v>
      </c>
      <c r="F202" s="53">
        <f>0</f>
        <v>0</v>
      </c>
      <c r="G202" s="56">
        <v>0</v>
      </c>
      <c r="H202" s="35">
        <f>298.15</f>
        <v>298.14999999999998</v>
      </c>
      <c r="I202" s="106">
        <f xml:space="preserve"> $D$2 *( 5/2  +   LN(  ((2*$B$2*$E$2*$A$2*B202)/($C$2*$C$2) )^1.5  * ($D$2*B202 )/($F$2*$J$2)  ) ) / 4.184</f>
        <v>28.079231558409219</v>
      </c>
      <c r="J202" s="106">
        <f>$D$2 *LN( (EXP(1)*B202) / ($B$6 * $C$198)) /4.184</f>
        <v>3.0518648799875194</v>
      </c>
      <c r="K202" s="106">
        <f>F202</f>
        <v>0</v>
      </c>
      <c r="L202" s="112">
        <v>0</v>
      </c>
      <c r="O202" s="80"/>
    </row>
    <row r="203" spans="1:15" x14ac:dyDescent="0.3">
      <c r="B203" s="35">
        <f>300+100</f>
        <v>400</v>
      </c>
      <c r="C203" s="53">
        <f t="shared" ref="C203:C220" si="27">($A$2*B203)/$J$2</f>
        <v>5.4501850481125095E-26</v>
      </c>
      <c r="D203" s="111">
        <f t="shared" ref="D203:D220" si="28" xml:space="preserve"> $D$2 *( 5/2  +   LN(  ((2*$B$2*$E$2*$A$2*B203)/($C$2*$C$2) )^1.5  * ($D$2*B203 )/($F$2*$J$2)  ) )</f>
        <v>123.59189448296074</v>
      </c>
      <c r="E203" s="53">
        <f t="shared" ref="E203:E220" si="29">$D$2 *LN( (EXP(1)*B203) / ($B$6 * $C$198))</f>
        <v>15.21235851489841</v>
      </c>
      <c r="F203" s="53">
        <f>0</f>
        <v>0</v>
      </c>
      <c r="H203" s="35">
        <f>300+100</f>
        <v>400</v>
      </c>
      <c r="I203" s="111">
        <f xml:space="preserve"> $D$2 *( 5/2  +   LN(  ((2*$B$2*$E$2*$A$2*B203)/($C$2*$C$2) )^1.5  * ($D$2*B203 )/($F$2*$J$2)  ) )/ 4.184</f>
        <v>29.539171721548932</v>
      </c>
      <c r="J203" s="53">
        <f>$D$2 *LN( (EXP(1)*B203) / ($B$6 * $C$198)) / 4.184</f>
        <v>3.6358409452434057</v>
      </c>
      <c r="K203" s="53">
        <f>F203</f>
        <v>0</v>
      </c>
      <c r="O203" s="46"/>
    </row>
    <row r="204" spans="1:15" ht="18" x14ac:dyDescent="0.3">
      <c r="B204" s="35">
        <f t="shared" ref="B204:B220" si="30">B203+100</f>
        <v>500</v>
      </c>
      <c r="C204" s="53">
        <f t="shared" si="27"/>
        <v>6.8127313101406362E-26</v>
      </c>
      <c r="D204" s="111">
        <f t="shared" si="28"/>
        <v>128.23019650641717</v>
      </c>
      <c r="E204" s="53">
        <f t="shared" si="29"/>
        <v>17.06767932428097</v>
      </c>
      <c r="F204" s="53">
        <f>0</f>
        <v>0</v>
      </c>
      <c r="H204" s="35">
        <f t="shared" ref="H204:H220" si="31">H203+100</f>
        <v>500</v>
      </c>
      <c r="I204" s="111">
        <f t="shared" ref="I204:I220" si="32" xml:space="preserve"> $D$2 *( 5/2  +   LN(  ((2*$B$2*$E$2*$A$2*B204)/($C$2*$C$2) )^1.5  * ($D$2*B204 )/($F$2*$J$2)  ) )/ 4.184</f>
        <v>30.647752511093969</v>
      </c>
      <c r="J204" s="53">
        <f t="shared" ref="J204:J220" si="33">$D$2 *LN( (EXP(1)*B204) / ($B$6 * $C$198)) / 4.184</f>
        <v>4.0792732610614175</v>
      </c>
      <c r="K204" s="53">
        <f t="shared" ref="K204:K220" si="34">F204</f>
        <v>0</v>
      </c>
      <c r="M204" s="202"/>
      <c r="N204" s="202"/>
      <c r="O204" s="46"/>
    </row>
    <row r="205" spans="1:15" ht="18.600000000000001" thickBot="1" x14ac:dyDescent="0.35">
      <c r="B205" s="35">
        <f t="shared" si="30"/>
        <v>600</v>
      </c>
      <c r="C205" s="53">
        <f t="shared" si="27"/>
        <v>8.175277572168763E-26</v>
      </c>
      <c r="D205" s="111">
        <f t="shared" si="28"/>
        <v>132.01996520381655</v>
      </c>
      <c r="E205" s="53">
        <f t="shared" si="29"/>
        <v>18.583586803240713</v>
      </c>
      <c r="F205" s="53">
        <f>0</f>
        <v>0</v>
      </c>
      <c r="H205" s="35">
        <f t="shared" si="31"/>
        <v>600</v>
      </c>
      <c r="I205" s="111">
        <f t="shared" si="32"/>
        <v>31.553528968407395</v>
      </c>
      <c r="J205" s="53">
        <f t="shared" si="33"/>
        <v>4.4415838439867859</v>
      </c>
      <c r="K205" s="53">
        <f t="shared" si="34"/>
        <v>0</v>
      </c>
      <c r="M205" s="202" t="s">
        <v>92</v>
      </c>
      <c r="N205" s="202"/>
      <c r="O205" s="46"/>
    </row>
    <row r="206" spans="1:15" x14ac:dyDescent="0.3">
      <c r="B206" s="35">
        <f t="shared" si="30"/>
        <v>700</v>
      </c>
      <c r="C206" s="53">
        <f t="shared" si="27"/>
        <v>9.5378238341968898E-26</v>
      </c>
      <c r="D206" s="111">
        <f t="shared" si="28"/>
        <v>135.22416898182834</v>
      </c>
      <c r="E206" s="53">
        <f t="shared" si="29"/>
        <v>19.865268314445419</v>
      </c>
      <c r="F206" s="53">
        <f>0</f>
        <v>0</v>
      </c>
      <c r="H206" s="35">
        <f t="shared" si="31"/>
        <v>700</v>
      </c>
      <c r="I206" s="111">
        <f t="shared" si="32"/>
        <v>32.3193520511062</v>
      </c>
      <c r="J206" s="53">
        <f t="shared" si="33"/>
        <v>4.7479130770663049</v>
      </c>
      <c r="K206" s="53">
        <f t="shared" si="34"/>
        <v>0</v>
      </c>
      <c r="M206" s="38"/>
      <c r="N206" s="4" t="s">
        <v>30</v>
      </c>
      <c r="O206" s="46"/>
    </row>
    <row r="207" spans="1:15" x14ac:dyDescent="0.3">
      <c r="B207" s="35">
        <f t="shared" si="30"/>
        <v>800</v>
      </c>
      <c r="C207" s="53">
        <f t="shared" si="27"/>
        <v>1.0900370096225019E-25</v>
      </c>
      <c r="D207" s="111">
        <f t="shared" si="28"/>
        <v>137.99977654457228</v>
      </c>
      <c r="E207" s="53">
        <f t="shared" si="29"/>
        <v>20.975511339543022</v>
      </c>
      <c r="F207" s="53">
        <f>0</f>
        <v>0</v>
      </c>
      <c r="H207" s="35">
        <f t="shared" si="31"/>
        <v>800</v>
      </c>
      <c r="I207" s="111">
        <f t="shared" si="32"/>
        <v>32.982738179869095</v>
      </c>
      <c r="J207" s="53">
        <f t="shared" si="33"/>
        <v>5.0132675285714674</v>
      </c>
      <c r="K207" s="53">
        <f t="shared" si="34"/>
        <v>0</v>
      </c>
      <c r="M207" s="39"/>
      <c r="N207" s="41" t="s">
        <v>32</v>
      </c>
      <c r="O207" s="46"/>
    </row>
    <row r="208" spans="1:15" x14ac:dyDescent="0.3">
      <c r="B208" s="35">
        <f t="shared" si="30"/>
        <v>900</v>
      </c>
      <c r="C208" s="53">
        <f t="shared" si="27"/>
        <v>1.2262916358253145E-25</v>
      </c>
      <c r="D208" s="111">
        <f t="shared" si="28"/>
        <v>140.4480359246723</v>
      </c>
      <c r="E208" s="53">
        <f t="shared" si="29"/>
        <v>21.954815091583022</v>
      </c>
      <c r="F208" s="53">
        <f>0</f>
        <v>0</v>
      </c>
      <c r="H208" s="35">
        <f t="shared" si="31"/>
        <v>900</v>
      </c>
      <c r="I208" s="111">
        <f t="shared" si="32"/>
        <v>33.567886215265844</v>
      </c>
      <c r="J208" s="53">
        <f t="shared" si="33"/>
        <v>5.2473267427301673</v>
      </c>
      <c r="K208" s="53">
        <f t="shared" si="34"/>
        <v>0</v>
      </c>
      <c r="M208" s="39" t="s">
        <v>33</v>
      </c>
      <c r="N208" s="41">
        <v>31.132999999999999</v>
      </c>
    </row>
    <row r="209" spans="1:14" x14ac:dyDescent="0.3">
      <c r="B209" s="35">
        <f t="shared" si="30"/>
        <v>1000</v>
      </c>
      <c r="C209" s="53">
        <f t="shared" si="27"/>
        <v>1.3625462620281272E-25</v>
      </c>
      <c r="D209" s="111">
        <f t="shared" si="28"/>
        <v>142.63807856802873</v>
      </c>
      <c r="E209" s="53">
        <f t="shared" si="29"/>
        <v>22.83083214892558</v>
      </c>
      <c r="F209" s="53">
        <f>0</f>
        <v>0</v>
      </c>
      <c r="H209" s="35">
        <f t="shared" si="31"/>
        <v>1000</v>
      </c>
      <c r="I209" s="111">
        <f t="shared" si="32"/>
        <v>34.091318969414132</v>
      </c>
      <c r="J209" s="53">
        <f t="shared" si="33"/>
        <v>5.4566998443894787</v>
      </c>
      <c r="K209" s="53">
        <f t="shared" si="34"/>
        <v>0</v>
      </c>
      <c r="M209" s="39" t="s">
        <v>34</v>
      </c>
      <c r="N209" s="41" t="s">
        <v>106</v>
      </c>
    </row>
    <row r="210" spans="1:14" x14ac:dyDescent="0.3">
      <c r="B210" s="35">
        <f t="shared" si="30"/>
        <v>1100</v>
      </c>
      <c r="C210" s="53">
        <f t="shared" si="27"/>
        <v>1.4988008882309398E-25</v>
      </c>
      <c r="D210" s="111">
        <f t="shared" si="28"/>
        <v>144.61921312127373</v>
      </c>
      <c r="E210" s="53">
        <f t="shared" si="29"/>
        <v>23.623285970223606</v>
      </c>
      <c r="F210" s="53">
        <f>0</f>
        <v>0</v>
      </c>
      <c r="H210" s="35">
        <f t="shared" si="31"/>
        <v>1100</v>
      </c>
      <c r="I210" s="111">
        <f t="shared" si="32"/>
        <v>34.564821491700222</v>
      </c>
      <c r="J210" s="53">
        <f t="shared" si="33"/>
        <v>5.6461008533039205</v>
      </c>
      <c r="K210" s="53">
        <f t="shared" si="34"/>
        <v>0</v>
      </c>
      <c r="M210" s="39" t="s">
        <v>35</v>
      </c>
      <c r="N210" s="41">
        <v>28.08</v>
      </c>
    </row>
    <row r="211" spans="1:14" x14ac:dyDescent="0.3">
      <c r="A211" s="51"/>
      <c r="B211" s="35">
        <f t="shared" si="30"/>
        <v>1200</v>
      </c>
      <c r="C211" s="53">
        <f t="shared" si="27"/>
        <v>1.6350555144337526E-25</v>
      </c>
      <c r="D211" s="111">
        <f t="shared" si="28"/>
        <v>146.427847265428</v>
      </c>
      <c r="E211" s="53">
        <f t="shared" si="29"/>
        <v>24.346739627885324</v>
      </c>
      <c r="F211" s="53">
        <f>0</f>
        <v>0</v>
      </c>
      <c r="H211" s="35">
        <f t="shared" si="31"/>
        <v>1200</v>
      </c>
      <c r="I211" s="111">
        <f t="shared" si="32"/>
        <v>34.997095426727533</v>
      </c>
      <c r="J211" s="53">
        <f t="shared" si="33"/>
        <v>5.819010427314848</v>
      </c>
      <c r="K211" s="53">
        <f t="shared" si="34"/>
        <v>0</v>
      </c>
      <c r="M211" s="39" t="s">
        <v>36</v>
      </c>
      <c r="N211" s="41">
        <v>3.052</v>
      </c>
    </row>
    <row r="212" spans="1:14" ht="15" thickBot="1" x14ac:dyDescent="0.35">
      <c r="B212" s="35">
        <f t="shared" si="30"/>
        <v>1300</v>
      </c>
      <c r="C212" s="53">
        <f t="shared" si="27"/>
        <v>1.7713101406365654E-25</v>
      </c>
      <c r="D212" s="111">
        <f t="shared" si="28"/>
        <v>148.09162939481766</v>
      </c>
      <c r="E212" s="53">
        <f t="shared" si="29"/>
        <v>25.012252479641127</v>
      </c>
      <c r="F212" s="53">
        <f>0</f>
        <v>0</v>
      </c>
      <c r="H212" s="35">
        <f t="shared" si="31"/>
        <v>1300</v>
      </c>
      <c r="I212" s="111">
        <f t="shared" si="32"/>
        <v>35.394748899335006</v>
      </c>
      <c r="J212" s="53">
        <f t="shared" si="33"/>
        <v>5.9780718163578221</v>
      </c>
      <c r="K212" s="53">
        <f t="shared" si="34"/>
        <v>0</v>
      </c>
      <c r="M212" s="43" t="s">
        <v>37</v>
      </c>
      <c r="N212" s="45" t="s">
        <v>106</v>
      </c>
    </row>
    <row r="213" spans="1:14" x14ac:dyDescent="0.3">
      <c r="B213" s="35">
        <f t="shared" si="30"/>
        <v>1400</v>
      </c>
      <c r="C213" s="53">
        <f t="shared" si="27"/>
        <v>1.907564766839378E-25</v>
      </c>
      <c r="D213" s="111">
        <f t="shared" si="28"/>
        <v>149.63205104343987</v>
      </c>
      <c r="E213" s="53">
        <f t="shared" si="29"/>
        <v>25.62842113909003</v>
      </c>
      <c r="F213" s="53">
        <f>0</f>
        <v>0</v>
      </c>
      <c r="H213" s="35">
        <f t="shared" si="31"/>
        <v>1400</v>
      </c>
      <c r="I213" s="111">
        <f t="shared" si="32"/>
        <v>35.762918509426356</v>
      </c>
      <c r="J213" s="53">
        <f t="shared" si="33"/>
        <v>6.1253396603943662</v>
      </c>
      <c r="K213" s="53">
        <f t="shared" si="34"/>
        <v>0</v>
      </c>
    </row>
    <row r="214" spans="1:14" ht="15" thickBot="1" x14ac:dyDescent="0.35">
      <c r="B214" s="35">
        <f t="shared" si="30"/>
        <v>1500</v>
      </c>
      <c r="C214" s="53">
        <f t="shared" si="27"/>
        <v>2.0438193930421908E-25</v>
      </c>
      <c r="D214" s="111">
        <f t="shared" si="28"/>
        <v>151.06614928888459</v>
      </c>
      <c r="E214" s="53">
        <f t="shared" si="29"/>
        <v>26.202060437267889</v>
      </c>
      <c r="F214" s="53">
        <f>0</f>
        <v>0</v>
      </c>
      <c r="H214" s="35">
        <f t="shared" si="31"/>
        <v>1500</v>
      </c>
      <c r="I214" s="111">
        <f t="shared" si="32"/>
        <v>36.105676216272606</v>
      </c>
      <c r="J214" s="53">
        <f t="shared" si="33"/>
        <v>6.2624427431328602</v>
      </c>
      <c r="K214" s="53">
        <f t="shared" si="34"/>
        <v>0</v>
      </c>
    </row>
    <row r="215" spans="1:14" ht="15" thickBot="1" x14ac:dyDescent="0.35">
      <c r="B215" s="35">
        <f t="shared" si="30"/>
        <v>1600</v>
      </c>
      <c r="C215" s="53">
        <f t="shared" si="27"/>
        <v>2.1800740192450038E-25</v>
      </c>
      <c r="D215" s="111">
        <f t="shared" si="28"/>
        <v>152.40765860618384</v>
      </c>
      <c r="E215" s="53">
        <f t="shared" si="29"/>
        <v>26.738664164187629</v>
      </c>
      <c r="F215" s="53">
        <f>0</f>
        <v>0</v>
      </c>
      <c r="H215" s="35">
        <f t="shared" si="31"/>
        <v>1600</v>
      </c>
      <c r="I215" s="111">
        <f t="shared" si="32"/>
        <v>36.426304638189251</v>
      </c>
      <c r="J215" s="53">
        <f t="shared" si="33"/>
        <v>6.3906941118995286</v>
      </c>
      <c r="K215" s="53">
        <f t="shared" si="34"/>
        <v>0</v>
      </c>
      <c r="M215" s="30" t="s">
        <v>93</v>
      </c>
      <c r="N215" s="126">
        <f>SUM(I202:L202)</f>
        <v>31.131096438396739</v>
      </c>
    </row>
    <row r="216" spans="1:14" x14ac:dyDescent="0.3">
      <c r="B216" s="35">
        <f t="shared" si="30"/>
        <v>1700</v>
      </c>
      <c r="C216" s="53">
        <f t="shared" si="27"/>
        <v>2.3163286454478159E-25</v>
      </c>
      <c r="D216" s="111">
        <f t="shared" si="28"/>
        <v>153.66781290769211</v>
      </c>
      <c r="E216" s="53">
        <f t="shared" si="29"/>
        <v>27.242725884790964</v>
      </c>
      <c r="F216" s="53">
        <f>0</f>
        <v>0</v>
      </c>
      <c r="H216" s="35">
        <f t="shared" si="31"/>
        <v>1700</v>
      </c>
      <c r="I216" s="111">
        <f t="shared" si="32"/>
        <v>36.727488744668285</v>
      </c>
      <c r="J216" s="53">
        <f t="shared" si="33"/>
        <v>6.5111677544911482</v>
      </c>
      <c r="K216" s="53">
        <f t="shared" si="34"/>
        <v>0</v>
      </c>
    </row>
    <row r="217" spans="1:14" x14ac:dyDescent="0.3">
      <c r="B217" s="35">
        <f t="shared" si="30"/>
        <v>1800</v>
      </c>
      <c r="C217" s="53">
        <f t="shared" si="27"/>
        <v>2.4525832716506289E-25</v>
      </c>
      <c r="D217" s="111">
        <f t="shared" si="28"/>
        <v>154.85591798628383</v>
      </c>
      <c r="E217" s="53">
        <f t="shared" si="29"/>
        <v>27.717967916227632</v>
      </c>
      <c r="F217" s="53">
        <f>0</f>
        <v>0</v>
      </c>
      <c r="H217" s="35">
        <f t="shared" si="31"/>
        <v>1800</v>
      </c>
      <c r="I217" s="111">
        <f t="shared" si="32"/>
        <v>37.011452673586</v>
      </c>
      <c r="J217" s="53">
        <f t="shared" si="33"/>
        <v>6.6247533260582294</v>
      </c>
      <c r="K217" s="53">
        <f t="shared" si="34"/>
        <v>0</v>
      </c>
    </row>
    <row r="218" spans="1:14" x14ac:dyDescent="0.3">
      <c r="B218" s="35">
        <f t="shared" si="30"/>
        <v>1900</v>
      </c>
      <c r="C218" s="53">
        <f t="shared" si="27"/>
        <v>2.5888378978534419E-25</v>
      </c>
      <c r="D218" s="111">
        <f t="shared" si="28"/>
        <v>155.97976897970764</v>
      </c>
      <c r="E218" s="53">
        <f t="shared" si="29"/>
        <v>28.167508313597143</v>
      </c>
      <c r="F218" s="53">
        <f>0</f>
        <v>0</v>
      </c>
      <c r="H218" s="35">
        <f t="shared" si="31"/>
        <v>1900</v>
      </c>
      <c r="I218" s="111">
        <f t="shared" si="32"/>
        <v>37.280059507578308</v>
      </c>
      <c r="J218" s="53">
        <f t="shared" si="33"/>
        <v>6.7321960596551484</v>
      </c>
      <c r="K218" s="53">
        <f t="shared" si="34"/>
        <v>0</v>
      </c>
    </row>
    <row r="219" spans="1:14" x14ac:dyDescent="0.3">
      <c r="B219" s="35">
        <f t="shared" si="30"/>
        <v>2000</v>
      </c>
      <c r="C219" s="53">
        <f t="shared" si="27"/>
        <v>2.7250925240562545E-25</v>
      </c>
      <c r="D219" s="111">
        <f t="shared" si="28"/>
        <v>157.04596062964029</v>
      </c>
      <c r="E219" s="53">
        <f t="shared" si="29"/>
        <v>28.593984973570191</v>
      </c>
      <c r="F219" s="53">
        <f>0</f>
        <v>0</v>
      </c>
      <c r="H219" s="35">
        <f t="shared" si="31"/>
        <v>2000</v>
      </c>
      <c r="I219" s="111">
        <f t="shared" si="32"/>
        <v>37.534885427734295</v>
      </c>
      <c r="J219" s="53">
        <f t="shared" si="33"/>
        <v>6.8341264277175409</v>
      </c>
      <c r="K219" s="53">
        <f t="shared" si="34"/>
        <v>0</v>
      </c>
    </row>
    <row r="220" spans="1:14" ht="15" thickBot="1" x14ac:dyDescent="0.35">
      <c r="B220" s="26">
        <f t="shared" si="30"/>
        <v>2100</v>
      </c>
      <c r="C220" s="56">
        <f t="shared" si="27"/>
        <v>2.8613471502590675E-25</v>
      </c>
      <c r="D220" s="114">
        <f t="shared" si="28"/>
        <v>158.06012176429562</v>
      </c>
      <c r="E220" s="56">
        <f t="shared" si="29"/>
        <v>28.999649427432335</v>
      </c>
      <c r="F220" s="56">
        <f>0</f>
        <v>0</v>
      </c>
      <c r="G220" s="51"/>
      <c r="H220" s="26">
        <f t="shared" si="31"/>
        <v>2100</v>
      </c>
      <c r="I220" s="114">
        <f t="shared" si="32"/>
        <v>37.777275756284801</v>
      </c>
      <c r="J220" s="56">
        <f t="shared" si="33"/>
        <v>6.9310825591377467</v>
      </c>
      <c r="K220" s="56">
        <f t="shared" si="34"/>
        <v>0</v>
      </c>
      <c r="L220" s="51"/>
    </row>
    <row r="224" spans="1:14" ht="15" thickBot="1" x14ac:dyDescent="0.35">
      <c r="A224" s="5" t="s">
        <v>101</v>
      </c>
      <c r="B224" s="196" t="s">
        <v>102</v>
      </c>
      <c r="C224" s="196"/>
      <c r="D224" s="196"/>
      <c r="E224" s="196"/>
      <c r="F224" s="196"/>
      <c r="H224" s="196" t="s">
        <v>103</v>
      </c>
      <c r="I224" s="196"/>
      <c r="J224" s="196"/>
      <c r="K224" s="196"/>
      <c r="L224" s="196"/>
    </row>
    <row r="225" spans="1:15" ht="18" x14ac:dyDescent="0.3">
      <c r="A225" s="5" t="s">
        <v>98</v>
      </c>
      <c r="B225" s="95" t="s">
        <v>46</v>
      </c>
      <c r="C225" s="16" t="s">
        <v>88</v>
      </c>
      <c r="D225" s="16" t="s">
        <v>36</v>
      </c>
      <c r="E225" s="16" t="s">
        <v>37</v>
      </c>
      <c r="F225" s="16" t="s">
        <v>89</v>
      </c>
      <c r="H225" s="95" t="s">
        <v>46</v>
      </c>
      <c r="I225" s="16" t="s">
        <v>88</v>
      </c>
      <c r="J225" s="16" t="s">
        <v>36</v>
      </c>
      <c r="K225" s="16" t="s">
        <v>37</v>
      </c>
      <c r="L225" s="16" t="s">
        <v>89</v>
      </c>
    </row>
    <row r="226" spans="1:15" ht="15" thickBot="1" x14ac:dyDescent="0.35">
      <c r="B226" s="35">
        <f>298.15</f>
        <v>298.14999999999998</v>
      </c>
      <c r="C226" s="53">
        <f>3/2*$D$2</f>
        <v>12.471708</v>
      </c>
      <c r="D226" s="53">
        <f>3/2*$D$2</f>
        <v>12.471708</v>
      </c>
      <c r="E226" s="53">
        <v>0</v>
      </c>
      <c r="F226" s="56">
        <v>0</v>
      </c>
      <c r="H226" s="35">
        <f>298.15</f>
        <v>298.14999999999998</v>
      </c>
      <c r="I226" s="106">
        <f>3/2*$D$2 / 4.184</f>
        <v>2.9808097514340344</v>
      </c>
      <c r="J226" s="106">
        <f>D226 /4.184</f>
        <v>2.9808097514340344</v>
      </c>
      <c r="K226" s="106">
        <f>E226</f>
        <v>0</v>
      </c>
      <c r="L226" s="112">
        <v>0</v>
      </c>
    </row>
    <row r="227" spans="1:15" x14ac:dyDescent="0.3">
      <c r="B227" s="35">
        <f>300+100</f>
        <v>400</v>
      </c>
      <c r="C227" s="53">
        <f t="shared" ref="C227:D244" si="35">3/2*$D$2</f>
        <v>12.471708</v>
      </c>
      <c r="D227" s="53">
        <f t="shared" si="35"/>
        <v>12.471708</v>
      </c>
      <c r="E227" s="53">
        <v>0</v>
      </c>
      <c r="H227" s="35">
        <f>300+100</f>
        <v>400</v>
      </c>
      <c r="I227" s="53">
        <f t="shared" ref="I227:I244" si="36">3/2*$D$2 / 4.184</f>
        <v>2.9808097514340344</v>
      </c>
      <c r="J227" s="53">
        <f>D227/4.184</f>
        <v>2.9808097514340344</v>
      </c>
      <c r="K227" s="53">
        <f>E227</f>
        <v>0</v>
      </c>
    </row>
    <row r="228" spans="1:15" ht="18.600000000000001" thickBot="1" x14ac:dyDescent="0.35">
      <c r="B228" s="35">
        <f t="shared" ref="B228:B244" si="37">B227+100</f>
        <v>500</v>
      </c>
      <c r="C228" s="53">
        <f t="shared" si="35"/>
        <v>12.471708</v>
      </c>
      <c r="D228" s="53">
        <f t="shared" si="35"/>
        <v>12.471708</v>
      </c>
      <c r="E228" s="53">
        <v>0</v>
      </c>
      <c r="H228" s="35">
        <f t="shared" ref="H228:H244" si="38">H227+100</f>
        <v>500</v>
      </c>
      <c r="I228" s="53">
        <f t="shared" si="36"/>
        <v>2.9808097514340344</v>
      </c>
      <c r="J228" s="53">
        <f t="shared" ref="J228:J244" si="39">D228/4.184</f>
        <v>2.9808097514340344</v>
      </c>
      <c r="K228" s="53">
        <f t="shared" ref="K228:K244" si="40">E228</f>
        <v>0</v>
      </c>
      <c r="M228" s="202" t="s">
        <v>92</v>
      </c>
      <c r="N228" s="202"/>
    </row>
    <row r="229" spans="1:15" x14ac:dyDescent="0.3">
      <c r="B229" s="35">
        <f t="shared" si="37"/>
        <v>600</v>
      </c>
      <c r="C229" s="53">
        <f t="shared" si="35"/>
        <v>12.471708</v>
      </c>
      <c r="D229" s="53">
        <f t="shared" si="35"/>
        <v>12.471708</v>
      </c>
      <c r="E229" s="53">
        <v>0</v>
      </c>
      <c r="H229" s="35">
        <f t="shared" si="38"/>
        <v>600</v>
      </c>
      <c r="I229" s="53">
        <f t="shared" si="36"/>
        <v>2.9808097514340344</v>
      </c>
      <c r="J229" s="53">
        <f t="shared" si="39"/>
        <v>2.9808097514340344</v>
      </c>
      <c r="K229" s="53">
        <f t="shared" si="40"/>
        <v>0</v>
      </c>
      <c r="M229" s="38"/>
      <c r="N229" s="4" t="s">
        <v>29</v>
      </c>
      <c r="O229" s="80"/>
    </row>
    <row r="230" spans="1:15" x14ac:dyDescent="0.3">
      <c r="B230" s="35">
        <f t="shared" si="37"/>
        <v>700</v>
      </c>
      <c r="C230" s="53">
        <f t="shared" si="35"/>
        <v>12.471708</v>
      </c>
      <c r="D230" s="53">
        <f t="shared" si="35"/>
        <v>12.471708</v>
      </c>
      <c r="E230" s="53">
        <v>0</v>
      </c>
      <c r="H230" s="35">
        <f t="shared" si="38"/>
        <v>700</v>
      </c>
      <c r="I230" s="53">
        <f t="shared" si="36"/>
        <v>2.9808097514340344</v>
      </c>
      <c r="J230" s="53">
        <f t="shared" si="39"/>
        <v>2.9808097514340344</v>
      </c>
      <c r="K230" s="53">
        <f t="shared" si="40"/>
        <v>0</v>
      </c>
      <c r="M230" s="39"/>
      <c r="N230" s="41" t="s">
        <v>32</v>
      </c>
      <c r="O230" s="80"/>
    </row>
    <row r="231" spans="1:15" x14ac:dyDescent="0.3">
      <c r="B231" s="35">
        <f t="shared" si="37"/>
        <v>800</v>
      </c>
      <c r="C231" s="53">
        <f t="shared" si="35"/>
        <v>12.471708</v>
      </c>
      <c r="D231" s="53">
        <f t="shared" si="35"/>
        <v>12.471708</v>
      </c>
      <c r="E231" s="53">
        <v>0</v>
      </c>
      <c r="H231" s="35">
        <f t="shared" si="38"/>
        <v>800</v>
      </c>
      <c r="I231" s="53">
        <f t="shared" si="36"/>
        <v>2.9808097514340344</v>
      </c>
      <c r="J231" s="53">
        <f t="shared" si="39"/>
        <v>2.9808097514340344</v>
      </c>
      <c r="K231" s="53">
        <f t="shared" si="40"/>
        <v>0</v>
      </c>
      <c r="M231" s="39" t="s">
        <v>33</v>
      </c>
      <c r="N231" s="41">
        <v>4.968</v>
      </c>
    </row>
    <row r="232" spans="1:15" x14ac:dyDescent="0.3">
      <c r="B232" s="35">
        <f t="shared" si="37"/>
        <v>900</v>
      </c>
      <c r="C232" s="53">
        <f t="shared" si="35"/>
        <v>12.471708</v>
      </c>
      <c r="D232" s="53">
        <f t="shared" si="35"/>
        <v>12.471708</v>
      </c>
      <c r="E232" s="53">
        <v>0</v>
      </c>
      <c r="H232" s="35">
        <f t="shared" si="38"/>
        <v>900</v>
      </c>
      <c r="I232" s="53">
        <f t="shared" si="36"/>
        <v>2.9808097514340344</v>
      </c>
      <c r="J232" s="53">
        <f t="shared" si="39"/>
        <v>2.9808097514340344</v>
      </c>
      <c r="K232" s="53">
        <f t="shared" si="40"/>
        <v>0</v>
      </c>
      <c r="M232" s="39" t="s">
        <v>34</v>
      </c>
      <c r="N232" s="41" t="s">
        <v>106</v>
      </c>
    </row>
    <row r="233" spans="1:15" x14ac:dyDescent="0.3">
      <c r="B233" s="35">
        <f t="shared" si="37"/>
        <v>1000</v>
      </c>
      <c r="C233" s="53">
        <f t="shared" si="35"/>
        <v>12.471708</v>
      </c>
      <c r="D233" s="53">
        <f t="shared" si="35"/>
        <v>12.471708</v>
      </c>
      <c r="E233" s="53">
        <v>0</v>
      </c>
      <c r="H233" s="35">
        <f t="shared" si="38"/>
        <v>1000</v>
      </c>
      <c r="I233" s="53">
        <f t="shared" si="36"/>
        <v>2.9808097514340344</v>
      </c>
      <c r="J233" s="53">
        <f t="shared" si="39"/>
        <v>2.9808097514340344</v>
      </c>
      <c r="K233" s="53">
        <f t="shared" si="40"/>
        <v>0</v>
      </c>
      <c r="M233" s="39" t="s">
        <v>35</v>
      </c>
      <c r="N233" s="41">
        <v>2.9809999999999999</v>
      </c>
    </row>
    <row r="234" spans="1:15" x14ac:dyDescent="0.3">
      <c r="B234" s="35">
        <f t="shared" si="37"/>
        <v>1100</v>
      </c>
      <c r="C234" s="53">
        <f t="shared" si="35"/>
        <v>12.471708</v>
      </c>
      <c r="D234" s="53">
        <f t="shared" si="35"/>
        <v>12.471708</v>
      </c>
      <c r="E234" s="53">
        <v>0</v>
      </c>
      <c r="H234" s="35">
        <f t="shared" si="38"/>
        <v>1100</v>
      </c>
      <c r="I234" s="53">
        <f t="shared" si="36"/>
        <v>2.9808097514340344</v>
      </c>
      <c r="J234" s="53">
        <f t="shared" si="39"/>
        <v>2.9808097514340344</v>
      </c>
      <c r="K234" s="53">
        <f t="shared" si="40"/>
        <v>0</v>
      </c>
      <c r="M234" s="39" t="s">
        <v>36</v>
      </c>
      <c r="N234" s="41">
        <v>1.9870000000000001</v>
      </c>
    </row>
    <row r="235" spans="1:15" ht="15" thickBot="1" x14ac:dyDescent="0.35">
      <c r="B235" s="35">
        <f t="shared" si="37"/>
        <v>1200</v>
      </c>
      <c r="C235" s="53">
        <f t="shared" si="35"/>
        <v>12.471708</v>
      </c>
      <c r="D235" s="53">
        <f t="shared" si="35"/>
        <v>12.471708</v>
      </c>
      <c r="E235" s="53">
        <v>0</v>
      </c>
      <c r="H235" s="35">
        <f t="shared" si="38"/>
        <v>1200</v>
      </c>
      <c r="I235" s="53">
        <f t="shared" si="36"/>
        <v>2.9808097514340344</v>
      </c>
      <c r="J235" s="53">
        <f t="shared" si="39"/>
        <v>2.9808097514340344</v>
      </c>
      <c r="K235" s="53">
        <f t="shared" si="40"/>
        <v>0</v>
      </c>
      <c r="M235" s="43" t="s">
        <v>37</v>
      </c>
      <c r="N235" s="45" t="s">
        <v>106</v>
      </c>
    </row>
    <row r="236" spans="1:15" x14ac:dyDescent="0.3">
      <c r="B236" s="35">
        <f t="shared" si="37"/>
        <v>1300</v>
      </c>
      <c r="C236" s="53">
        <f t="shared" si="35"/>
        <v>12.471708</v>
      </c>
      <c r="D236" s="53">
        <f t="shared" si="35"/>
        <v>12.471708</v>
      </c>
      <c r="E236" s="53">
        <v>0</v>
      </c>
      <c r="H236" s="35">
        <f t="shared" si="38"/>
        <v>1300</v>
      </c>
      <c r="I236" s="53">
        <f t="shared" si="36"/>
        <v>2.9808097514340344</v>
      </c>
      <c r="J236" s="53">
        <f t="shared" si="39"/>
        <v>2.9808097514340344</v>
      </c>
      <c r="K236" s="53">
        <f t="shared" si="40"/>
        <v>0</v>
      </c>
      <c r="N236" s="46"/>
      <c r="O236" s="46"/>
    </row>
    <row r="237" spans="1:15" x14ac:dyDescent="0.3">
      <c r="B237" s="35">
        <f t="shared" si="37"/>
        <v>1400</v>
      </c>
      <c r="C237" s="53">
        <f t="shared" si="35"/>
        <v>12.471708</v>
      </c>
      <c r="D237" s="53">
        <f t="shared" si="35"/>
        <v>12.471708</v>
      </c>
      <c r="E237" s="53">
        <v>0</v>
      </c>
      <c r="H237" s="35">
        <f t="shared" si="38"/>
        <v>1400</v>
      </c>
      <c r="I237" s="53">
        <f t="shared" si="36"/>
        <v>2.9808097514340344</v>
      </c>
      <c r="J237" s="53">
        <f t="shared" si="39"/>
        <v>2.9808097514340344</v>
      </c>
      <c r="K237" s="53">
        <f t="shared" si="40"/>
        <v>0</v>
      </c>
    </row>
    <row r="238" spans="1:15" ht="15" thickBot="1" x14ac:dyDescent="0.35">
      <c r="B238" s="35">
        <f t="shared" si="37"/>
        <v>1500</v>
      </c>
      <c r="C238" s="53">
        <f t="shared" si="35"/>
        <v>12.471708</v>
      </c>
      <c r="D238" s="53">
        <f t="shared" si="35"/>
        <v>12.471708</v>
      </c>
      <c r="E238" s="53">
        <v>0</v>
      </c>
      <c r="H238" s="35">
        <f t="shared" si="38"/>
        <v>1500</v>
      </c>
      <c r="I238" s="53">
        <f t="shared" si="36"/>
        <v>2.9808097514340344</v>
      </c>
      <c r="J238" s="53">
        <f t="shared" si="39"/>
        <v>2.9808097514340344</v>
      </c>
      <c r="K238" s="53">
        <f t="shared" si="40"/>
        <v>0</v>
      </c>
    </row>
    <row r="239" spans="1:15" ht="15" thickBot="1" x14ac:dyDescent="0.35">
      <c r="B239" s="35">
        <f t="shared" si="37"/>
        <v>1600</v>
      </c>
      <c r="C239" s="53">
        <f t="shared" si="35"/>
        <v>12.471708</v>
      </c>
      <c r="D239" s="53">
        <f t="shared" si="35"/>
        <v>12.471708</v>
      </c>
      <c r="E239" s="53">
        <v>0</v>
      </c>
      <c r="H239" s="35">
        <f t="shared" si="38"/>
        <v>1600</v>
      </c>
      <c r="I239" s="53">
        <f t="shared" si="36"/>
        <v>2.9808097514340344</v>
      </c>
      <c r="J239" s="53">
        <f t="shared" si="39"/>
        <v>2.9808097514340344</v>
      </c>
      <c r="K239" s="53">
        <f t="shared" si="40"/>
        <v>0</v>
      </c>
      <c r="M239" s="30" t="s">
        <v>93</v>
      </c>
      <c r="N239" s="108">
        <f>SUM(I226:L226)</f>
        <v>5.9616195028680687</v>
      </c>
    </row>
    <row r="240" spans="1:15" x14ac:dyDescent="0.3">
      <c r="B240" s="35">
        <f t="shared" si="37"/>
        <v>1700</v>
      </c>
      <c r="C240" s="53">
        <f t="shared" si="35"/>
        <v>12.471708</v>
      </c>
      <c r="D240" s="53">
        <f t="shared" si="35"/>
        <v>12.471708</v>
      </c>
      <c r="E240" s="53">
        <v>0</v>
      </c>
      <c r="H240" s="35">
        <f t="shared" si="38"/>
        <v>1700</v>
      </c>
      <c r="I240" s="53">
        <f t="shared" si="36"/>
        <v>2.9808097514340344</v>
      </c>
      <c r="J240" s="53">
        <f t="shared" si="39"/>
        <v>2.9808097514340344</v>
      </c>
      <c r="K240" s="53">
        <f t="shared" si="40"/>
        <v>0</v>
      </c>
    </row>
    <row r="241" spans="2:12" x14ac:dyDescent="0.3">
      <c r="B241" s="35">
        <f t="shared" si="37"/>
        <v>1800</v>
      </c>
      <c r="C241" s="53">
        <f t="shared" si="35"/>
        <v>12.471708</v>
      </c>
      <c r="D241" s="53">
        <f t="shared" si="35"/>
        <v>12.471708</v>
      </c>
      <c r="E241" s="53">
        <v>0</v>
      </c>
      <c r="H241" s="35">
        <f t="shared" si="38"/>
        <v>1800</v>
      </c>
      <c r="I241" s="53">
        <f t="shared" si="36"/>
        <v>2.9808097514340344</v>
      </c>
      <c r="J241" s="53">
        <f t="shared" si="39"/>
        <v>2.9808097514340344</v>
      </c>
      <c r="K241" s="53">
        <f t="shared" si="40"/>
        <v>0</v>
      </c>
    </row>
    <row r="242" spans="2:12" x14ac:dyDescent="0.3">
      <c r="B242" s="35">
        <f t="shared" si="37"/>
        <v>1900</v>
      </c>
      <c r="C242" s="53">
        <f t="shared" si="35"/>
        <v>12.471708</v>
      </c>
      <c r="D242" s="53">
        <f t="shared" si="35"/>
        <v>12.471708</v>
      </c>
      <c r="E242" s="53">
        <v>0</v>
      </c>
      <c r="H242" s="35">
        <f t="shared" si="38"/>
        <v>1900</v>
      </c>
      <c r="I242" s="53">
        <f t="shared" si="36"/>
        <v>2.9808097514340344</v>
      </c>
      <c r="J242" s="53">
        <f t="shared" si="39"/>
        <v>2.9808097514340344</v>
      </c>
      <c r="K242" s="53">
        <f t="shared" si="40"/>
        <v>0</v>
      </c>
    </row>
    <row r="243" spans="2:12" x14ac:dyDescent="0.3">
      <c r="B243" s="35">
        <f t="shared" si="37"/>
        <v>2000</v>
      </c>
      <c r="C243" s="53">
        <f t="shared" si="35"/>
        <v>12.471708</v>
      </c>
      <c r="D243" s="53">
        <f t="shared" si="35"/>
        <v>12.471708</v>
      </c>
      <c r="E243" s="53">
        <v>0</v>
      </c>
      <c r="H243" s="35">
        <f t="shared" si="38"/>
        <v>2000</v>
      </c>
      <c r="I243" s="53">
        <f t="shared" si="36"/>
        <v>2.9808097514340344</v>
      </c>
      <c r="J243" s="53">
        <f t="shared" si="39"/>
        <v>2.9808097514340344</v>
      </c>
      <c r="K243" s="53">
        <f t="shared" si="40"/>
        <v>0</v>
      </c>
    </row>
    <row r="244" spans="2:12" ht="15" thickBot="1" x14ac:dyDescent="0.35">
      <c r="B244" s="26">
        <f t="shared" si="37"/>
        <v>2100</v>
      </c>
      <c r="C244" s="56">
        <f t="shared" si="35"/>
        <v>12.471708</v>
      </c>
      <c r="D244" s="56">
        <f t="shared" si="35"/>
        <v>12.471708</v>
      </c>
      <c r="E244" s="56">
        <v>0</v>
      </c>
      <c r="F244" s="51"/>
      <c r="H244" s="26">
        <f t="shared" si="38"/>
        <v>2100</v>
      </c>
      <c r="I244" s="56">
        <f t="shared" si="36"/>
        <v>2.9808097514340344</v>
      </c>
      <c r="J244" s="56">
        <f t="shared" si="39"/>
        <v>2.9808097514340344</v>
      </c>
      <c r="K244" s="56">
        <f t="shared" si="40"/>
        <v>0</v>
      </c>
      <c r="L244" s="51"/>
    </row>
    <row r="248" spans="2:12" ht="18" x14ac:dyDescent="0.3">
      <c r="B248" s="82"/>
    </row>
    <row r="249" spans="2:12" x14ac:dyDescent="0.3">
      <c r="C249" s="51"/>
      <c r="D249" s="51"/>
      <c r="E249" s="51"/>
      <c r="F249" s="51"/>
    </row>
    <row r="250" spans="2:12" x14ac:dyDescent="0.3">
      <c r="C250" s="51"/>
      <c r="D250" s="51"/>
      <c r="E250" s="51"/>
    </row>
    <row r="251" spans="2:12" x14ac:dyDescent="0.3">
      <c r="C251" s="51"/>
      <c r="D251" s="51"/>
      <c r="E251" s="51"/>
    </row>
    <row r="252" spans="2:12" x14ac:dyDescent="0.3">
      <c r="C252" s="51"/>
      <c r="D252" s="51"/>
      <c r="E252" s="51"/>
    </row>
    <row r="253" spans="2:12" x14ac:dyDescent="0.3">
      <c r="C253" s="51"/>
      <c r="D253" s="51"/>
      <c r="E253" s="51"/>
    </row>
    <row r="254" spans="2:12" x14ac:dyDescent="0.3">
      <c r="C254" s="51"/>
      <c r="D254" s="51"/>
      <c r="E254" s="51"/>
    </row>
    <row r="255" spans="2:12" x14ac:dyDescent="0.3">
      <c r="C255" s="51"/>
      <c r="D255" s="51"/>
      <c r="E255" s="51"/>
    </row>
    <row r="256" spans="2:12" x14ac:dyDescent="0.3">
      <c r="C256" s="51"/>
      <c r="D256" s="51"/>
      <c r="E256" s="51"/>
    </row>
    <row r="257" spans="1:12" x14ac:dyDescent="0.3">
      <c r="C257" s="51"/>
      <c r="D257" s="51"/>
      <c r="E257" s="51"/>
    </row>
    <row r="258" spans="1:12" x14ac:dyDescent="0.3">
      <c r="C258" s="51"/>
      <c r="D258" s="51"/>
      <c r="E258" s="51"/>
    </row>
    <row r="259" spans="1:12" x14ac:dyDescent="0.3">
      <c r="C259" s="51"/>
      <c r="D259" s="51"/>
      <c r="E259" s="51"/>
    </row>
    <row r="260" spans="1:12" x14ac:dyDescent="0.3">
      <c r="C260" s="51"/>
      <c r="D260" s="51"/>
      <c r="E260" s="51"/>
    </row>
    <row r="261" spans="1:12" x14ac:dyDescent="0.3">
      <c r="C261" s="51"/>
      <c r="D261" s="51"/>
      <c r="E261" s="51"/>
    </row>
    <row r="262" spans="1:12" x14ac:dyDescent="0.3">
      <c r="C262" s="51"/>
      <c r="D262" s="51"/>
      <c r="E262" s="51"/>
    </row>
    <row r="263" spans="1:12" x14ac:dyDescent="0.3">
      <c r="C263" s="51"/>
      <c r="D263" s="51"/>
      <c r="E263" s="51"/>
    </row>
    <row r="264" spans="1:12" x14ac:dyDescent="0.3">
      <c r="C264" s="51"/>
      <c r="D264" s="51"/>
      <c r="E264" s="51"/>
    </row>
    <row r="265" spans="1:12" x14ac:dyDescent="0.3">
      <c r="C265" s="51"/>
      <c r="D265" s="51"/>
      <c r="E265" s="51"/>
    </row>
    <row r="266" spans="1:12" x14ac:dyDescent="0.3">
      <c r="C266" s="51"/>
      <c r="D266" s="51"/>
      <c r="E266" s="51"/>
    </row>
    <row r="267" spans="1:12" x14ac:dyDescent="0.3">
      <c r="C267" s="51"/>
      <c r="D267" s="51"/>
      <c r="E267" s="51"/>
      <c r="F267" s="51"/>
    </row>
    <row r="272" spans="1:12" ht="15" thickBot="1" x14ac:dyDescent="0.35">
      <c r="A272" s="5" t="s">
        <v>104</v>
      </c>
      <c r="B272" s="196" t="s">
        <v>102</v>
      </c>
      <c r="C272" s="196"/>
      <c r="D272" s="196"/>
      <c r="E272" s="196"/>
      <c r="F272" s="196"/>
      <c r="H272" s="196" t="s">
        <v>103</v>
      </c>
      <c r="I272" s="196"/>
      <c r="J272" s="196"/>
      <c r="K272" s="196"/>
      <c r="L272" s="196"/>
    </row>
    <row r="273" spans="1:12" ht="18" x14ac:dyDescent="0.3">
      <c r="A273" s="5" t="s">
        <v>98</v>
      </c>
      <c r="B273" s="95" t="s">
        <v>46</v>
      </c>
      <c r="C273" s="16" t="s">
        <v>88</v>
      </c>
      <c r="D273" s="16" t="s">
        <v>36</v>
      </c>
      <c r="E273" s="16" t="s">
        <v>37</v>
      </c>
      <c r="F273" s="16" t="s">
        <v>89</v>
      </c>
      <c r="H273" s="95" t="s">
        <v>46</v>
      </c>
      <c r="I273" s="118" t="s">
        <v>88</v>
      </c>
      <c r="J273" s="118" t="s">
        <v>36</v>
      </c>
      <c r="K273" s="118" t="s">
        <v>37</v>
      </c>
      <c r="L273" s="16" t="s">
        <v>89</v>
      </c>
    </row>
    <row r="274" spans="1:12" ht="15" thickBot="1" x14ac:dyDescent="0.35">
      <c r="B274" s="35">
        <f>298.15</f>
        <v>298.14999999999998</v>
      </c>
      <c r="C274" s="53">
        <f>3/2*$D$2 + $D$2</f>
        <v>20.786180000000002</v>
      </c>
      <c r="D274" s="53">
        <f>3/2*$D$2  + $D$2</f>
        <v>20.786180000000002</v>
      </c>
      <c r="E274" s="53" t="e" cm="1">
        <f t="array" ref="E274">$D$2*SUM( ( ($B$12:$B$20) * ($B$12:$B$20)* EXP($B$12:$B$20/B274) ) / ( B274*B274* ( EXP(( $B$12:$B$20)/B274 )  -1)^2 ) ) +   $D$2</f>
        <v>#DIV/0!</v>
      </c>
      <c r="F274" s="56" t="s">
        <v>105</v>
      </c>
      <c r="H274" s="35">
        <f>298.15</f>
        <v>298.14999999999998</v>
      </c>
      <c r="I274" s="106">
        <f>(3/2*$D$2  + $D$2)/ 4.184</f>
        <v>4.9680162523900577</v>
      </c>
      <c r="J274" s="106">
        <f>(3/2*$D$2 + $D$2) / 4.184</f>
        <v>4.9680162523900577</v>
      </c>
      <c r="K274" s="106" t="e" cm="1">
        <f t="array" ref="K274" xml:space="preserve"> ($D$2*SUM( ( ($B$12:$B$20) * ($B$12:$B$20)* EXP($B$12:$B$20/B274) ) / ( B274*B274* ( EXP(( $B$12:$B$20)/B274 )  -1)^2 ) ) +   $D$2 ) / 4.184</f>
        <v>#DIV/0!</v>
      </c>
      <c r="L274" s="119" t="s">
        <v>105</v>
      </c>
    </row>
    <row r="275" spans="1:12" x14ac:dyDescent="0.3">
      <c r="B275" s="35">
        <f>300+100</f>
        <v>400</v>
      </c>
      <c r="C275" s="53">
        <f t="shared" ref="C275:C292" si="41">3/2*$D$2 + $D$2</f>
        <v>20.786180000000002</v>
      </c>
      <c r="D275" s="53">
        <f t="shared" ref="D275:D292" si="42">3/2*$D$2  + $D$2</f>
        <v>20.786180000000002</v>
      </c>
      <c r="E275" s="53" t="e" cm="1">
        <f t="array" ref="E275">$D$2*SUM( ( ($B$12:$B$20) * ($B$12:$B$20)* EXP($B$12:$B$20/B275) ) / ( B275*B275* ( EXP(( $B$12:$B$20)/B275 )  -1)^2 ) ) +   $D$2</f>
        <v>#DIV/0!</v>
      </c>
      <c r="H275" s="35">
        <f>300+100</f>
        <v>400</v>
      </c>
      <c r="I275" s="53">
        <f t="shared" ref="I275:I292" si="43">(3/2*$D$2  + $D$2)/ 4.184</f>
        <v>4.9680162523900577</v>
      </c>
      <c r="J275" s="53">
        <f t="shared" ref="J275:J292" si="44">(3/2*$D$2 + $D$2) / 4.184</f>
        <v>4.9680162523900577</v>
      </c>
      <c r="K275" s="53" t="e" cm="1">
        <f t="array" ref="K275" xml:space="preserve"> ($D$2*SUM( ( ($B$12:$B$20) * ($B$12:$B$20)* EXP($B$12:$B$20/B275) ) / ( B275*B275* ( EXP(( $B$12:$B$20)/B275)  -1)^2 ) ) +   $D$2 ) / 4.184</f>
        <v>#DIV/0!</v>
      </c>
    </row>
    <row r="276" spans="1:12" x14ac:dyDescent="0.3">
      <c r="B276" s="35">
        <f t="shared" ref="B276:B292" si="45">B275+100</f>
        <v>500</v>
      </c>
      <c r="C276" s="53">
        <f t="shared" si="41"/>
        <v>20.786180000000002</v>
      </c>
      <c r="D276" s="53">
        <f t="shared" si="42"/>
        <v>20.786180000000002</v>
      </c>
      <c r="E276" s="53" t="e" cm="1">
        <f t="array" ref="E276">$D$2*SUM( ( ($B$12:$B$20) * ($B$12:$B$20)* EXP($B$12:$B$20/B276) ) / ( B276*B276* ( EXP(( $B$12:$B$20)/B276 )  -1)^2 ) ) +   $D$2</f>
        <v>#DIV/0!</v>
      </c>
      <c r="H276" s="35">
        <f t="shared" ref="H276:H292" si="46">H275+100</f>
        <v>500</v>
      </c>
      <c r="I276" s="53">
        <f t="shared" si="43"/>
        <v>4.9680162523900577</v>
      </c>
      <c r="J276" s="53">
        <f t="shared" si="44"/>
        <v>4.9680162523900577</v>
      </c>
      <c r="K276" s="53" t="e" cm="1">
        <f t="array" ref="K276" xml:space="preserve"> ($D$2*SUM( ( ($B$12:$B$20) * ($B$12:$B$20)* EXP($B$12:$B$20/B276) ) / ( B276*B276* ( EXP(( $B$12:$B$20)/B276)  -1)^2 ) ) +   $D$2 ) / 4.184</f>
        <v>#DIV/0!</v>
      </c>
    </row>
    <row r="277" spans="1:12" x14ac:dyDescent="0.3">
      <c r="B277" s="35">
        <f t="shared" si="45"/>
        <v>600</v>
      </c>
      <c r="C277" s="53">
        <f t="shared" si="41"/>
        <v>20.786180000000002</v>
      </c>
      <c r="D277" s="53">
        <f t="shared" si="42"/>
        <v>20.786180000000002</v>
      </c>
      <c r="E277" s="53" t="e" cm="1">
        <f t="array" ref="E277">$D$2*SUM( ( ($B$12:$B$20) * ($B$12:$B$20)* EXP($B$12:$B$20/B277) ) / ( B277*B277* ( EXP(( $B$12:$B$20)/B277 )  -1)^2 ) ) +   $D$2</f>
        <v>#DIV/0!</v>
      </c>
      <c r="H277" s="35">
        <f t="shared" si="46"/>
        <v>600</v>
      </c>
      <c r="I277" s="53">
        <f t="shared" si="43"/>
        <v>4.9680162523900577</v>
      </c>
      <c r="J277" s="53">
        <f t="shared" si="44"/>
        <v>4.9680162523900577</v>
      </c>
      <c r="K277" s="53" t="e" cm="1">
        <f t="array" ref="K277" xml:space="preserve"> ($D$2*SUM( ( ($B$12:$B$20) * ($B$12:$B$20)* EXP($B$12:$B$20/B277) ) / ( B277*B277* ( EXP(( $B$12:$B$20)/B277)  -1)^2 ) ) +   $D$2 ) / 4.184</f>
        <v>#DIV/0!</v>
      </c>
    </row>
    <row r="278" spans="1:12" x14ac:dyDescent="0.3">
      <c r="B278" s="35">
        <f t="shared" si="45"/>
        <v>700</v>
      </c>
      <c r="C278" s="53">
        <f t="shared" si="41"/>
        <v>20.786180000000002</v>
      </c>
      <c r="D278" s="53">
        <f t="shared" si="42"/>
        <v>20.786180000000002</v>
      </c>
      <c r="E278" s="53" t="e" cm="1">
        <f t="array" ref="E278">$D$2*SUM( ( ($B$12:$B$20) * ($B$12:$B$20)* EXP($B$12:$B$20/B278) ) / ( B278*B278* ( EXP(( $B$12:$B$20)/B278 )  -1)^2 ) ) +   $D$2</f>
        <v>#DIV/0!</v>
      </c>
      <c r="H278" s="35">
        <f t="shared" si="46"/>
        <v>700</v>
      </c>
      <c r="I278" s="53">
        <f t="shared" si="43"/>
        <v>4.9680162523900577</v>
      </c>
      <c r="J278" s="53">
        <f t="shared" si="44"/>
        <v>4.9680162523900577</v>
      </c>
      <c r="K278" s="53" t="e" cm="1">
        <f t="array" ref="K278" xml:space="preserve"> ($D$2*SUM( ( ($B$12:$B$20) * ($B$12:$B$20)* EXP($B$12:$B$20/B278) ) / ( B278*B278* ( EXP(( $B$12:$B$20)/B278)  -1)^2 ) ) +   $D$2 ) / 4.184</f>
        <v>#DIV/0!</v>
      </c>
    </row>
    <row r="279" spans="1:12" x14ac:dyDescent="0.3">
      <c r="B279" s="35">
        <f t="shared" si="45"/>
        <v>800</v>
      </c>
      <c r="C279" s="53">
        <f t="shared" si="41"/>
        <v>20.786180000000002</v>
      </c>
      <c r="D279" s="53">
        <f t="shared" si="42"/>
        <v>20.786180000000002</v>
      </c>
      <c r="E279" s="53" t="e" cm="1">
        <f t="array" ref="E279">$D$2*SUM( ( ($B$12:$B$20) * ($B$12:$B$20)* EXP($B$12:$B$20/B279) ) / ( B279*B279* ( EXP(( $B$12:$B$20)/B279 )  -1)^2 ) ) +   $D$2</f>
        <v>#DIV/0!</v>
      </c>
      <c r="H279" s="35">
        <f t="shared" si="46"/>
        <v>800</v>
      </c>
      <c r="I279" s="53">
        <f t="shared" si="43"/>
        <v>4.9680162523900577</v>
      </c>
      <c r="J279" s="53">
        <f t="shared" si="44"/>
        <v>4.9680162523900577</v>
      </c>
      <c r="K279" s="53" t="e" cm="1">
        <f t="array" ref="K279" xml:space="preserve"> ($D$2*SUM( ( ($B$12:$B$20) * ($B$12:$B$20)* EXP($B$12:$B$20/B279) ) / ( B279*B279* ( EXP(( $B$12:$B$20)/B279)  -1)^2 ) ) +   $D$2 ) / 4.184</f>
        <v>#DIV/0!</v>
      </c>
    </row>
    <row r="280" spans="1:12" x14ac:dyDescent="0.3">
      <c r="B280" s="35">
        <f t="shared" si="45"/>
        <v>900</v>
      </c>
      <c r="C280" s="53">
        <f t="shared" si="41"/>
        <v>20.786180000000002</v>
      </c>
      <c r="D280" s="53">
        <f t="shared" si="42"/>
        <v>20.786180000000002</v>
      </c>
      <c r="E280" s="53" t="e" cm="1">
        <f t="array" ref="E280">$D$2*SUM( ( ($B$12:$B$20) * ($B$12:$B$20)* EXP($B$12:$B$20/B280) ) / ( B280*B280* ( EXP(( $B$12:$B$20)/B280 )  -1)^2 ) ) +   $D$2</f>
        <v>#DIV/0!</v>
      </c>
      <c r="H280" s="35">
        <f t="shared" si="46"/>
        <v>900</v>
      </c>
      <c r="I280" s="53">
        <f t="shared" si="43"/>
        <v>4.9680162523900577</v>
      </c>
      <c r="J280" s="53">
        <f t="shared" si="44"/>
        <v>4.9680162523900577</v>
      </c>
      <c r="K280" s="53" t="e" cm="1">
        <f t="array" ref="K280" xml:space="preserve"> ($D$2*SUM( ( ($B$12:$B$20) * ($B$12:$B$20)* EXP($B$12:$B$20/B280) ) / ( B280*B280* ( EXP(( $B$12:$B$20)/B280)  -1)^2 ) ) +   $D$2 ) / 4.184</f>
        <v>#DIV/0!</v>
      </c>
    </row>
    <row r="281" spans="1:12" x14ac:dyDescent="0.3">
      <c r="B281" s="35">
        <f t="shared" si="45"/>
        <v>1000</v>
      </c>
      <c r="C281" s="53">
        <f t="shared" si="41"/>
        <v>20.786180000000002</v>
      </c>
      <c r="D281" s="53">
        <f t="shared" si="42"/>
        <v>20.786180000000002</v>
      </c>
      <c r="E281" s="53" t="e" cm="1">
        <f t="array" ref="E281">$D$2*SUM( ( ($B$12:$B$20) * ($B$12:$B$20)* EXP($B$12:$B$20/B281) ) / ( B281*B281* ( EXP(( $B$12:$B$20)/B281 )  -1)^2 ) ) +   $D$2</f>
        <v>#DIV/0!</v>
      </c>
      <c r="H281" s="35">
        <f t="shared" si="46"/>
        <v>1000</v>
      </c>
      <c r="I281" s="53">
        <f t="shared" si="43"/>
        <v>4.9680162523900577</v>
      </c>
      <c r="J281" s="53">
        <f t="shared" si="44"/>
        <v>4.9680162523900577</v>
      </c>
      <c r="K281" s="53" t="e" cm="1">
        <f t="array" ref="K281" xml:space="preserve"> ($D$2*SUM( ( ($B$12:$B$20) * ($B$12:$B$20)* EXP($B$12:$B$20/B281) ) / ( B281*B281* ( EXP(( $B$12:$B$20)/B281)  -1)^2 ) ) +   $D$2 ) / 4.184</f>
        <v>#DIV/0!</v>
      </c>
    </row>
    <row r="282" spans="1:12" x14ac:dyDescent="0.3">
      <c r="B282" s="35">
        <f t="shared" si="45"/>
        <v>1100</v>
      </c>
      <c r="C282" s="53">
        <f t="shared" si="41"/>
        <v>20.786180000000002</v>
      </c>
      <c r="D282" s="53">
        <f t="shared" si="42"/>
        <v>20.786180000000002</v>
      </c>
      <c r="E282" s="53" t="e" cm="1">
        <f t="array" ref="E282">$D$2*SUM( ( ($B$12:$B$20) * ($B$12:$B$20)* EXP($B$12:$B$20/B282) ) / ( B282*B282* ( EXP(( $B$12:$B$20)/B282 )  -1)^2 ) ) +   $D$2</f>
        <v>#DIV/0!</v>
      </c>
      <c r="H282" s="35">
        <f t="shared" si="46"/>
        <v>1100</v>
      </c>
      <c r="I282" s="53">
        <f t="shared" si="43"/>
        <v>4.9680162523900577</v>
      </c>
      <c r="J282" s="53">
        <f t="shared" si="44"/>
        <v>4.9680162523900577</v>
      </c>
      <c r="K282" s="53" t="e" cm="1">
        <f t="array" ref="K282" xml:space="preserve"> ($D$2*SUM( ( ($B$12:$B$20) * ($B$12:$B$20)* EXP($B$12:$B$20/B282) ) / ( B282*B282* ( EXP(( $B$12:$B$20)/B282)  -1)^2 ) ) +   $D$2 ) / 4.184</f>
        <v>#DIV/0!</v>
      </c>
    </row>
    <row r="283" spans="1:12" x14ac:dyDescent="0.3">
      <c r="B283" s="35">
        <f t="shared" si="45"/>
        <v>1200</v>
      </c>
      <c r="C283" s="53">
        <f t="shared" si="41"/>
        <v>20.786180000000002</v>
      </c>
      <c r="D283" s="53">
        <f t="shared" si="42"/>
        <v>20.786180000000002</v>
      </c>
      <c r="E283" s="53" t="e" cm="1">
        <f t="array" ref="E283">$D$2*SUM( ( ($B$12:$B$20) * ($B$12:$B$20)* EXP($B$12:$B$20/B283) ) / ( B283*B283* ( EXP(( $B$12:$B$20)/B283 )  -1)^2 ) ) +   $D$2</f>
        <v>#DIV/0!</v>
      </c>
      <c r="H283" s="35">
        <f t="shared" si="46"/>
        <v>1200</v>
      </c>
      <c r="I283" s="53">
        <f t="shared" si="43"/>
        <v>4.9680162523900577</v>
      </c>
      <c r="J283" s="53">
        <f t="shared" si="44"/>
        <v>4.9680162523900577</v>
      </c>
      <c r="K283" s="53" t="e" cm="1">
        <f t="array" ref="K283" xml:space="preserve"> ($D$2*SUM( ( ($B$12:$B$20) * ($B$12:$B$20)* EXP($B$12:$B$20/B283) ) / ( B283*B283* ( EXP(( $B$12:$B$20)/B283)  -1)^2 ) ) +   $D$2 ) / 4.184</f>
        <v>#DIV/0!</v>
      </c>
    </row>
    <row r="284" spans="1:12" x14ac:dyDescent="0.3">
      <c r="B284" s="35">
        <f t="shared" si="45"/>
        <v>1300</v>
      </c>
      <c r="C284" s="53">
        <f t="shared" si="41"/>
        <v>20.786180000000002</v>
      </c>
      <c r="D284" s="53">
        <f t="shared" si="42"/>
        <v>20.786180000000002</v>
      </c>
      <c r="E284" s="53" t="e" cm="1">
        <f t="array" ref="E284">$D$2*SUM( ( ($B$12:$B$20) * ($B$12:$B$20)* EXP($B$12:$B$20/B284) ) / ( B284*B284* ( EXP(( $B$12:$B$20)/B284 )  -1)^2 ) ) +   $D$2</f>
        <v>#DIV/0!</v>
      </c>
      <c r="H284" s="35">
        <f t="shared" si="46"/>
        <v>1300</v>
      </c>
      <c r="I284" s="53">
        <f t="shared" si="43"/>
        <v>4.9680162523900577</v>
      </c>
      <c r="J284" s="53">
        <f t="shared" si="44"/>
        <v>4.9680162523900577</v>
      </c>
      <c r="K284" s="53" t="e" cm="1">
        <f t="array" ref="K284" xml:space="preserve"> ($D$2*SUM( ( ($B$12:$B$20) * ($B$12:$B$20)* EXP($B$12:$B$20/B284) ) / ( B284*B284* ( EXP(( $B$12:$B$20)/B284)  -1)^2 ) ) +   $D$2 ) / 4.184</f>
        <v>#DIV/0!</v>
      </c>
    </row>
    <row r="285" spans="1:12" x14ac:dyDescent="0.3">
      <c r="B285" s="35">
        <f t="shared" si="45"/>
        <v>1400</v>
      </c>
      <c r="C285" s="53">
        <f t="shared" si="41"/>
        <v>20.786180000000002</v>
      </c>
      <c r="D285" s="53">
        <f t="shared" si="42"/>
        <v>20.786180000000002</v>
      </c>
      <c r="E285" s="53" t="e" cm="1">
        <f t="array" ref="E285">$D$2*SUM( ( ($B$12:$B$20) * ($B$12:$B$20)* EXP($B$12:$B$20/B285) ) / ( B285*B285* ( EXP(( $B$12:$B$20)/B285 )  -1)^2 ) ) +   $D$2</f>
        <v>#DIV/0!</v>
      </c>
      <c r="H285" s="35">
        <f t="shared" si="46"/>
        <v>1400</v>
      </c>
      <c r="I285" s="53">
        <f t="shared" si="43"/>
        <v>4.9680162523900577</v>
      </c>
      <c r="J285" s="53">
        <f t="shared" si="44"/>
        <v>4.9680162523900577</v>
      </c>
      <c r="K285" s="53" t="e" cm="1">
        <f t="array" ref="K285" xml:space="preserve"> ($D$2*SUM( ( ($B$12:$B$20) * ($B$12:$B$20)* EXP($B$12:$B$20/B285) ) / ( B285*B285* ( EXP(( $B$12:$B$20)/B285)  -1)^2 ) ) +   $D$2 ) / 4.184</f>
        <v>#DIV/0!</v>
      </c>
    </row>
    <row r="286" spans="1:12" x14ac:dyDescent="0.3">
      <c r="B286" s="35">
        <f t="shared" si="45"/>
        <v>1500</v>
      </c>
      <c r="C286" s="53">
        <f t="shared" si="41"/>
        <v>20.786180000000002</v>
      </c>
      <c r="D286" s="53">
        <f t="shared" si="42"/>
        <v>20.786180000000002</v>
      </c>
      <c r="E286" s="53" t="e" cm="1">
        <f t="array" ref="E286">$D$2*SUM( ( ($B$12:$B$20) * ($B$12:$B$20)* EXP($B$12:$B$20/B286) ) / ( B286*B286* ( EXP(( $B$12:$B$20)/B286 )  -1)^2 ) ) +   $D$2</f>
        <v>#DIV/0!</v>
      </c>
      <c r="H286" s="35">
        <f t="shared" si="46"/>
        <v>1500</v>
      </c>
      <c r="I286" s="53">
        <f t="shared" si="43"/>
        <v>4.9680162523900577</v>
      </c>
      <c r="J286" s="53">
        <f t="shared" si="44"/>
        <v>4.9680162523900577</v>
      </c>
      <c r="K286" s="53" t="e" cm="1">
        <f t="array" ref="K286" xml:space="preserve"> ($D$2*SUM( ( ($B$12:$B$20) * ($B$12:$B$20)* EXP($B$12:$B$20/B286) ) / ( B286*B286* ( EXP(( $B$12:$B$20)/B286)  -1)^2 ) ) +   $D$2 ) / 4.184</f>
        <v>#DIV/0!</v>
      </c>
    </row>
    <row r="287" spans="1:12" x14ac:dyDescent="0.3">
      <c r="B287" s="35">
        <f t="shared" si="45"/>
        <v>1600</v>
      </c>
      <c r="C287" s="53">
        <f t="shared" si="41"/>
        <v>20.786180000000002</v>
      </c>
      <c r="D287" s="53">
        <f t="shared" si="42"/>
        <v>20.786180000000002</v>
      </c>
      <c r="E287" s="53" t="e" cm="1">
        <f t="array" ref="E287">$D$2*SUM( ( ($B$12:$B$20) * ($B$12:$B$20)* EXP($B$12:$B$20/B287) ) / ( B287*B287* ( EXP(( $B$12:$B$20)/B287 )  -1)^2 ) ) +   $D$2</f>
        <v>#DIV/0!</v>
      </c>
      <c r="H287" s="35">
        <f t="shared" si="46"/>
        <v>1600</v>
      </c>
      <c r="I287" s="53">
        <f t="shared" si="43"/>
        <v>4.9680162523900577</v>
      </c>
      <c r="J287" s="53">
        <f t="shared" si="44"/>
        <v>4.9680162523900577</v>
      </c>
      <c r="K287" s="53" t="e" cm="1">
        <f t="array" ref="K287" xml:space="preserve"> ($D$2*SUM( ( ($B$12:$B$20) * ($B$12:$B$20)* EXP($B$12:$B$20/B287) ) / ( B287*B287* ( EXP(( $B$12:$B$20)/B287)  -1)^2 ) ) +   $D$2 ) / 4.184</f>
        <v>#DIV/0!</v>
      </c>
    </row>
    <row r="288" spans="1:12" x14ac:dyDescent="0.3">
      <c r="B288" s="35">
        <f t="shared" si="45"/>
        <v>1700</v>
      </c>
      <c r="C288" s="53">
        <f t="shared" si="41"/>
        <v>20.786180000000002</v>
      </c>
      <c r="D288" s="53">
        <f t="shared" si="42"/>
        <v>20.786180000000002</v>
      </c>
      <c r="E288" s="53" t="e" cm="1">
        <f t="array" ref="E288">$D$2*SUM( ( ($B$12:$B$20) * ($B$12:$B$20)* EXP($B$12:$B$20/B288) ) / ( B288*B288* ( EXP(( $B$12:$B$20)/B288 )  -1)^2 ) ) +   $D$2</f>
        <v>#DIV/0!</v>
      </c>
      <c r="H288" s="35">
        <f t="shared" si="46"/>
        <v>1700</v>
      </c>
      <c r="I288" s="53">
        <f t="shared" si="43"/>
        <v>4.9680162523900577</v>
      </c>
      <c r="J288" s="53">
        <f t="shared" si="44"/>
        <v>4.9680162523900577</v>
      </c>
      <c r="K288" s="53" t="e" cm="1">
        <f t="array" ref="K288" xml:space="preserve"> ($D$2*SUM( ( ($B$12:$B$20) * ($B$12:$B$20)* EXP($B$12:$B$20/B288) ) / ( B288*B288* ( EXP(( $B$12:$B$20)/B288)  -1)^2 ) ) +   $D$2 ) / 4.184</f>
        <v>#DIV/0!</v>
      </c>
    </row>
    <row r="289" spans="2:12" x14ac:dyDescent="0.3">
      <c r="B289" s="35">
        <f t="shared" si="45"/>
        <v>1800</v>
      </c>
      <c r="C289" s="53">
        <f t="shared" si="41"/>
        <v>20.786180000000002</v>
      </c>
      <c r="D289" s="53">
        <f t="shared" si="42"/>
        <v>20.786180000000002</v>
      </c>
      <c r="E289" s="53" t="e" cm="1">
        <f t="array" ref="E289">$D$2*SUM( ( ($B$12:$B$20) * ($B$12:$B$20)* EXP($B$12:$B$20/B289) ) / ( B289*B289* ( EXP(( $B$12:$B$20)/B289 )  -1)^2 ) ) +   $D$2</f>
        <v>#DIV/0!</v>
      </c>
      <c r="H289" s="35">
        <f t="shared" si="46"/>
        <v>1800</v>
      </c>
      <c r="I289" s="53">
        <f t="shared" si="43"/>
        <v>4.9680162523900577</v>
      </c>
      <c r="J289" s="53">
        <f t="shared" si="44"/>
        <v>4.9680162523900577</v>
      </c>
      <c r="K289" s="53" t="e" cm="1">
        <f t="array" ref="K289" xml:space="preserve"> ($D$2*SUM( ( ($B$12:$B$20) * ($B$12:$B$20)* EXP($B$12:$B$20/B289) ) / ( B289*B289* ( EXP(( $B$12:$B$20)/B289)  -1)^2 ) ) +   $D$2 ) / 4.184</f>
        <v>#DIV/0!</v>
      </c>
    </row>
    <row r="290" spans="2:12" x14ac:dyDescent="0.3">
      <c r="B290" s="35">
        <f t="shared" si="45"/>
        <v>1900</v>
      </c>
      <c r="C290" s="53">
        <f t="shared" si="41"/>
        <v>20.786180000000002</v>
      </c>
      <c r="D290" s="53">
        <f t="shared" si="42"/>
        <v>20.786180000000002</v>
      </c>
      <c r="E290" s="53" t="e" cm="1">
        <f t="array" ref="E290">$D$2*SUM( ( ($B$12:$B$20) * ($B$12:$B$20)* EXP($B$12:$B$20/B290) ) / ( B290*B290* ( EXP(( $B$12:$B$20)/B290 )  -1)^2 ) ) +   $D$2</f>
        <v>#DIV/0!</v>
      </c>
      <c r="H290" s="35">
        <f t="shared" si="46"/>
        <v>1900</v>
      </c>
      <c r="I290" s="53">
        <f t="shared" si="43"/>
        <v>4.9680162523900577</v>
      </c>
      <c r="J290" s="53">
        <f t="shared" si="44"/>
        <v>4.9680162523900577</v>
      </c>
      <c r="K290" s="53" t="e" cm="1">
        <f t="array" ref="K290" xml:space="preserve"> ($D$2*SUM( ( ($B$12:$B$20) * ($B$12:$B$20)* EXP($B$12:$B$20/B290) ) / ( B290*B290* ( EXP(( $B$12:$B$20)/B290)  -1)^2 ) ) +   $D$2 ) / 4.184</f>
        <v>#DIV/0!</v>
      </c>
    </row>
    <row r="291" spans="2:12" x14ac:dyDescent="0.3">
      <c r="B291" s="35">
        <f t="shared" si="45"/>
        <v>2000</v>
      </c>
      <c r="C291" s="53">
        <f t="shared" si="41"/>
        <v>20.786180000000002</v>
      </c>
      <c r="D291" s="53">
        <f t="shared" si="42"/>
        <v>20.786180000000002</v>
      </c>
      <c r="E291" s="53" t="e" cm="1">
        <f t="array" ref="E291">$D$2*SUM( ( ($B$12:$B$20) * ($B$12:$B$20)* EXP($B$12:$B$20/B291) ) / ( B291*B291* ( EXP(( $B$12:$B$20)/B291 )  -1)^2 ) ) +   $D$2</f>
        <v>#DIV/0!</v>
      </c>
      <c r="H291" s="35">
        <f t="shared" si="46"/>
        <v>2000</v>
      </c>
      <c r="I291" s="53">
        <f t="shared" si="43"/>
        <v>4.9680162523900577</v>
      </c>
      <c r="J291" s="53">
        <f t="shared" si="44"/>
        <v>4.9680162523900577</v>
      </c>
      <c r="K291" s="53" t="e" cm="1">
        <f t="array" ref="K291" xml:space="preserve"> ($D$2*SUM( ( ($B$12:$B$20) * ($B$12:$B$20)* EXP($B$12:$B$20/B291) ) / ( B291*B291* ( EXP(( $B$12:$B$20)/B291)  -1)^2 ) ) +   $D$2 ) / 4.184</f>
        <v>#DIV/0!</v>
      </c>
    </row>
    <row r="292" spans="2:12" ht="15" thickBot="1" x14ac:dyDescent="0.35">
      <c r="B292" s="26">
        <f t="shared" si="45"/>
        <v>2100</v>
      </c>
      <c r="C292" s="56">
        <f t="shared" si="41"/>
        <v>20.786180000000002</v>
      </c>
      <c r="D292" s="56">
        <f t="shared" si="42"/>
        <v>20.786180000000002</v>
      </c>
      <c r="E292" s="56" t="e" cm="1">
        <f t="array" ref="E292">$D$2*SUM( ( ($B$12:$B$20) * ($B$12:$B$20)* EXP($B$12:$B$20/B292) ) / ( B292*B292* ( EXP(( $B$12:$B$20)/B292 )  -1)^2 ) ) +   $D$2</f>
        <v>#DIV/0!</v>
      </c>
      <c r="F292" s="51"/>
      <c r="H292" s="26">
        <f t="shared" si="46"/>
        <v>2100</v>
      </c>
      <c r="I292" s="56">
        <f t="shared" si="43"/>
        <v>4.9680162523900577</v>
      </c>
      <c r="J292" s="56">
        <f t="shared" si="44"/>
        <v>4.9680162523900577</v>
      </c>
      <c r="K292" s="56" t="e" cm="1">
        <f t="array" ref="K292" xml:space="preserve"> ($D$2*SUM( ( ($B$12:$B$20) * ($B$12:$B$20)* EXP($B$12:$B$20/B292) ) / ( B292*B292* ( EXP(( $B$12:$B$20)/B292)  -1)^2 ) ) +   $D$2 ) / 4.184</f>
        <v>#DIV/0!</v>
      </c>
      <c r="L292" s="51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2E40-4CA5-49D9-93FF-542046D91D9E}">
  <dimension ref="A1:Q27"/>
  <sheetViews>
    <sheetView workbookViewId="0">
      <selection activeCell="L8" sqref="L8"/>
    </sheetView>
  </sheetViews>
  <sheetFormatPr defaultRowHeight="14.4" x14ac:dyDescent="0.3"/>
  <cols>
    <col min="1" max="1" width="21.44140625" style="5" bestFit="1" customWidth="1"/>
    <col min="2" max="11" width="8.88671875" style="5"/>
    <col min="12" max="12" width="27.88671875" style="5" bestFit="1" customWidth="1"/>
    <col min="13" max="13" width="9.109375" style="5" bestFit="1" customWidth="1"/>
    <col min="14" max="14" width="15.109375" style="5" bestFit="1" customWidth="1"/>
    <col min="15" max="15" width="11.109375" style="5" bestFit="1" customWidth="1"/>
    <col min="16" max="16" width="12.6640625" style="5" bestFit="1" customWidth="1"/>
    <col min="17" max="16384" width="8.88671875" style="5"/>
  </cols>
  <sheetData>
    <row r="1" spans="1:17" x14ac:dyDescent="0.3">
      <c r="A1" s="5" t="s">
        <v>110</v>
      </c>
      <c r="B1" s="17" t="s">
        <v>112</v>
      </c>
      <c r="C1" s="19" t="s">
        <v>111</v>
      </c>
    </row>
    <row r="2" spans="1:17" x14ac:dyDescent="0.3">
      <c r="B2" s="35">
        <v>1.1499999999999999</v>
      </c>
      <c r="C2" s="36">
        <v>-55.890729999999998</v>
      </c>
      <c r="L2" s="5" t="s">
        <v>113</v>
      </c>
      <c r="M2" s="137"/>
    </row>
    <row r="3" spans="1:17" x14ac:dyDescent="0.3">
      <c r="B3" s="35">
        <v>1.25</v>
      </c>
      <c r="C3" s="36">
        <v>-55.887479999999996</v>
      </c>
      <c r="E3"/>
      <c r="M3" s="137"/>
    </row>
    <row r="4" spans="1:17" ht="15" thickBot="1" x14ac:dyDescent="0.35">
      <c r="B4" s="35">
        <v>1.35</v>
      </c>
      <c r="C4" s="36">
        <v>-55.885950000000001</v>
      </c>
      <c r="M4" s="137"/>
    </row>
    <row r="5" spans="1:17" x14ac:dyDescent="0.3">
      <c r="B5" s="35">
        <v>1.45</v>
      </c>
      <c r="C5" s="36">
        <v>-55.887639999999998</v>
      </c>
      <c r="M5" s="137"/>
      <c r="O5" s="208" t="s">
        <v>114</v>
      </c>
      <c r="P5" s="209"/>
      <c r="Q5" s="210"/>
    </row>
    <row r="6" spans="1:17" x14ac:dyDescent="0.3">
      <c r="B6" s="35">
        <v>1.55</v>
      </c>
      <c r="C6" s="36">
        <v>-55.890500000000003</v>
      </c>
      <c r="M6" s="137"/>
      <c r="O6" s="138" t="s">
        <v>115</v>
      </c>
      <c r="P6" s="139">
        <v>-57.086461231999998</v>
      </c>
      <c r="Q6" s="140" t="s">
        <v>116</v>
      </c>
    </row>
    <row r="7" spans="1:17" x14ac:dyDescent="0.3">
      <c r="B7" s="35">
        <v>1.65</v>
      </c>
      <c r="C7" s="36">
        <v>-55.893120000000003</v>
      </c>
      <c r="M7" s="137"/>
      <c r="O7" s="138" t="s">
        <v>117</v>
      </c>
      <c r="P7" s="141">
        <v>3.2318E-2</v>
      </c>
      <c r="Q7" s="140" t="s">
        <v>116</v>
      </c>
    </row>
    <row r="8" spans="1:17" x14ac:dyDescent="0.3">
      <c r="B8" s="35">
        <v>1.75</v>
      </c>
      <c r="C8" s="36">
        <v>-55.895130000000002</v>
      </c>
      <c r="M8" s="137"/>
      <c r="O8" s="138"/>
      <c r="P8" s="141"/>
      <c r="Q8" s="142"/>
    </row>
    <row r="9" spans="1:17" x14ac:dyDescent="0.3">
      <c r="B9" s="35">
        <v>1.85</v>
      </c>
      <c r="C9" s="36">
        <v>-55.896560000000001</v>
      </c>
      <c r="M9" s="137"/>
      <c r="O9" s="138" t="s">
        <v>118</v>
      </c>
      <c r="P9" s="141">
        <f>P6*627.503</f>
        <v>-35821.925682463698</v>
      </c>
      <c r="Q9" s="140" t="s">
        <v>119</v>
      </c>
    </row>
    <row r="10" spans="1:17" x14ac:dyDescent="0.3">
      <c r="B10" s="35">
        <v>1.95</v>
      </c>
      <c r="C10" s="36">
        <v>-55.897530000000003</v>
      </c>
      <c r="M10" s="137"/>
      <c r="O10" s="138" t="s">
        <v>117</v>
      </c>
      <c r="P10" s="141">
        <f>P7*627.503</f>
        <v>20.279641954000002</v>
      </c>
      <c r="Q10" s="140" t="s">
        <v>119</v>
      </c>
    </row>
    <row r="11" spans="1:17" x14ac:dyDescent="0.3">
      <c r="B11" s="35">
        <v>2.0499999999999998</v>
      </c>
      <c r="C11" s="36">
        <v>-55.898150000000001</v>
      </c>
      <c r="M11" s="137"/>
      <c r="O11" s="138"/>
      <c r="P11" s="141"/>
      <c r="Q11" s="142"/>
    </row>
    <row r="12" spans="1:17" x14ac:dyDescent="0.3">
      <c r="B12" s="35">
        <v>2.15</v>
      </c>
      <c r="C12" s="36">
        <v>-55.898530000000001</v>
      </c>
      <c r="M12" s="137"/>
      <c r="O12" s="138" t="s">
        <v>120</v>
      </c>
      <c r="P12" s="139">
        <f>P6+P7</f>
        <v>-57.054143232000001</v>
      </c>
      <c r="Q12" s="140" t="s">
        <v>116</v>
      </c>
    </row>
    <row r="13" spans="1:17" ht="15" thickBot="1" x14ac:dyDescent="0.35">
      <c r="B13" s="35">
        <v>2.25</v>
      </c>
      <c r="C13" s="36">
        <v>-55.898739999999997</v>
      </c>
      <c r="M13" s="137"/>
      <c r="O13" s="143"/>
      <c r="P13" s="144">
        <f>P9+P10</f>
        <v>-35801.646040509695</v>
      </c>
      <c r="Q13" s="145" t="s">
        <v>119</v>
      </c>
    </row>
    <row r="14" spans="1:17" x14ac:dyDescent="0.3">
      <c r="B14" s="35">
        <v>2.35</v>
      </c>
      <c r="C14" s="36">
        <v>-55.89884</v>
      </c>
      <c r="M14" s="137"/>
    </row>
    <row r="15" spans="1:17" x14ac:dyDescent="0.3">
      <c r="B15" s="35">
        <v>2.4500000000000002</v>
      </c>
      <c r="C15" s="36">
        <v>-55.898870000000002</v>
      </c>
      <c r="M15" s="137"/>
    </row>
    <row r="16" spans="1:17" ht="16.2" x14ac:dyDescent="0.3">
      <c r="B16" s="35">
        <v>2.5499999999999998</v>
      </c>
      <c r="C16" s="36">
        <v>-55.898850000000003</v>
      </c>
      <c r="M16" s="137"/>
      <c r="N16" s="141" t="s">
        <v>121</v>
      </c>
      <c r="O16" s="147">
        <v>-1204.4952000000001</v>
      </c>
      <c r="P16" s="146" t="s">
        <v>122</v>
      </c>
    </row>
    <row r="17" spans="2:13" x14ac:dyDescent="0.3">
      <c r="B17" s="35">
        <v>2.65</v>
      </c>
      <c r="C17" s="36">
        <v>-55.898809999999997</v>
      </c>
      <c r="M17" s="137"/>
    </row>
    <row r="18" spans="2:13" x14ac:dyDescent="0.3">
      <c r="B18" s="35">
        <v>2.75</v>
      </c>
      <c r="C18" s="36">
        <v>-55.898760000000003</v>
      </c>
    </row>
    <row r="19" spans="2:13" x14ac:dyDescent="0.3">
      <c r="B19" s="35">
        <v>2.85</v>
      </c>
      <c r="C19" s="36">
        <v>-55.898699999999998</v>
      </c>
    </row>
    <row r="20" spans="2:13" x14ac:dyDescent="0.3">
      <c r="B20" s="35">
        <v>2.95</v>
      </c>
      <c r="C20" s="36">
        <v>-55.898650000000004</v>
      </c>
    </row>
    <row r="21" spans="2:13" x14ac:dyDescent="0.3">
      <c r="B21" s="35">
        <v>3.05</v>
      </c>
      <c r="C21" s="36">
        <v>-55.898600000000002</v>
      </c>
    </row>
    <row r="22" spans="2:13" x14ac:dyDescent="0.3">
      <c r="B22" s="35">
        <v>3.15</v>
      </c>
      <c r="C22" s="36">
        <v>-55.898560000000003</v>
      </c>
    </row>
    <row r="23" spans="2:13" x14ac:dyDescent="0.3">
      <c r="B23" s="35">
        <v>3.25</v>
      </c>
      <c r="C23" s="36">
        <v>-55.898519999999998</v>
      </c>
    </row>
    <row r="24" spans="2:13" x14ac:dyDescent="0.3">
      <c r="B24" s="35">
        <v>3.35</v>
      </c>
      <c r="C24" s="36">
        <v>-55.898479999999999</v>
      </c>
    </row>
    <row r="25" spans="2:13" x14ac:dyDescent="0.3">
      <c r="B25" s="35">
        <v>3.45</v>
      </c>
      <c r="C25" s="36">
        <v>-55.89846</v>
      </c>
    </row>
    <row r="26" spans="2:13" x14ac:dyDescent="0.3">
      <c r="B26" s="35">
        <v>3.55</v>
      </c>
      <c r="C26" s="36">
        <v>-55.898429999999998</v>
      </c>
    </row>
    <row r="27" spans="2:13" ht="15" thickBot="1" x14ac:dyDescent="0.35">
      <c r="B27" s="26">
        <v>3.65</v>
      </c>
      <c r="C27" s="28">
        <v>-55.898409999999998</v>
      </c>
    </row>
  </sheetData>
  <mergeCells count="1">
    <mergeCell ref="O5:Q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284E-48C7-4B75-9EF3-829736790990}">
  <dimension ref="A1:W292"/>
  <sheetViews>
    <sheetView tabSelected="1" topLeftCell="A89" workbookViewId="0">
      <selection activeCell="B131" sqref="B131"/>
    </sheetView>
  </sheetViews>
  <sheetFormatPr defaultRowHeight="14.4" x14ac:dyDescent="0.3"/>
  <cols>
    <col min="1" max="1" width="29.88671875" style="5" bestFit="1" customWidth="1"/>
    <col min="2" max="2" width="27.777343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6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18.03437*1.66E-27</f>
        <v>2.9937054199999994E-26</v>
      </c>
      <c r="F2" s="7">
        <v>6.0221407599999999E+23</v>
      </c>
      <c r="G2" s="7">
        <f>((2*$E$2*$B$2*$A$2*$H$2)/($C$2*$C$2))^1.5</f>
        <v>7.4057527119364174E+31</v>
      </c>
      <c r="H2" s="8">
        <f>298.15</f>
        <v>298.14999999999998</v>
      </c>
      <c r="I2" s="9">
        <v>29979300000</v>
      </c>
      <c r="J2" s="10">
        <v>101325</v>
      </c>
      <c r="K2" s="9">
        <f>(E2*1000)/15.02348</f>
        <v>1.9926843980222955E-24</v>
      </c>
      <c r="L2" s="10">
        <f>F2*K2</f>
        <v>1.2000225935146129</v>
      </c>
    </row>
    <row r="3" spans="1:21" ht="15" thickBot="1" x14ac:dyDescent="0.35"/>
    <row r="4" spans="1:21" ht="15" thickBot="1" x14ac:dyDescent="0.35">
      <c r="E4" s="11" t="s">
        <v>12</v>
      </c>
      <c r="F4" s="12" t="s">
        <v>13</v>
      </c>
      <c r="G4" s="13" t="s">
        <v>14</v>
      </c>
      <c r="I4" s="11" t="s">
        <v>15</v>
      </c>
      <c r="J4" s="12" t="s">
        <v>16</v>
      </c>
      <c r="K4" s="12" t="s">
        <v>17</v>
      </c>
      <c r="L4" s="14" t="s">
        <v>18</v>
      </c>
    </row>
    <row r="5" spans="1:21" ht="16.8" thickBot="1" x14ac:dyDescent="0.35">
      <c r="B5" s="15" t="s">
        <v>19</v>
      </c>
      <c r="D5" s="16" t="s">
        <v>20</v>
      </c>
      <c r="E5" s="148">
        <v>7.1740000000000004</v>
      </c>
      <c r="F5" s="149">
        <v>23.843610000000002</v>
      </c>
      <c r="G5" s="150">
        <v>26.19961</v>
      </c>
      <c r="I5" s="20">
        <v>3.2411000000000002E-2</v>
      </c>
      <c r="J5" s="21">
        <f>I5*627.509474</f>
        <v>20.338209561814001</v>
      </c>
      <c r="K5" s="21">
        <f>I5*4.35974E-18</f>
        <v>1.4130353313999999E-19</v>
      </c>
      <c r="L5" s="22">
        <f>(2*K5)/(C2)</f>
        <v>426507947518799.94</v>
      </c>
    </row>
    <row r="6" spans="1:21" ht="16.8" thickBot="1" x14ac:dyDescent="0.35">
      <c r="A6" s="23" t="s">
        <v>21</v>
      </c>
      <c r="B6" s="24">
        <v>1</v>
      </c>
      <c r="D6" s="25" t="s">
        <v>22</v>
      </c>
      <c r="E6" s="26">
        <f>E5*1.66E-47</f>
        <v>1.190884E-46</v>
      </c>
      <c r="F6" s="27">
        <f>F5*1.66E-47</f>
        <v>3.9580392600000001E-46</v>
      </c>
      <c r="G6" s="28">
        <f>G5*1.66E-47</f>
        <v>4.3491352599999999E-46</v>
      </c>
      <c r="U6" s="29"/>
    </row>
    <row r="7" spans="1:21" ht="15" thickBot="1" x14ac:dyDescent="0.35">
      <c r="E7" s="151"/>
      <c r="F7" s="151"/>
      <c r="G7" s="151"/>
      <c r="U7" s="29"/>
    </row>
    <row r="8" spans="1:21" ht="15" thickBot="1" x14ac:dyDescent="0.35">
      <c r="A8" s="5" t="s">
        <v>23</v>
      </c>
      <c r="D8" s="23" t="s">
        <v>24</v>
      </c>
      <c r="E8" s="17">
        <v>251.56695999999999</v>
      </c>
      <c r="F8" s="18">
        <v>75.690770000000001</v>
      </c>
      <c r="G8" s="19">
        <v>68.884270000000001</v>
      </c>
      <c r="I8" s="29"/>
      <c r="U8" s="29"/>
    </row>
    <row r="9" spans="1:21" ht="15" thickBot="1" x14ac:dyDescent="0.35">
      <c r="E9" s="26">
        <f>E8*1000000000</f>
        <v>251566960000</v>
      </c>
      <c r="F9" s="152">
        <f>F8*1000000000</f>
        <v>75690770000</v>
      </c>
      <c r="G9" s="153">
        <f>G8*1000000000</f>
        <v>68884270000</v>
      </c>
    </row>
    <row r="10" spans="1:21" ht="15" customHeight="1" thickBot="1" x14ac:dyDescent="0.35">
      <c r="E10" s="151"/>
      <c r="F10" s="151"/>
      <c r="G10" s="151"/>
    </row>
    <row r="11" spans="1:21" ht="15" customHeight="1" thickBot="1" x14ac:dyDescent="0.35">
      <c r="D11" s="30" t="s">
        <v>25</v>
      </c>
      <c r="E11" s="31">
        <v>12.0733</v>
      </c>
      <c r="F11" s="31">
        <v>3.6325799999999999</v>
      </c>
      <c r="G11" s="32">
        <v>3.30592</v>
      </c>
    </row>
    <row r="12" spans="1:21" ht="27" customHeight="1" x14ac:dyDescent="0.3">
      <c r="A12" s="33" t="s">
        <v>26</v>
      </c>
      <c r="B12" s="34">
        <v>968.13</v>
      </c>
      <c r="E12" s="151"/>
      <c r="F12" s="151"/>
      <c r="G12" s="151"/>
    </row>
    <row r="13" spans="1:21" ht="15" thickBot="1" x14ac:dyDescent="0.35">
      <c r="A13" s="35"/>
      <c r="B13" s="36">
        <v>1032.2</v>
      </c>
      <c r="S13" s="29"/>
      <c r="T13" s="29"/>
    </row>
    <row r="14" spans="1:21" ht="15.6" x14ac:dyDescent="0.3">
      <c r="A14" s="35"/>
      <c r="B14" s="36">
        <v>1600.95</v>
      </c>
      <c r="D14" s="37" t="s">
        <v>27</v>
      </c>
      <c r="E14" s="154"/>
      <c r="F14" s="155" t="s">
        <v>28</v>
      </c>
      <c r="G14" s="155" t="s">
        <v>29</v>
      </c>
      <c r="H14" s="156" t="s">
        <v>30</v>
      </c>
    </row>
    <row r="15" spans="1:21" x14ac:dyDescent="0.3">
      <c r="A15" s="35"/>
      <c r="B15" s="36">
        <v>1828.87</v>
      </c>
      <c r="E15" s="157"/>
      <c r="F15" s="175" t="s">
        <v>31</v>
      </c>
      <c r="G15" s="175" t="s">
        <v>32</v>
      </c>
      <c r="H15" s="158" t="s">
        <v>32</v>
      </c>
    </row>
    <row r="16" spans="1:21" x14ac:dyDescent="0.3">
      <c r="A16" s="35"/>
      <c r="B16" s="36">
        <v>2234.5100000000002</v>
      </c>
      <c r="E16" s="157" t="s">
        <v>33</v>
      </c>
      <c r="F16" s="175">
        <v>22.227</v>
      </c>
      <c r="G16" s="175">
        <v>8.1470000000000002</v>
      </c>
      <c r="H16" s="158">
        <v>52.872999999999998</v>
      </c>
    </row>
    <row r="17" spans="1:10" x14ac:dyDescent="0.3">
      <c r="A17" s="35"/>
      <c r="B17" s="36">
        <v>2837.86</v>
      </c>
      <c r="E17" s="157" t="s">
        <v>34</v>
      </c>
      <c r="F17" s="175">
        <v>0</v>
      </c>
      <c r="G17" s="175">
        <v>0</v>
      </c>
      <c r="H17" s="158">
        <v>1.377</v>
      </c>
    </row>
    <row r="18" spans="1:10" x14ac:dyDescent="0.3">
      <c r="A18" s="35"/>
      <c r="B18" s="36">
        <v>4877.62</v>
      </c>
      <c r="E18" s="157" t="s">
        <v>35</v>
      </c>
      <c r="F18" s="175">
        <v>0.88900000000000001</v>
      </c>
      <c r="G18" s="175">
        <v>2.9809999999999999</v>
      </c>
      <c r="H18" s="158">
        <v>34.612000000000002</v>
      </c>
    </row>
    <row r="19" spans="1:10" ht="15" thickBot="1" x14ac:dyDescent="0.35">
      <c r="A19" s="174"/>
      <c r="B19" s="28">
        <v>5030.2</v>
      </c>
      <c r="E19" s="157" t="s">
        <v>36</v>
      </c>
      <c r="F19" s="175">
        <v>0.88900000000000001</v>
      </c>
      <c r="G19" s="175">
        <v>2.9809999999999999</v>
      </c>
      <c r="H19" s="158">
        <v>16.157</v>
      </c>
    </row>
    <row r="20" spans="1:10" ht="15" thickBot="1" x14ac:dyDescent="0.35">
      <c r="E20" s="159" t="s">
        <v>37</v>
      </c>
      <c r="F20" s="160">
        <v>20.45</v>
      </c>
      <c r="G20" s="160">
        <v>2.1859999999999999</v>
      </c>
      <c r="H20" s="176">
        <v>0.72699999999999998</v>
      </c>
    </row>
    <row r="21" spans="1:10" x14ac:dyDescent="0.3">
      <c r="F21" s="80"/>
      <c r="G21" s="80"/>
      <c r="H21" s="80"/>
    </row>
    <row r="22" spans="1:10" ht="15" thickBot="1" x14ac:dyDescent="0.35">
      <c r="F22" s="80"/>
      <c r="G22" s="80"/>
      <c r="H22" s="80"/>
    </row>
    <row r="23" spans="1:10" x14ac:dyDescent="0.3">
      <c r="G23" s="154"/>
      <c r="H23" s="156" t="s">
        <v>38</v>
      </c>
      <c r="J23"/>
    </row>
    <row r="24" spans="1:10" x14ac:dyDescent="0.3">
      <c r="G24" s="157" t="s">
        <v>123</v>
      </c>
      <c r="H24" s="161">
        <v>6.7349999999999999E-6</v>
      </c>
    </row>
    <row r="25" spans="1:10" x14ac:dyDescent="0.3">
      <c r="G25" s="157" t="s">
        <v>124</v>
      </c>
      <c r="H25" s="161">
        <v>4937480000</v>
      </c>
    </row>
    <row r="26" spans="1:10" x14ac:dyDescent="0.3">
      <c r="G26" s="157" t="s">
        <v>125</v>
      </c>
      <c r="H26" s="161">
        <v>1.4761800000000001E-15</v>
      </c>
      <c r="I26" s="5" t="s">
        <v>43</v>
      </c>
    </row>
    <row r="27" spans="1:10" x14ac:dyDescent="0.3">
      <c r="G27" s="157" t="s">
        <v>126</v>
      </c>
      <c r="H27" s="161">
        <v>1.0822000000000001</v>
      </c>
      <c r="I27" s="48"/>
    </row>
    <row r="28" spans="1:10" x14ac:dyDescent="0.3">
      <c r="G28" s="157" t="s">
        <v>127</v>
      </c>
      <c r="H28" s="161">
        <v>2</v>
      </c>
      <c r="I28" s="48"/>
    </row>
    <row r="29" spans="1:10" x14ac:dyDescent="0.3">
      <c r="G29" s="157" t="s">
        <v>128</v>
      </c>
      <c r="H29" s="161">
        <v>3010280</v>
      </c>
      <c r="I29" s="48"/>
    </row>
    <row r="30" spans="1:10" ht="15" thickBot="1" x14ac:dyDescent="0.35">
      <c r="G30" s="159" t="s">
        <v>129</v>
      </c>
      <c r="H30" s="163">
        <v>757.81</v>
      </c>
    </row>
    <row r="31" spans="1:10" ht="16.2" x14ac:dyDescent="0.3">
      <c r="A31" s="17" t="s">
        <v>44</v>
      </c>
      <c r="B31" s="18" t="s">
        <v>45</v>
      </c>
      <c r="C31" s="50" t="s">
        <v>46</v>
      </c>
      <c r="D31" s="50" t="s">
        <v>47</v>
      </c>
      <c r="E31" s="16" t="s">
        <v>48</v>
      </c>
      <c r="H31" s="177"/>
    </row>
    <row r="32" spans="1:10" x14ac:dyDescent="0.3">
      <c r="A32" s="35">
        <v>1204.4952000000001</v>
      </c>
      <c r="B32" s="51">
        <f t="shared" ref="B32:B40" si="0">A32*$I$2</f>
        <v>36109922949360</v>
      </c>
      <c r="C32" s="52">
        <f>298.15</f>
        <v>298.14999999999998</v>
      </c>
      <c r="D32" s="53">
        <f>($A$2*C32)/$J$2</f>
        <v>4.062431680236861E-26</v>
      </c>
      <c r="E32" s="54">
        <f>$F$2*($F$83*D32)/($D$2*C32)</f>
        <v>0.99996338110898686</v>
      </c>
      <c r="H32" s="177"/>
    </row>
    <row r="33" spans="1:8" ht="15" x14ac:dyDescent="0.35">
      <c r="A33" s="35">
        <v>672.88810000000001</v>
      </c>
      <c r="B33" s="51">
        <f t="shared" si="0"/>
        <v>20172714216330</v>
      </c>
      <c r="C33" s="52">
        <f>300+100</f>
        <v>400</v>
      </c>
      <c r="D33" s="53">
        <f t="shared" ref="D33:D50" si="1">($A$2*C33)/$J$2</f>
        <v>5.4501850481125095E-26</v>
      </c>
      <c r="E33" s="54">
        <f>$F$2*($F$83*D33)/($D$2*C33)</f>
        <v>0.99996338110898686</v>
      </c>
      <c r="F33" s="162"/>
      <c r="H33" s="177"/>
    </row>
    <row r="34" spans="1:8" x14ac:dyDescent="0.3">
      <c r="A34" s="35">
        <v>717.41480000000001</v>
      </c>
      <c r="B34" s="51">
        <f t="shared" si="0"/>
        <v>21507593513640</v>
      </c>
      <c r="C34" s="52">
        <f t="shared" ref="C34:C50" si="2">C33+100</f>
        <v>500</v>
      </c>
      <c r="D34" s="53">
        <f t="shared" si="1"/>
        <v>6.8127313101406362E-26</v>
      </c>
      <c r="E34" s="54">
        <f t="shared" ref="E34:E50" si="3">$F$2*($F$83*D34)/($D$2*C34)</f>
        <v>0.99996338110898675</v>
      </c>
      <c r="H34" s="177"/>
    </row>
    <row r="35" spans="1:8" x14ac:dyDescent="0.3">
      <c r="A35" s="35">
        <v>1112.7148</v>
      </c>
      <c r="B35" s="51">
        <f t="shared" si="0"/>
        <v>33358410803640</v>
      </c>
      <c r="C35" s="52">
        <f t="shared" si="2"/>
        <v>600</v>
      </c>
      <c r="D35" s="53">
        <f t="shared" si="1"/>
        <v>8.175277572168763E-26</v>
      </c>
      <c r="E35" s="54">
        <f t="shared" si="3"/>
        <v>0.99996338110898653</v>
      </c>
    </row>
    <row r="36" spans="1:8" x14ac:dyDescent="0.3">
      <c r="A36" s="35">
        <v>1271.1302000000001</v>
      </c>
      <c r="B36" s="51">
        <f t="shared" si="0"/>
        <v>38107593604860</v>
      </c>
      <c r="C36" s="52">
        <f t="shared" si="2"/>
        <v>700</v>
      </c>
      <c r="D36" s="53">
        <f t="shared" si="1"/>
        <v>9.5378238341968898E-26</v>
      </c>
      <c r="E36" s="54">
        <f t="shared" si="3"/>
        <v>0.99996338110898653</v>
      </c>
    </row>
    <row r="37" spans="1:8" x14ac:dyDescent="0.3">
      <c r="A37" s="35">
        <v>1553.0633</v>
      </c>
      <c r="B37" s="51">
        <f t="shared" si="0"/>
        <v>46559750589690</v>
      </c>
      <c r="C37" s="52">
        <f t="shared" si="2"/>
        <v>800</v>
      </c>
      <c r="D37" s="53">
        <f t="shared" si="1"/>
        <v>1.0900370096225019E-25</v>
      </c>
      <c r="E37" s="54">
        <f t="shared" si="3"/>
        <v>0.99996338110898686</v>
      </c>
    </row>
    <row r="38" spans="1:8" x14ac:dyDescent="0.3">
      <c r="A38" s="35">
        <v>1972.4168999999999</v>
      </c>
      <c r="B38" s="51">
        <f t="shared" si="0"/>
        <v>59131677970170</v>
      </c>
      <c r="C38" s="52">
        <f t="shared" si="2"/>
        <v>900</v>
      </c>
      <c r="D38" s="53">
        <f t="shared" si="1"/>
        <v>1.2262916358253145E-25</v>
      </c>
      <c r="E38" s="54">
        <f t="shared" si="3"/>
        <v>0.99996338110898675</v>
      </c>
    </row>
    <row r="39" spans="1:8" x14ac:dyDescent="0.3">
      <c r="A39" s="35">
        <v>3390.1179000000002</v>
      </c>
      <c r="B39" s="51">
        <f t="shared" si="0"/>
        <v>101633361559470</v>
      </c>
      <c r="C39" s="52">
        <f t="shared" si="2"/>
        <v>1000</v>
      </c>
      <c r="D39" s="53">
        <f t="shared" si="1"/>
        <v>1.3625462620281272E-25</v>
      </c>
      <c r="E39" s="54">
        <f t="shared" si="3"/>
        <v>0.99996338110898675</v>
      </c>
    </row>
    <row r="40" spans="1:8" ht="15" thickBot="1" x14ac:dyDescent="0.35">
      <c r="A40" s="26">
        <v>3496.1698000000001</v>
      </c>
      <c r="B40" s="55">
        <f t="shared" si="0"/>
        <v>104812723285140</v>
      </c>
      <c r="C40" s="52">
        <f t="shared" si="2"/>
        <v>1100</v>
      </c>
      <c r="D40" s="53">
        <f t="shared" si="1"/>
        <v>1.4988008882309398E-25</v>
      </c>
      <c r="E40" s="54">
        <f t="shared" si="3"/>
        <v>0.99996338110898653</v>
      </c>
    </row>
    <row r="41" spans="1:8" x14ac:dyDescent="0.3">
      <c r="B41" s="51"/>
      <c r="C41" s="52">
        <f t="shared" si="2"/>
        <v>1200</v>
      </c>
      <c r="D41" s="53">
        <f t="shared" si="1"/>
        <v>1.6350555144337526E-25</v>
      </c>
      <c r="E41" s="54">
        <f t="shared" si="3"/>
        <v>0.99996338110898653</v>
      </c>
    </row>
    <row r="42" spans="1:8" x14ac:dyDescent="0.3">
      <c r="B42" s="51"/>
      <c r="C42" s="52">
        <f t="shared" si="2"/>
        <v>1300</v>
      </c>
      <c r="D42" s="53">
        <f t="shared" si="1"/>
        <v>1.7713101406365654E-25</v>
      </c>
      <c r="E42" s="54">
        <f t="shared" si="3"/>
        <v>0.99996338110898675</v>
      </c>
    </row>
    <row r="43" spans="1:8" x14ac:dyDescent="0.3">
      <c r="B43" s="51"/>
      <c r="C43" s="52">
        <f t="shared" si="2"/>
        <v>1400</v>
      </c>
      <c r="D43" s="53">
        <f t="shared" si="1"/>
        <v>1.907564766839378E-25</v>
      </c>
      <c r="E43" s="54">
        <f t="shared" si="3"/>
        <v>0.99996338110898653</v>
      </c>
    </row>
    <row r="44" spans="1:8" x14ac:dyDescent="0.3">
      <c r="B44" s="51"/>
      <c r="C44" s="52">
        <f t="shared" si="2"/>
        <v>1500</v>
      </c>
      <c r="D44" s="53">
        <f t="shared" si="1"/>
        <v>2.0438193930421908E-25</v>
      </c>
      <c r="E44" s="54">
        <f t="shared" si="3"/>
        <v>0.99996338110898675</v>
      </c>
    </row>
    <row r="45" spans="1:8" x14ac:dyDescent="0.3">
      <c r="B45" s="51"/>
      <c r="C45" s="52">
        <f t="shared" si="2"/>
        <v>1600</v>
      </c>
      <c r="D45" s="53">
        <f t="shared" si="1"/>
        <v>2.1800740192450038E-25</v>
      </c>
      <c r="E45" s="54">
        <f t="shared" si="3"/>
        <v>0.99996338110898686</v>
      </c>
    </row>
    <row r="46" spans="1:8" x14ac:dyDescent="0.3">
      <c r="B46" s="51"/>
      <c r="C46" s="52">
        <f t="shared" si="2"/>
        <v>1700</v>
      </c>
      <c r="D46" s="53">
        <f t="shared" si="1"/>
        <v>2.3163286454478159E-25</v>
      </c>
      <c r="E46" s="54">
        <f t="shared" si="3"/>
        <v>0.99996338110898664</v>
      </c>
    </row>
    <row r="47" spans="1:8" x14ac:dyDescent="0.3">
      <c r="B47" s="51"/>
      <c r="C47" s="52">
        <f t="shared" si="2"/>
        <v>1800</v>
      </c>
      <c r="D47" s="53">
        <f t="shared" si="1"/>
        <v>2.4525832716506289E-25</v>
      </c>
      <c r="E47" s="54">
        <f t="shared" si="3"/>
        <v>0.99996338110898675</v>
      </c>
    </row>
    <row r="48" spans="1:8" x14ac:dyDescent="0.3">
      <c r="B48" s="51"/>
      <c r="C48" s="52">
        <f t="shared" si="2"/>
        <v>1900</v>
      </c>
      <c r="D48" s="53">
        <f t="shared" si="1"/>
        <v>2.5888378978534419E-25</v>
      </c>
      <c r="E48" s="54">
        <f t="shared" si="3"/>
        <v>0.99996338110898686</v>
      </c>
    </row>
    <row r="49" spans="1:23" x14ac:dyDescent="0.3">
      <c r="B49" s="51"/>
      <c r="C49" s="52">
        <f t="shared" si="2"/>
        <v>2000</v>
      </c>
      <c r="D49" s="53">
        <f t="shared" si="1"/>
        <v>2.7250925240562545E-25</v>
      </c>
      <c r="E49" s="54">
        <f t="shared" si="3"/>
        <v>0.99996338110898675</v>
      </c>
    </row>
    <row r="50" spans="1:23" ht="15" thickBot="1" x14ac:dyDescent="0.35">
      <c r="C50" s="25">
        <f t="shared" si="2"/>
        <v>2100</v>
      </c>
      <c r="D50" s="56">
        <f t="shared" si="1"/>
        <v>2.8613471502590675E-25</v>
      </c>
      <c r="E50" s="57">
        <f t="shared" si="3"/>
        <v>0.99996338110898664</v>
      </c>
    </row>
    <row r="51" spans="1:23" ht="15" thickBot="1" x14ac:dyDescent="0.35"/>
    <row r="52" spans="1:23" ht="18.600000000000001" thickBot="1" x14ac:dyDescent="0.35">
      <c r="D52" s="197" t="s">
        <v>49</v>
      </c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9"/>
    </row>
    <row r="53" spans="1:23" x14ac:dyDescent="0.3">
      <c r="A53" s="11" t="s">
        <v>50</v>
      </c>
      <c r="B53" s="59">
        <f>E54</f>
        <v>1.0029982361203678</v>
      </c>
      <c r="D53" s="60" t="s">
        <v>51</v>
      </c>
      <c r="E53" s="61">
        <v>298.14999999999998</v>
      </c>
      <c r="F53" s="61">
        <f>300+100</f>
        <v>400</v>
      </c>
      <c r="G53" s="61">
        <f t="shared" ref="G53:W53" si="4">F53+100</f>
        <v>500</v>
      </c>
      <c r="H53" s="61">
        <f t="shared" si="4"/>
        <v>600</v>
      </c>
      <c r="I53" s="61">
        <f t="shared" si="4"/>
        <v>700</v>
      </c>
      <c r="J53" s="61">
        <f t="shared" si="4"/>
        <v>800</v>
      </c>
      <c r="K53" s="61">
        <f t="shared" si="4"/>
        <v>900</v>
      </c>
      <c r="L53" s="61">
        <f t="shared" si="4"/>
        <v>1000</v>
      </c>
      <c r="M53" s="61">
        <f t="shared" si="4"/>
        <v>1100</v>
      </c>
      <c r="N53" s="61">
        <f t="shared" si="4"/>
        <v>1200</v>
      </c>
      <c r="O53" s="61">
        <f t="shared" si="4"/>
        <v>1300</v>
      </c>
      <c r="P53" s="61">
        <f t="shared" si="4"/>
        <v>1400</v>
      </c>
      <c r="Q53" s="61">
        <f t="shared" si="4"/>
        <v>1500</v>
      </c>
      <c r="R53" s="61">
        <f t="shared" si="4"/>
        <v>1600</v>
      </c>
      <c r="S53" s="61">
        <f t="shared" si="4"/>
        <v>1700</v>
      </c>
      <c r="T53" s="61">
        <f t="shared" si="4"/>
        <v>1800</v>
      </c>
      <c r="U53" s="61">
        <f t="shared" si="4"/>
        <v>1900</v>
      </c>
      <c r="V53" s="61">
        <f t="shared" si="4"/>
        <v>2000</v>
      </c>
      <c r="W53" s="62">
        <f t="shared" si="4"/>
        <v>2100</v>
      </c>
    </row>
    <row r="54" spans="1:23" x14ac:dyDescent="0.3">
      <c r="A54" s="35"/>
      <c r="B54" s="63">
        <f t="shared" ref="B54:B61" si="5">E55</f>
        <v>1.0404532982997403</v>
      </c>
      <c r="D54" s="164">
        <f t="shared" ref="D54:D62" si="6">A32*$I$2</f>
        <v>36109922949360</v>
      </c>
      <c r="E54" s="51">
        <f>1/(1 - EXP((-$C$2*$D$54)/($A$2*E53)))</f>
        <v>1.0029982361203678</v>
      </c>
      <c r="F54" s="51">
        <f t="shared" ref="F54:W54" si="7">1/(1 - EXP((-$C$2*$D$54)/($A$2*F53)))</f>
        <v>1.013307330410127</v>
      </c>
      <c r="G54" s="51">
        <f t="shared" si="7"/>
        <v>1.0322450161912635</v>
      </c>
      <c r="H54" s="51">
        <f t="shared" si="7"/>
        <v>1.0589439847145912</v>
      </c>
      <c r="I54" s="51">
        <f t="shared" si="7"/>
        <v>1.0918165481569995</v>
      </c>
      <c r="J54" s="51">
        <f t="shared" si="7"/>
        <v>1.1294297462167717</v>
      </c>
      <c r="K54" s="51">
        <f t="shared" si="7"/>
        <v>1.1706646189533043</v>
      </c>
      <c r="L54" s="51">
        <f t="shared" si="7"/>
        <v>1.2146861224706278</v>
      </c>
      <c r="M54" s="51">
        <f t="shared" si="7"/>
        <v>1.2608773625571532</v>
      </c>
      <c r="N54" s="51">
        <f t="shared" si="7"/>
        <v>1.3087806874798678</v>
      </c>
      <c r="O54" s="51">
        <f t="shared" si="7"/>
        <v>1.3580531079994362</v>
      </c>
      <c r="P54" s="51">
        <f t="shared" si="7"/>
        <v>1.4084343408858133</v>
      </c>
      <c r="Q54" s="51">
        <f t="shared" si="7"/>
        <v>1.4597242677385787</v>
      </c>
      <c r="R54" s="51">
        <f t="shared" si="7"/>
        <v>1.5117670389603772</v>
      </c>
      <c r="S54" s="51">
        <f t="shared" si="7"/>
        <v>1.5644397853897212</v>
      </c>
      <c r="T54" s="51">
        <f t="shared" si="7"/>
        <v>1.6176445190783333</v>
      </c>
      <c r="U54" s="51">
        <f t="shared" si="7"/>
        <v>1.6713022539291476</v>
      </c>
      <c r="V54" s="51">
        <f t="shared" si="7"/>
        <v>1.7253486858645986</v>
      </c>
      <c r="W54" s="63">
        <f t="shared" si="7"/>
        <v>1.7797309806279786</v>
      </c>
    </row>
    <row r="55" spans="1:23" x14ac:dyDescent="0.3">
      <c r="A55" s="35"/>
      <c r="B55" s="63">
        <f t="shared" si="5"/>
        <v>1.0323779261103851</v>
      </c>
      <c r="D55" s="164">
        <f t="shared" si="6"/>
        <v>20172714216330</v>
      </c>
      <c r="E55" s="51">
        <f>1/(1 - EXP((-$C$2*$D$55)/($A$2*E53)))</f>
        <v>1.0404532982997403</v>
      </c>
      <c r="F55" s="51">
        <f t="shared" ref="F55:W55" si="8">1/(1 - EXP((-$C$2*$D$55)/($A$2*F53)))</f>
        <v>1.0975544480129178</v>
      </c>
      <c r="G55" s="51">
        <f t="shared" si="8"/>
        <v>1.1685388186990031</v>
      </c>
      <c r="H55" s="51">
        <f t="shared" si="8"/>
        <v>1.2486973740111718</v>
      </c>
      <c r="I55" s="51">
        <f t="shared" si="8"/>
        <v>1.3347557928698932</v>
      </c>
      <c r="J55" s="51">
        <f t="shared" si="8"/>
        <v>1.4247719877934477</v>
      </c>
      <c r="K55" s="51">
        <f t="shared" si="8"/>
        <v>1.5175500547098857</v>
      </c>
      <c r="L55" s="51">
        <f t="shared" si="8"/>
        <v>1.6123227211869808</v>
      </c>
      <c r="M55" s="51">
        <f t="shared" si="8"/>
        <v>1.7085786616932588</v>
      </c>
      <c r="N55" s="51">
        <f t="shared" si="8"/>
        <v>1.8059654942649905</v>
      </c>
      <c r="O55" s="51">
        <f t="shared" si="8"/>
        <v>1.9042331696711194</v>
      </c>
      <c r="P55" s="51">
        <f t="shared" si="8"/>
        <v>2.003199682609222</v>
      </c>
      <c r="Q55" s="51">
        <f t="shared" si="8"/>
        <v>2.1027295812353777</v>
      </c>
      <c r="R55" s="51">
        <f t="shared" si="8"/>
        <v>2.202720076940432</v>
      </c>
      <c r="S55" s="51">
        <f t="shared" si="8"/>
        <v>2.3030918157585094</v>
      </c>
      <c r="T55" s="51">
        <f t="shared" si="8"/>
        <v>2.403782594080953</v>
      </c>
      <c r="U55" s="51">
        <f t="shared" si="8"/>
        <v>2.5047429838969162</v>
      </c>
      <c r="V55" s="51">
        <f t="shared" si="8"/>
        <v>2.605933226399566</v>
      </c>
      <c r="W55" s="63">
        <f t="shared" si="8"/>
        <v>2.7073209864687242</v>
      </c>
    </row>
    <row r="56" spans="1:23" x14ac:dyDescent="0.3">
      <c r="A56" s="35"/>
      <c r="B56" s="63">
        <f t="shared" si="5"/>
        <v>1.0046768071593311</v>
      </c>
      <c r="D56" s="164">
        <f t="shared" si="6"/>
        <v>21507593513640</v>
      </c>
      <c r="E56" s="51">
        <f>1/(1 - EXP((-$C$2*$D$56)/($A$2*E53)))</f>
        <v>1.0323779261103851</v>
      </c>
      <c r="F56" s="51">
        <f t="shared" ref="F56:W56" si="9">1/(1 - EXP((-$C$2*$D$56)/($A$2*F53)))</f>
        <v>1.0819336839691438</v>
      </c>
      <c r="G56" s="51">
        <f t="shared" si="9"/>
        <v>1.1453241879983205</v>
      </c>
      <c r="H56" s="51">
        <f t="shared" si="9"/>
        <v>1.2180195788123136</v>
      </c>
      <c r="I56" s="51">
        <f t="shared" si="9"/>
        <v>1.2967887447868978</v>
      </c>
      <c r="J56" s="51">
        <f t="shared" si="9"/>
        <v>1.3796698298061907</v>
      </c>
      <c r="K56" s="51">
        <f t="shared" si="9"/>
        <v>1.4654376270640868</v>
      </c>
      <c r="L56" s="51">
        <f t="shared" si="9"/>
        <v>1.5532988288961238</v>
      </c>
      <c r="M56" s="51">
        <f t="shared" si="9"/>
        <v>1.6427214133535037</v>
      </c>
      <c r="N56" s="51">
        <f t="shared" si="9"/>
        <v>1.7333370688685044</v>
      </c>
      <c r="O56" s="51">
        <f t="shared" si="9"/>
        <v>1.8248835597845483</v>
      </c>
      <c r="P56" s="51">
        <f t="shared" si="9"/>
        <v>1.9171695180375521</v>
      </c>
      <c r="Q56" s="51">
        <f t="shared" si="9"/>
        <v>2.0100522366383853</v>
      </c>
      <c r="R56" s="51">
        <f t="shared" si="9"/>
        <v>2.1034232473948422</v>
      </c>
      <c r="S56" s="51">
        <f t="shared" si="9"/>
        <v>2.1971987027164861</v>
      </c>
      <c r="T56" s="51">
        <f t="shared" si="9"/>
        <v>2.2913128063443065</v>
      </c>
      <c r="U56" s="51">
        <f t="shared" si="9"/>
        <v>2.3857132290548035</v>
      </c>
      <c r="V56" s="51">
        <f t="shared" si="9"/>
        <v>2.4803578469494219</v>
      </c>
      <c r="W56" s="63">
        <f t="shared" si="9"/>
        <v>2.5752123797204947</v>
      </c>
    </row>
    <row r="57" spans="1:23" x14ac:dyDescent="0.3">
      <c r="A57" s="35"/>
      <c r="B57" s="63">
        <f t="shared" si="5"/>
        <v>1.0021719575225012</v>
      </c>
      <c r="D57" s="164">
        <f t="shared" si="6"/>
        <v>33358410803640</v>
      </c>
      <c r="E57" s="51">
        <f>1/(1 - EXP((-$C$2*$D$57)/($A$2*E53)))</f>
        <v>1.0046768071593311</v>
      </c>
      <c r="F57" s="51">
        <f t="shared" ref="F57:W57" si="10">1/(1 - EXP((-$C$2*$D$57)/($A$2*F53)))</f>
        <v>1.0186095518495035</v>
      </c>
      <c r="G57" s="51">
        <f t="shared" si="10"/>
        <v>1.0424051989368555</v>
      </c>
      <c r="H57" s="51">
        <f t="shared" si="10"/>
        <v>1.0745372911611621</v>
      </c>
      <c r="I57" s="51">
        <f t="shared" si="10"/>
        <v>1.1130343320097531</v>
      </c>
      <c r="J57" s="51">
        <f t="shared" si="10"/>
        <v>1.1562898600621994</v>
      </c>
      <c r="K57" s="51">
        <f t="shared" si="10"/>
        <v>1.2031149362275011</v>
      </c>
      <c r="L57" s="51">
        <f t="shared" si="10"/>
        <v>1.2526512448776288</v>
      </c>
      <c r="M57" s="51">
        <f t="shared" si="10"/>
        <v>1.3042787024318088</v>
      </c>
      <c r="N57" s="51">
        <f t="shared" si="10"/>
        <v>1.3575445330027904</v>
      </c>
      <c r="O57" s="51">
        <f t="shared" si="10"/>
        <v>1.4121133565178476</v>
      </c>
      <c r="P57" s="51">
        <f t="shared" si="10"/>
        <v>1.4677329254981462</v>
      </c>
      <c r="Q57" s="51">
        <f t="shared" si="10"/>
        <v>1.5242106450091335</v>
      </c>
      <c r="R57" s="51">
        <f t="shared" si="10"/>
        <v>1.5813973528454497</v>
      </c>
      <c r="S57" s="51">
        <f t="shared" si="10"/>
        <v>1.6391759776659471</v>
      </c>
      <c r="T57" s="51">
        <f t="shared" si="10"/>
        <v>1.6974534978896509</v>
      </c>
      <c r="U57" s="51">
        <f t="shared" si="10"/>
        <v>1.7561551594512428</v>
      </c>
      <c r="V57" s="51">
        <f t="shared" si="10"/>
        <v>1.815220259680119</v>
      </c>
      <c r="W57" s="63">
        <f t="shared" si="10"/>
        <v>1.8745990318576553</v>
      </c>
    </row>
    <row r="58" spans="1:23" x14ac:dyDescent="0.3">
      <c r="A58" s="35"/>
      <c r="B58" s="63">
        <f t="shared" si="5"/>
        <v>1.0005562406451365</v>
      </c>
      <c r="D58" s="164">
        <f t="shared" si="6"/>
        <v>38107593604860</v>
      </c>
      <c r="E58" s="51">
        <f>1/(1 - EXP((-$C$2*$D$58)/($A$2*E53)))</f>
        <v>1.0021719575225012</v>
      </c>
      <c r="F58" s="51">
        <f t="shared" ref="F58:W58" si="11">1/(1 - EXP((-$C$2*$D$58)/($A$2*F53)))</f>
        <v>1.0104415367661415</v>
      </c>
      <c r="G58" s="51">
        <f t="shared" si="11"/>
        <v>1.0264696812327054</v>
      </c>
      <c r="H58" s="51">
        <f t="shared" si="11"/>
        <v>1.0498055433737514</v>
      </c>
      <c r="I58" s="51">
        <f t="shared" si="11"/>
        <v>1.0791339642295563</v>
      </c>
      <c r="J58" s="51">
        <f t="shared" si="11"/>
        <v>1.1131574676443659</v>
      </c>
      <c r="K58" s="51">
        <f t="shared" si="11"/>
        <v>1.1508177399840929</v>
      </c>
      <c r="L58" s="51">
        <f t="shared" si="11"/>
        <v>1.1913039169280442</v>
      </c>
      <c r="M58" s="51">
        <f t="shared" si="11"/>
        <v>1.2340063618772259</v>
      </c>
      <c r="N58" s="51">
        <f t="shared" si="11"/>
        <v>1.2784671613259257</v>
      </c>
      <c r="O58" s="51">
        <f t="shared" si="11"/>
        <v>1.32433997868092</v>
      </c>
      <c r="P58" s="51">
        <f t="shared" si="11"/>
        <v>1.3713601583399422</v>
      </c>
      <c r="Q58" s="51">
        <f t="shared" si="11"/>
        <v>1.4193231159870083</v>
      </c>
      <c r="R58" s="51">
        <f t="shared" si="11"/>
        <v>1.4680688370424897</v>
      </c>
      <c r="S58" s="51">
        <f t="shared" si="11"/>
        <v>1.5174707290778682</v>
      </c>
      <c r="T58" s="51">
        <f t="shared" si="11"/>
        <v>1.5674275462513034</v>
      </c>
      <c r="U58" s="51">
        <f t="shared" si="11"/>
        <v>1.6178574825549277</v>
      </c>
      <c r="V58" s="51">
        <f t="shared" si="11"/>
        <v>1.6686938053421754</v>
      </c>
      <c r="W58" s="63">
        <f t="shared" si="11"/>
        <v>1.7198815922168049</v>
      </c>
    </row>
    <row r="59" spans="1:23" x14ac:dyDescent="0.3">
      <c r="A59" s="35"/>
      <c r="B59" s="63">
        <f t="shared" si="5"/>
        <v>1.0000734773176987</v>
      </c>
      <c r="D59" s="164">
        <f t="shared" si="6"/>
        <v>46559750589690</v>
      </c>
      <c r="E59" s="51">
        <f>1/(1 - EXP((-$C$2*$D$59)/($A$2*E53)))</f>
        <v>1.0005562406451365</v>
      </c>
      <c r="F59" s="51">
        <f t="shared" ref="F59:W59" si="12">1/(1 - EXP((-$C$2*$D$59)/($A$2*F53)))</f>
        <v>1.003762279527818</v>
      </c>
      <c r="G59" s="51">
        <f t="shared" si="12"/>
        <v>1.0115893856367666</v>
      </c>
      <c r="H59" s="51">
        <f t="shared" si="12"/>
        <v>1.0247260398309137</v>
      </c>
      <c r="I59" s="51">
        <f t="shared" si="12"/>
        <v>1.0428379174649216</v>
      </c>
      <c r="J59" s="51">
        <f t="shared" si="12"/>
        <v>1.0652149790215217</v>
      </c>
      <c r="K59" s="51">
        <f t="shared" si="12"/>
        <v>1.0911100803092992</v>
      </c>
      <c r="L59" s="51">
        <f t="shared" si="12"/>
        <v>1.1198654194402096</v>
      </c>
      <c r="M59" s="51">
        <f t="shared" si="12"/>
        <v>1.1509404535785708</v>
      </c>
      <c r="N59" s="51">
        <f t="shared" si="12"/>
        <v>1.1839033525253853</v>
      </c>
      <c r="O59" s="51">
        <f t="shared" si="12"/>
        <v>1.2184124943482342</v>
      </c>
      <c r="P59" s="51">
        <f t="shared" si="12"/>
        <v>1.2541978111005234</v>
      </c>
      <c r="Q59" s="51">
        <f t="shared" si="12"/>
        <v>1.2910449603524214</v>
      </c>
      <c r="R59" s="51">
        <f t="shared" si="12"/>
        <v>1.3287827549545812</v>
      </c>
      <c r="S59" s="51">
        <f t="shared" si="12"/>
        <v>1.3672734592597418</v>
      </c>
      <c r="T59" s="51">
        <f t="shared" si="12"/>
        <v>1.4064053816432491</v>
      </c>
      <c r="U59" s="51">
        <f t="shared" si="12"/>
        <v>1.4460872340922528</v>
      </c>
      <c r="V59" s="51">
        <f t="shared" si="12"/>
        <v>1.4862438279440229</v>
      </c>
      <c r="W59" s="63">
        <f t="shared" si="12"/>
        <v>1.5268127735514703</v>
      </c>
    </row>
    <row r="60" spans="1:23" x14ac:dyDescent="0.3">
      <c r="A60" s="35"/>
      <c r="B60" s="63">
        <f t="shared" si="5"/>
        <v>1.000000078494808</v>
      </c>
      <c r="D60" s="164">
        <f t="shared" si="6"/>
        <v>59131677970170</v>
      </c>
      <c r="E60" s="51">
        <f>1/(1 - EXP((-$C$2*$D$60)/($A$2*E53)))</f>
        <v>1.0000734773176987</v>
      </c>
      <c r="F60" s="51">
        <f t="shared" ref="F60:W60" si="13">1/(1 - EXP((-$C$2*$D$60)/($A$2*F53)))</f>
        <v>1.0008299855577865</v>
      </c>
      <c r="G60" s="51">
        <f t="shared" si="13"/>
        <v>1.0034392144016695</v>
      </c>
      <c r="H60" s="51">
        <f t="shared" si="13"/>
        <v>1.0089054793010288</v>
      </c>
      <c r="I60" s="51">
        <f t="shared" si="13"/>
        <v>1.0176548277203312</v>
      </c>
      <c r="J60" s="51">
        <f t="shared" si="13"/>
        <v>1.0296514087324404</v>
      </c>
      <c r="K60" s="51">
        <f t="shared" si="13"/>
        <v>1.0446164207426092</v>
      </c>
      <c r="L60" s="51">
        <f t="shared" si="13"/>
        <v>1.0621847895318033</v>
      </c>
      <c r="M60" s="51">
        <f t="shared" si="13"/>
        <v>1.0819886420609952</v>
      </c>
      <c r="N60" s="51">
        <f t="shared" si="13"/>
        <v>1.1036935949200752</v>
      </c>
      <c r="O60" s="51">
        <f t="shared" si="13"/>
        <v>1.1270102282692727</v>
      </c>
      <c r="P60" s="51">
        <f t="shared" si="13"/>
        <v>1.1516940781739415</v>
      </c>
      <c r="Q60" s="51">
        <f t="shared" si="13"/>
        <v>1.1775410495381984</v>
      </c>
      <c r="R60" s="51">
        <f t="shared" si="13"/>
        <v>1.204381528552289</v>
      </c>
      <c r="S60" s="51">
        <f t="shared" si="13"/>
        <v>1.2320746233289008</v>
      </c>
      <c r="T60" s="51">
        <f t="shared" si="13"/>
        <v>1.2605030709609377</v>
      </c>
      <c r="U60" s="51">
        <f t="shared" si="13"/>
        <v>1.289568943601676</v>
      </c>
      <c r="V60" s="51">
        <f t="shared" si="13"/>
        <v>1.3191901155095305</v>
      </c>
      <c r="W60" s="63">
        <f t="shared" si="13"/>
        <v>1.3492973921734894</v>
      </c>
    </row>
    <row r="61" spans="1:23" ht="15" thickBot="1" x14ac:dyDescent="0.35">
      <c r="A61" s="26"/>
      <c r="B61" s="65">
        <f t="shared" si="5"/>
        <v>1.000000047051411</v>
      </c>
      <c r="D61" s="164">
        <f t="shared" si="6"/>
        <v>101633361559470</v>
      </c>
      <c r="E61" s="51">
        <f>1/(1 - EXP((-$C$2*$D$61)/($A$2*E53)))</f>
        <v>1.000000078494808</v>
      </c>
      <c r="F61" s="51">
        <f t="shared" ref="F61:W61" si="14">1/(1 - EXP((-$C$2*$D$61)/($A$2*F53)))</f>
        <v>1.0000050581794231</v>
      </c>
      <c r="G61" s="51">
        <f t="shared" si="14"/>
        <v>1.0000579720693739</v>
      </c>
      <c r="H61" s="51">
        <f t="shared" si="14"/>
        <v>1.0002947514923266</v>
      </c>
      <c r="I61" s="51">
        <f t="shared" si="14"/>
        <v>1.0009421470882252</v>
      </c>
      <c r="J61" s="51">
        <f t="shared" si="14"/>
        <v>1.0022541035342818</v>
      </c>
      <c r="K61" s="51">
        <f t="shared" si="14"/>
        <v>1.0044478082610742</v>
      </c>
      <c r="L61" s="51">
        <f t="shared" si="14"/>
        <v>1.0076721319136825</v>
      </c>
      <c r="M61" s="51">
        <f t="shared" si="14"/>
        <v>1.0120049836407046</v>
      </c>
      <c r="N61" s="51">
        <f t="shared" si="14"/>
        <v>1.017465609676149</v>
      </c>
      <c r="O61" s="51">
        <f t="shared" si="14"/>
        <v>1.0240310197133888</v>
      </c>
      <c r="P61" s="51">
        <f t="shared" si="14"/>
        <v>1.0316510176203848</v>
      </c>
      <c r="Q61" s="51">
        <f t="shared" si="14"/>
        <v>1.0402599361418059</v>
      </c>
      <c r="R61" s="51">
        <f t="shared" si="14"/>
        <v>1.0497849831498018</v>
      </c>
      <c r="S61" s="51">
        <f t="shared" si="14"/>
        <v>1.0601517861638006</v>
      </c>
      <c r="T61" s="51">
        <f t="shared" si="14"/>
        <v>1.0712878505964987</v>
      </c>
      <c r="U61" s="51">
        <f t="shared" si="14"/>
        <v>1.0831245597161234</v>
      </c>
      <c r="V61" s="51">
        <f t="shared" si="14"/>
        <v>1.0955982004132085</v>
      </c>
      <c r="W61" s="63">
        <f t="shared" si="14"/>
        <v>1.108650362934213</v>
      </c>
    </row>
    <row r="62" spans="1:23" ht="15" thickBot="1" x14ac:dyDescent="0.35">
      <c r="B62" s="51"/>
      <c r="D62" s="165">
        <f t="shared" si="6"/>
        <v>104812723285140</v>
      </c>
      <c r="E62" s="55">
        <f>1/(1 - EXP((-$C$2*$D$62)/($A$2*E53)))</f>
        <v>1.000000047051411</v>
      </c>
      <c r="F62" s="55">
        <f t="shared" ref="F62:W62" si="15">1/(1 - EXP((-$C$2*$D$62)/($A$2*F53)))</f>
        <v>1.0000034539840366</v>
      </c>
      <c r="G62" s="55">
        <f t="shared" si="15"/>
        <v>1.0000427241681129</v>
      </c>
      <c r="H62" s="55">
        <f t="shared" si="15"/>
        <v>1.0002285485463507</v>
      </c>
      <c r="I62" s="55">
        <f t="shared" si="15"/>
        <v>1.0007574747696715</v>
      </c>
      <c r="J62" s="55">
        <f t="shared" si="15"/>
        <v>1.0018619469129055</v>
      </c>
      <c r="K62" s="55">
        <f t="shared" si="15"/>
        <v>1.0037515641747801</v>
      </c>
      <c r="L62" s="55">
        <f t="shared" si="15"/>
        <v>1.00657923650019</v>
      </c>
      <c r="M62" s="55">
        <f t="shared" si="15"/>
        <v>1.0104337872847671</v>
      </c>
      <c r="N62" s="55">
        <f t="shared" si="15"/>
        <v>1.0153480981688987</v>
      </c>
      <c r="O62" s="55">
        <f t="shared" si="15"/>
        <v>1.0213128491717509</v>
      </c>
      <c r="P62" s="55">
        <f t="shared" si="15"/>
        <v>1.028290156035726</v>
      </c>
      <c r="Q62" s="55">
        <f t="shared" si="15"/>
        <v>1.0362247717036372</v>
      </c>
      <c r="R62" s="55">
        <f t="shared" si="15"/>
        <v>1.0450523828821341</v>
      </c>
      <c r="S62" s="55">
        <f t="shared" si="15"/>
        <v>1.0547053360923642</v>
      </c>
      <c r="T62" s="55">
        <f t="shared" si="15"/>
        <v>1.065116361970728</v>
      </c>
      <c r="U62" s="55">
        <f t="shared" si="15"/>
        <v>1.0762208496829611</v>
      </c>
      <c r="V62" s="55">
        <f t="shared" si="15"/>
        <v>1.0879581210656319</v>
      </c>
      <c r="W62" s="65">
        <f t="shared" si="15"/>
        <v>1.1002720406686775</v>
      </c>
    </row>
    <row r="63" spans="1:23" x14ac:dyDescent="0.3">
      <c r="B63" s="51"/>
      <c r="D63" s="178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</row>
    <row r="64" spans="1:23" x14ac:dyDescent="0.3">
      <c r="B64" s="51"/>
      <c r="D64" s="178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</row>
    <row r="65" spans="1:23" x14ac:dyDescent="0.3">
      <c r="B65" s="51"/>
      <c r="D65" s="178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</row>
    <row r="66" spans="1:23" x14ac:dyDescent="0.3">
      <c r="B66" s="51"/>
    </row>
    <row r="67" spans="1:23" ht="15" thickBot="1" x14ac:dyDescent="0.35">
      <c r="B67" s="51"/>
      <c r="D67" s="67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</row>
    <row r="68" spans="1:23" x14ac:dyDescent="0.3">
      <c r="B68" s="51"/>
      <c r="D68" s="68" t="s">
        <v>52</v>
      </c>
      <c r="E68" s="69">
        <v>298.14999999999998</v>
      </c>
      <c r="F68" s="69">
        <f>300+100</f>
        <v>400</v>
      </c>
      <c r="G68" s="69">
        <f t="shared" ref="G68:W68" si="16">F68+100</f>
        <v>500</v>
      </c>
      <c r="H68" s="69">
        <f t="shared" si="16"/>
        <v>600</v>
      </c>
      <c r="I68" s="69">
        <f t="shared" si="16"/>
        <v>700</v>
      </c>
      <c r="J68" s="69">
        <f t="shared" si="16"/>
        <v>800</v>
      </c>
      <c r="K68" s="69">
        <f t="shared" si="16"/>
        <v>900</v>
      </c>
      <c r="L68" s="69">
        <f t="shared" si="16"/>
        <v>1000</v>
      </c>
      <c r="M68" s="69">
        <f t="shared" si="16"/>
        <v>1100</v>
      </c>
      <c r="N68" s="69">
        <f t="shared" si="16"/>
        <v>1200</v>
      </c>
      <c r="O68" s="69">
        <f t="shared" si="16"/>
        <v>1300</v>
      </c>
      <c r="P68" s="69">
        <f t="shared" si="16"/>
        <v>1400</v>
      </c>
      <c r="Q68" s="69">
        <f t="shared" si="16"/>
        <v>1500</v>
      </c>
      <c r="R68" s="69">
        <f t="shared" si="16"/>
        <v>1600</v>
      </c>
      <c r="S68" s="69">
        <f t="shared" si="16"/>
        <v>1700</v>
      </c>
      <c r="T68" s="69">
        <f t="shared" si="16"/>
        <v>1800</v>
      </c>
      <c r="U68" s="69">
        <f t="shared" si="16"/>
        <v>1900</v>
      </c>
      <c r="V68" s="69">
        <f t="shared" si="16"/>
        <v>2000</v>
      </c>
      <c r="W68" s="70">
        <f t="shared" si="16"/>
        <v>2100</v>
      </c>
    </row>
    <row r="69" spans="1:23" ht="15" thickBot="1" x14ac:dyDescent="0.35">
      <c r="B69" s="51"/>
      <c r="D69" s="66" t="s">
        <v>53</v>
      </c>
      <c r="E69" s="55">
        <f t="shared" ref="E69:W69" si="17">PRODUCT(E54:E62)</f>
        <v>1.0854343539264333</v>
      </c>
      <c r="F69" s="55">
        <f t="shared" si="17"/>
        <v>1.2441756924794383</v>
      </c>
      <c r="G69" s="55">
        <f t="shared" si="17"/>
        <v>1.5006386579839708</v>
      </c>
      <c r="H69" s="55">
        <f t="shared" si="17"/>
        <v>1.8793181078180234</v>
      </c>
      <c r="I69" s="55">
        <f t="shared" si="17"/>
        <v>2.4130136104362285</v>
      </c>
      <c r="J69" s="55">
        <f t="shared" si="17"/>
        <v>3.1471416145690561</v>
      </c>
      <c r="K69" s="55">
        <f t="shared" si="17"/>
        <v>4.1422427775205168</v>
      </c>
      <c r="L69" s="55">
        <f t="shared" si="17"/>
        <v>5.4771789527845307</v>
      </c>
      <c r="M69" s="55">
        <f t="shared" si="17"/>
        <v>7.2531325394340271</v>
      </c>
      <c r="N69" s="55">
        <f t="shared" si="17"/>
        <v>9.5984804478694805</v>
      </c>
      <c r="O69" s="55">
        <f t="shared" si="17"/>
        <v>12.674627318467136</v>
      </c>
      <c r="P69" s="55">
        <f t="shared" si="17"/>
        <v>16.68290166138588</v>
      </c>
      <c r="Q69" s="55">
        <f t="shared" si="17"/>
        <v>21.872636134428387</v>
      </c>
      <c r="R69" s="55">
        <f t="shared" si="17"/>
        <v>28.550568776351916</v>
      </c>
      <c r="S69" s="55">
        <f t="shared" si="17"/>
        <v>37.091716372795581</v>
      </c>
      <c r="T69" s="55">
        <f t="shared" si="17"/>
        <v>47.951884886093374</v>
      </c>
      <c r="U69" s="55">
        <f t="shared" si="17"/>
        <v>61.681995449156346</v>
      </c>
      <c r="V69" s="55">
        <f t="shared" si="17"/>
        <v>78.944418064255075</v>
      </c>
      <c r="W69" s="65">
        <f t="shared" si="17"/>
        <v>100.53151901328778</v>
      </c>
    </row>
    <row r="70" spans="1:23" x14ac:dyDescent="0.3">
      <c r="B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</row>
    <row r="71" spans="1:23" ht="15" thickBot="1" x14ac:dyDescent="0.35"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</row>
    <row r="72" spans="1:23" x14ac:dyDescent="0.3">
      <c r="A72" s="17" t="s">
        <v>54</v>
      </c>
      <c r="B72" s="19">
        <f>COUNT(B53:B70)</f>
        <v>9</v>
      </c>
    </row>
    <row r="73" spans="1:23" ht="21" thickBot="1" x14ac:dyDescent="0.35">
      <c r="A73" s="71" t="s">
        <v>55</v>
      </c>
      <c r="B73" s="166">
        <f>PRODUCT(B53:B64)</f>
        <v>1.0854343539264333</v>
      </c>
    </row>
    <row r="76" spans="1:23" ht="15" thickBot="1" x14ac:dyDescent="0.35"/>
    <row r="77" spans="1:23" x14ac:dyDescent="0.3">
      <c r="A77" s="16" t="s">
        <v>56</v>
      </c>
    </row>
    <row r="78" spans="1:23" x14ac:dyDescent="0.3">
      <c r="A78" s="73">
        <v>1.0822000000000001</v>
      </c>
    </row>
    <row r="79" spans="1:23" x14ac:dyDescent="0.3">
      <c r="A79" s="74" t="s">
        <v>57</v>
      </c>
    </row>
    <row r="80" spans="1:23" ht="15" thickBot="1" x14ac:dyDescent="0.35">
      <c r="A80" s="75">
        <f>ABS(B73-A78)/B73</f>
        <v>2.9797784773748222E-3</v>
      </c>
      <c r="B80" s="5" t="s">
        <v>131</v>
      </c>
    </row>
    <row r="81" spans="2:10" ht="15" thickBot="1" x14ac:dyDescent="0.35"/>
    <row r="82" spans="2:10" ht="18" x14ac:dyDescent="0.3">
      <c r="D82" s="11" t="s">
        <v>46</v>
      </c>
      <c r="E82" s="58" t="s">
        <v>58</v>
      </c>
      <c r="F82" s="50" t="s">
        <v>9</v>
      </c>
    </row>
    <row r="83" spans="2:10" ht="18.600000000000001" thickBot="1" x14ac:dyDescent="0.35">
      <c r="B83" s="76"/>
      <c r="D83" s="35">
        <f>298.15</f>
        <v>298.14999999999998</v>
      </c>
      <c r="E83" s="63">
        <f xml:space="preserve"> ( (2*$B$2*$E$2*$A$2*D83)/($C$2*$C$2) )^(1.5) * ($A$2*D83) /$F$83</f>
        <v>3008536.4432970551</v>
      </c>
      <c r="F83" s="25">
        <v>101325</v>
      </c>
      <c r="H83" s="5" t="s">
        <v>59</v>
      </c>
    </row>
    <row r="84" spans="2:10" ht="15" thickBot="1" x14ac:dyDescent="0.35">
      <c r="D84" s="35">
        <f>300+100</f>
        <v>400</v>
      </c>
      <c r="E84" s="63">
        <f t="shared" ref="E84:E101" si="18" xml:space="preserve"> ( (2*$B$2*$E$2*$A$2*D84)/($C$2*$C$2) )^(1.5) * ($A$2*D84) /$F$83</f>
        <v>6272175.7743111476</v>
      </c>
    </row>
    <row r="85" spans="2:10" ht="15" thickBot="1" x14ac:dyDescent="0.35">
      <c r="D85" s="35">
        <f t="shared" ref="D85:D101" si="19">D84+100</f>
        <v>500</v>
      </c>
      <c r="E85" s="63">
        <f t="shared" si="18"/>
        <v>10957040.154833581</v>
      </c>
      <c r="J85" s="16" t="s">
        <v>60</v>
      </c>
    </row>
    <row r="86" spans="2:10" x14ac:dyDescent="0.3">
      <c r="D86" s="35">
        <f t="shared" si="19"/>
        <v>600</v>
      </c>
      <c r="E86" s="63">
        <f t="shared" si="18"/>
        <v>17284084.00212172</v>
      </c>
      <c r="H86" s="77" t="s">
        <v>61</v>
      </c>
      <c r="I86" s="17" t="s">
        <v>62</v>
      </c>
      <c r="J86" s="83">
        <f xml:space="preserve"> ( (2*$B$2*$E$2*$A$2*298.15)/($C$2*$C$2) )^(1.5) * ($A$2*D83) /$F$83</f>
        <v>3008536.4432970551</v>
      </c>
    </row>
    <row r="87" spans="2:10" ht="15" thickBot="1" x14ac:dyDescent="0.35">
      <c r="D87" s="35">
        <f t="shared" si="19"/>
        <v>700</v>
      </c>
      <c r="E87" s="63">
        <f t="shared" si="18"/>
        <v>25410507.707107738</v>
      </c>
      <c r="H87" s="61" t="s">
        <v>63</v>
      </c>
      <c r="I87" s="26" t="s">
        <v>62</v>
      </c>
      <c r="J87" s="84">
        <v>3010280</v>
      </c>
    </row>
    <row r="88" spans="2:10" x14ac:dyDescent="0.3">
      <c r="D88" s="35">
        <f t="shared" si="19"/>
        <v>800</v>
      </c>
      <c r="E88" s="63">
        <f t="shared" si="18"/>
        <v>35480784.18247477</v>
      </c>
      <c r="J88" s="80" t="s">
        <v>57</v>
      </c>
    </row>
    <row r="89" spans="2:10" x14ac:dyDescent="0.3">
      <c r="D89" s="35">
        <f t="shared" si="19"/>
        <v>900</v>
      </c>
      <c r="E89" s="63">
        <f t="shared" si="18"/>
        <v>47629334.78617467</v>
      </c>
      <c r="J89" s="81">
        <f>ABS(J86-J87)/J87</f>
        <v>5.7920083943849602E-4</v>
      </c>
    </row>
    <row r="90" spans="2:10" x14ac:dyDescent="0.3">
      <c r="D90" s="35">
        <f t="shared" si="19"/>
        <v>1000</v>
      </c>
      <c r="E90" s="63">
        <f t="shared" si="18"/>
        <v>61982379.161728293</v>
      </c>
    </row>
    <row r="91" spans="2:10" x14ac:dyDescent="0.3">
      <c r="D91" s="35">
        <f t="shared" si="19"/>
        <v>1100</v>
      </c>
      <c r="E91" s="63">
        <f t="shared" si="18"/>
        <v>78659277.91150561</v>
      </c>
    </row>
    <row r="92" spans="2:10" x14ac:dyDescent="0.3">
      <c r="D92" s="35">
        <f t="shared" si="19"/>
        <v>1200</v>
      </c>
      <c r="E92" s="63">
        <f t="shared" si="18"/>
        <v>97773544.035985783</v>
      </c>
    </row>
    <row r="93" spans="2:10" x14ac:dyDescent="0.3">
      <c r="D93" s="35">
        <f t="shared" si="19"/>
        <v>1300</v>
      </c>
      <c r="E93" s="63">
        <f t="shared" si="18"/>
        <v>119433627.51085342</v>
      </c>
    </row>
    <row r="94" spans="2:10" x14ac:dyDescent="0.3">
      <c r="D94" s="35">
        <f t="shared" si="19"/>
        <v>1400</v>
      </c>
      <c r="E94" s="63">
        <f t="shared" si="18"/>
        <v>143743538.50471172</v>
      </c>
    </row>
    <row r="95" spans="2:10" x14ac:dyDescent="0.3">
      <c r="D95" s="35">
        <f t="shared" si="19"/>
        <v>1500</v>
      </c>
      <c r="E95" s="63">
        <f t="shared" si="18"/>
        <v>170803352.23869649</v>
      </c>
    </row>
    <row r="96" spans="2:10" x14ac:dyDescent="0.3">
      <c r="D96" s="35">
        <f t="shared" si="19"/>
        <v>1600</v>
      </c>
      <c r="E96" s="63">
        <f t="shared" si="18"/>
        <v>200709624.777955</v>
      </c>
    </row>
    <row r="97" spans="1:10" x14ac:dyDescent="0.3">
      <c r="D97" s="35">
        <f t="shared" si="19"/>
        <v>1700</v>
      </c>
      <c r="E97" s="63">
        <f t="shared" si="18"/>
        <v>233555740.32994819</v>
      </c>
    </row>
    <row r="98" spans="1:10" x14ac:dyDescent="0.3">
      <c r="D98" s="35">
        <f t="shared" si="19"/>
        <v>1800</v>
      </c>
      <c r="E98" s="63">
        <f t="shared" si="18"/>
        <v>269432204.88566816</v>
      </c>
    </row>
    <row r="99" spans="1:10" x14ac:dyDescent="0.3">
      <c r="D99" s="35">
        <f t="shared" si="19"/>
        <v>1900</v>
      </c>
      <c r="E99" s="63">
        <f t="shared" si="18"/>
        <v>308426897.14502919</v>
      </c>
    </row>
    <row r="100" spans="1:10" x14ac:dyDescent="0.3">
      <c r="D100" s="35">
        <f t="shared" si="19"/>
        <v>2000</v>
      </c>
      <c r="E100" s="63">
        <f t="shared" si="18"/>
        <v>350625284.95467162</v>
      </c>
    </row>
    <row r="101" spans="1:10" ht="15" thickBot="1" x14ac:dyDescent="0.35">
      <c r="D101" s="26">
        <f t="shared" si="19"/>
        <v>2100</v>
      </c>
      <c r="E101" s="65">
        <f t="shared" si="18"/>
        <v>396110613.5534789</v>
      </c>
    </row>
    <row r="104" spans="1:10" ht="15" thickBot="1" x14ac:dyDescent="0.35"/>
    <row r="105" spans="1:10" ht="18" x14ac:dyDescent="0.3">
      <c r="D105" s="11" t="s">
        <v>46</v>
      </c>
      <c r="E105" s="58" t="s">
        <v>64</v>
      </c>
    </row>
    <row r="106" spans="1:10" x14ac:dyDescent="0.3">
      <c r="D106" s="35">
        <f>298.15</f>
        <v>298.14999999999998</v>
      </c>
      <c r="E106" s="63">
        <f xml:space="preserve"> ( SQRT($B$2)/$B$6) * SQRT(  (D106*D106*D106) / ($E$11 * $F$11 * $G$11 ) )</f>
        <v>757.8097936989036</v>
      </c>
    </row>
    <row r="107" spans="1:10" x14ac:dyDescent="0.3">
      <c r="D107" s="35">
        <f>300+100</f>
        <v>400</v>
      </c>
      <c r="E107" s="63">
        <f t="shared" ref="E107:E124" si="20" xml:space="preserve"> ( SQRT($B$2)/$B$6) * SQRT(  (D107*D107*D107) / ($E$11 * $F$11 * $G$11 ) )</f>
        <v>1177.6004965843308</v>
      </c>
    </row>
    <row r="108" spans="1:10" x14ac:dyDescent="0.3">
      <c r="D108" s="35">
        <f t="shared" ref="D108:D124" si="21">D107+100</f>
        <v>500</v>
      </c>
      <c r="E108" s="63">
        <f t="shared" si="20"/>
        <v>1645.7467254375454</v>
      </c>
      <c r="H108" s="5" t="s">
        <v>59</v>
      </c>
    </row>
    <row r="109" spans="1:10" ht="15" thickBot="1" x14ac:dyDescent="0.35">
      <c r="D109" s="35">
        <f t="shared" si="21"/>
        <v>600</v>
      </c>
      <c r="E109" s="63">
        <f t="shared" si="20"/>
        <v>2163.3902531097715</v>
      </c>
    </row>
    <row r="110" spans="1:10" ht="18.600000000000001" thickBot="1" x14ac:dyDescent="0.35">
      <c r="A110" s="82"/>
      <c r="B110" s="76"/>
      <c r="D110" s="35">
        <f t="shared" si="21"/>
        <v>700</v>
      </c>
      <c r="E110" s="63">
        <f t="shared" si="20"/>
        <v>2726.1833005297681</v>
      </c>
      <c r="J110" s="16" t="s">
        <v>60</v>
      </c>
    </row>
    <row r="111" spans="1:10" x14ac:dyDescent="0.3">
      <c r="D111" s="35">
        <f t="shared" si="21"/>
        <v>800</v>
      </c>
      <c r="E111" s="63">
        <f t="shared" si="20"/>
        <v>3330.7571866537046</v>
      </c>
      <c r="H111" s="77" t="s">
        <v>61</v>
      </c>
      <c r="I111" s="17" t="s">
        <v>65</v>
      </c>
      <c r="J111" s="83">
        <f>E106</f>
        <v>757.8097936989036</v>
      </c>
    </row>
    <row r="112" spans="1:10" ht="15" thickBot="1" x14ac:dyDescent="0.35">
      <c r="D112" s="35">
        <f t="shared" si="21"/>
        <v>900</v>
      </c>
      <c r="E112" s="63">
        <f t="shared" si="20"/>
        <v>3974.4016759721167</v>
      </c>
      <c r="H112" s="61" t="s">
        <v>63</v>
      </c>
      <c r="I112" s="26" t="s">
        <v>65</v>
      </c>
      <c r="J112" s="84">
        <v>757.81</v>
      </c>
    </row>
    <row r="113" spans="4:10" x14ac:dyDescent="0.3">
      <c r="D113" s="35">
        <f t="shared" si="21"/>
        <v>1000</v>
      </c>
      <c r="E113" s="63">
        <f t="shared" si="20"/>
        <v>4654.8746786897746</v>
      </c>
      <c r="J113" s="80" t="s">
        <v>57</v>
      </c>
    </row>
    <row r="114" spans="4:10" x14ac:dyDescent="0.3">
      <c r="D114" s="35">
        <f t="shared" si="21"/>
        <v>1100</v>
      </c>
      <c r="E114" s="63">
        <f t="shared" si="20"/>
        <v>5370.281125146329</v>
      </c>
      <c r="J114" s="81">
        <f>(J111-J112)/J112</f>
        <v>-2.7223327264237952E-7</v>
      </c>
    </row>
    <row r="115" spans="4:10" x14ac:dyDescent="0.3">
      <c r="D115" s="35">
        <f t="shared" si="21"/>
        <v>1200</v>
      </c>
      <c r="E115" s="63">
        <f t="shared" si="20"/>
        <v>6118.9916733072032</v>
      </c>
    </row>
    <row r="116" spans="4:10" x14ac:dyDescent="0.3">
      <c r="D116" s="35">
        <f t="shared" si="21"/>
        <v>1300</v>
      </c>
      <c r="E116" s="63">
        <f t="shared" si="20"/>
        <v>6899.5858302258248</v>
      </c>
      <c r="H116" s="85"/>
    </row>
    <row r="117" spans="4:10" x14ac:dyDescent="0.3">
      <c r="D117" s="35">
        <f t="shared" si="21"/>
        <v>1400</v>
      </c>
      <c r="E117" s="63">
        <f t="shared" si="20"/>
        <v>7710.8107942484912</v>
      </c>
    </row>
    <row r="118" spans="4:10" x14ac:dyDescent="0.3">
      <c r="D118" s="35">
        <f t="shared" si="21"/>
        <v>1500</v>
      </c>
      <c r="E118" s="63">
        <f t="shared" si="20"/>
        <v>8551.5508345438084</v>
      </c>
    </row>
    <row r="119" spans="4:10" x14ac:dyDescent="0.3">
      <c r="D119" s="35">
        <f t="shared" si="21"/>
        <v>1600</v>
      </c>
      <c r="E119" s="63">
        <f t="shared" si="20"/>
        <v>9420.8039726746465</v>
      </c>
    </row>
    <row r="120" spans="4:10" x14ac:dyDescent="0.3">
      <c r="D120" s="35">
        <f t="shared" si="21"/>
        <v>1700</v>
      </c>
      <c r="E120" s="63">
        <f t="shared" si="20"/>
        <v>10317.663868418636</v>
      </c>
    </row>
    <row r="121" spans="4:10" x14ac:dyDescent="0.3">
      <c r="D121" s="35">
        <f t="shared" si="21"/>
        <v>1800</v>
      </c>
      <c r="E121" s="63">
        <f t="shared" si="20"/>
        <v>11241.305504956254</v>
      </c>
    </row>
    <row r="122" spans="4:10" x14ac:dyDescent="0.3">
      <c r="D122" s="35">
        <f t="shared" si="21"/>
        <v>1900</v>
      </c>
      <c r="E122" s="63">
        <f t="shared" si="20"/>
        <v>12190.97370612673</v>
      </c>
    </row>
    <row r="123" spans="4:10" x14ac:dyDescent="0.3">
      <c r="D123" s="35">
        <f t="shared" si="21"/>
        <v>2000</v>
      </c>
      <c r="E123" s="63">
        <f t="shared" si="20"/>
        <v>13165.973803500363</v>
      </c>
    </row>
    <row r="124" spans="4:10" ht="15" thickBot="1" x14ac:dyDescent="0.35">
      <c r="D124" s="26">
        <f t="shared" si="21"/>
        <v>2100</v>
      </c>
      <c r="E124" s="65">
        <f t="shared" si="20"/>
        <v>14165.663961790116</v>
      </c>
    </row>
    <row r="126" spans="4:10" ht="15" thickBot="1" x14ac:dyDescent="0.35"/>
    <row r="127" spans="4:10" ht="18" x14ac:dyDescent="0.3">
      <c r="D127" s="11" t="s">
        <v>46</v>
      </c>
      <c r="E127" s="13" t="s">
        <v>66</v>
      </c>
      <c r="F127" s="50" t="s">
        <v>67</v>
      </c>
    </row>
    <row r="128" spans="4:10" ht="15.6" x14ac:dyDescent="0.3">
      <c r="D128" s="35">
        <f>298.15</f>
        <v>298.14999999999998</v>
      </c>
      <c r="E128" s="86">
        <f>$B$135*EXP($B$134/($A$2*D128) )</f>
        <v>0</v>
      </c>
      <c r="F128" s="52">
        <f>$B$135</f>
        <v>2</v>
      </c>
      <c r="G128" s="5" t="s">
        <v>68</v>
      </c>
      <c r="H128" s="88">
        <f>$B$135*EXP($B$134/($A$2*298.15) )</f>
        <v>0</v>
      </c>
    </row>
    <row r="129" spans="1:10" ht="15.6" x14ac:dyDescent="0.2">
      <c r="A129" s="89"/>
      <c r="D129" s="35">
        <f>300+100</f>
        <v>400</v>
      </c>
      <c r="E129" s="86">
        <f t="shared" ref="E129:E146" si="22">$B$135*EXP($B$134/($A$2*D129) )</f>
        <v>0</v>
      </c>
      <c r="F129" s="52">
        <f t="shared" ref="F129:F146" si="23">$B$135</f>
        <v>2</v>
      </c>
    </row>
    <row r="130" spans="1:10" ht="16.2" thickBot="1" x14ac:dyDescent="0.35">
      <c r="D130" s="35">
        <f t="shared" ref="D130:D146" si="24">D129+100</f>
        <v>500</v>
      </c>
      <c r="E130" s="86">
        <f t="shared" si="22"/>
        <v>0</v>
      </c>
      <c r="F130" s="52">
        <f t="shared" si="23"/>
        <v>2</v>
      </c>
    </row>
    <row r="131" spans="1:10" ht="15.6" x14ac:dyDescent="0.3">
      <c r="A131" s="90" t="s">
        <v>69</v>
      </c>
      <c r="B131" s="91">
        <v>-57.086461231999998</v>
      </c>
      <c r="D131" s="35">
        <f t="shared" si="24"/>
        <v>600</v>
      </c>
      <c r="E131" s="86">
        <f t="shared" si="22"/>
        <v>0</v>
      </c>
      <c r="F131" s="52">
        <f t="shared" si="23"/>
        <v>2</v>
      </c>
      <c r="H131" s="17"/>
      <c r="I131" s="18" t="s">
        <v>157</v>
      </c>
      <c r="J131" s="19" t="s">
        <v>119</v>
      </c>
    </row>
    <row r="132" spans="1:10" ht="18.600000000000001" thickBot="1" x14ac:dyDescent="0.35">
      <c r="A132" s="90" t="s">
        <v>70</v>
      </c>
      <c r="B132" s="92">
        <f>B131/(229400000000000000)</f>
        <v>-2.4885118235396688E-16</v>
      </c>
      <c r="D132" s="35">
        <f t="shared" si="24"/>
        <v>700</v>
      </c>
      <c r="E132" s="86">
        <f t="shared" si="22"/>
        <v>0</v>
      </c>
      <c r="F132" s="52">
        <f t="shared" si="23"/>
        <v>2</v>
      </c>
      <c r="H132" s="190" t="s">
        <v>156</v>
      </c>
      <c r="I132" s="192">
        <f>$I$5+$B$131</f>
        <v>-57.054050231999994</v>
      </c>
      <c r="J132" s="28">
        <f>$I$132*627.503</f>
        <v>-35801.587682730693</v>
      </c>
    </row>
    <row r="133" spans="1:10" ht="15.6" x14ac:dyDescent="0.3">
      <c r="A133" s="90" t="s">
        <v>71</v>
      </c>
      <c r="B133" s="90">
        <f>3.25263E-19</f>
        <v>3.2526300000000002E-19</v>
      </c>
      <c r="D133" s="35">
        <f t="shared" si="24"/>
        <v>800</v>
      </c>
      <c r="E133" s="86">
        <f t="shared" si="22"/>
        <v>0</v>
      </c>
      <c r="F133" s="52">
        <f t="shared" si="23"/>
        <v>2</v>
      </c>
    </row>
    <row r="134" spans="1:10" ht="18" x14ac:dyDescent="0.3">
      <c r="A134" s="90" t="s">
        <v>72</v>
      </c>
      <c r="B134" s="167">
        <f>B132+B133</f>
        <v>-2.4852591935396686E-16</v>
      </c>
      <c r="D134" s="35">
        <f t="shared" si="24"/>
        <v>900</v>
      </c>
      <c r="E134" s="86">
        <f t="shared" si="22"/>
        <v>0</v>
      </c>
      <c r="F134" s="52">
        <f t="shared" si="23"/>
        <v>2</v>
      </c>
    </row>
    <row r="135" spans="1:10" ht="18" x14ac:dyDescent="0.3">
      <c r="A135" s="90" t="s">
        <v>73</v>
      </c>
      <c r="B135" s="90">
        <v>2</v>
      </c>
      <c r="D135" s="35">
        <f t="shared" si="24"/>
        <v>1000</v>
      </c>
      <c r="E135" s="86">
        <f t="shared" si="22"/>
        <v>0</v>
      </c>
      <c r="F135" s="52">
        <f t="shared" si="23"/>
        <v>2</v>
      </c>
    </row>
    <row r="136" spans="1:10" ht="15.6" x14ac:dyDescent="0.3">
      <c r="A136" s="5" t="s">
        <v>74</v>
      </c>
      <c r="B136" s="51">
        <f>A2*D128</f>
        <v>4.1162588999999997E-21</v>
      </c>
      <c r="D136" s="35">
        <f t="shared" si="24"/>
        <v>1100</v>
      </c>
      <c r="E136" s="86">
        <f t="shared" si="22"/>
        <v>0</v>
      </c>
      <c r="F136" s="52">
        <f t="shared" si="23"/>
        <v>2</v>
      </c>
    </row>
    <row r="137" spans="1:10" ht="15.6" x14ac:dyDescent="0.3">
      <c r="D137" s="35">
        <f t="shared" si="24"/>
        <v>1200</v>
      </c>
      <c r="E137" s="86">
        <f t="shared" si="22"/>
        <v>0</v>
      </c>
      <c r="F137" s="52">
        <f t="shared" si="23"/>
        <v>2</v>
      </c>
    </row>
    <row r="138" spans="1:10" ht="15.6" x14ac:dyDescent="0.3">
      <c r="D138" s="35">
        <f t="shared" si="24"/>
        <v>1300</v>
      </c>
      <c r="E138" s="86">
        <f t="shared" si="22"/>
        <v>0</v>
      </c>
      <c r="F138" s="52">
        <f t="shared" si="23"/>
        <v>2</v>
      </c>
    </row>
    <row r="139" spans="1:10" ht="15.6" x14ac:dyDescent="0.3">
      <c r="D139" s="35">
        <f t="shared" si="24"/>
        <v>1400</v>
      </c>
      <c r="E139" s="86">
        <f t="shared" si="22"/>
        <v>0</v>
      </c>
      <c r="F139" s="52">
        <f t="shared" si="23"/>
        <v>2</v>
      </c>
    </row>
    <row r="140" spans="1:10" ht="15.6" x14ac:dyDescent="0.3">
      <c r="D140" s="35">
        <f t="shared" si="24"/>
        <v>1500</v>
      </c>
      <c r="E140" s="86">
        <f t="shared" si="22"/>
        <v>0</v>
      </c>
      <c r="F140" s="52">
        <f t="shared" si="23"/>
        <v>2</v>
      </c>
    </row>
    <row r="141" spans="1:10" ht="15.6" x14ac:dyDescent="0.3">
      <c r="D141" s="35">
        <f t="shared" si="24"/>
        <v>1600</v>
      </c>
      <c r="E141" s="86">
        <f t="shared" si="22"/>
        <v>0</v>
      </c>
      <c r="F141" s="52">
        <f t="shared" si="23"/>
        <v>2</v>
      </c>
    </row>
    <row r="142" spans="1:10" ht="15.6" x14ac:dyDescent="0.3">
      <c r="D142" s="35">
        <f t="shared" si="24"/>
        <v>1700</v>
      </c>
      <c r="E142" s="86">
        <f t="shared" si="22"/>
        <v>0</v>
      </c>
      <c r="F142" s="52">
        <f t="shared" si="23"/>
        <v>2</v>
      </c>
    </row>
    <row r="143" spans="1:10" ht="15.6" x14ac:dyDescent="0.3">
      <c r="D143" s="35">
        <f t="shared" si="24"/>
        <v>1800</v>
      </c>
      <c r="E143" s="86">
        <f t="shared" si="22"/>
        <v>0</v>
      </c>
      <c r="F143" s="52">
        <f t="shared" si="23"/>
        <v>2</v>
      </c>
    </row>
    <row r="144" spans="1:10" ht="15.6" x14ac:dyDescent="0.3">
      <c r="D144" s="35">
        <f t="shared" si="24"/>
        <v>1900</v>
      </c>
      <c r="E144" s="86">
        <f t="shared" si="22"/>
        <v>0</v>
      </c>
      <c r="F144" s="52">
        <f t="shared" si="23"/>
        <v>2</v>
      </c>
    </row>
    <row r="145" spans="4:13" ht="15.6" x14ac:dyDescent="0.3">
      <c r="D145" s="35">
        <f t="shared" si="24"/>
        <v>2000</v>
      </c>
      <c r="E145" s="86">
        <f t="shared" si="22"/>
        <v>0</v>
      </c>
      <c r="F145" s="52">
        <f t="shared" si="23"/>
        <v>2</v>
      </c>
    </row>
    <row r="146" spans="4:13" ht="16.2" thickBot="1" x14ac:dyDescent="0.35">
      <c r="D146" s="26">
        <f t="shared" si="24"/>
        <v>2100</v>
      </c>
      <c r="E146" s="93">
        <f t="shared" si="22"/>
        <v>0</v>
      </c>
      <c r="F146" s="25">
        <f t="shared" si="23"/>
        <v>2</v>
      </c>
    </row>
    <row r="151" spans="4:13" ht="15" thickBot="1" x14ac:dyDescent="0.35">
      <c r="H151" s="5" t="s">
        <v>75</v>
      </c>
    </row>
    <row r="152" spans="4:13" ht="20.399999999999999" x14ac:dyDescent="0.3">
      <c r="D152" s="95" t="s">
        <v>46</v>
      </c>
      <c r="E152" s="96" t="s">
        <v>76</v>
      </c>
      <c r="F152" s="97" t="s">
        <v>77</v>
      </c>
      <c r="G152" s="97" t="s">
        <v>78</v>
      </c>
      <c r="H152" s="97" t="s">
        <v>79</v>
      </c>
      <c r="I152" s="98" t="s">
        <v>80</v>
      </c>
    </row>
    <row r="153" spans="4:13" ht="15.6" x14ac:dyDescent="0.3">
      <c r="D153" s="35">
        <f>298.15</f>
        <v>298.14999999999998</v>
      </c>
      <c r="E153" s="99">
        <f xml:space="preserve"> ( SQRT($B$2)/$B$6) * SQRT(  (D153*D153*D153) / ($E$11 * $F$11 * $G$11 ) )</f>
        <v>757.8097936989036</v>
      </c>
      <c r="F153" s="92">
        <f>2</f>
        <v>2</v>
      </c>
      <c r="G153" s="51">
        <f xml:space="preserve"> ( (2*$B$2*$E$2*$A$2*D153)/($C$2*$C$2) )^(1.5) * ($A$2*D153) /$F$83</f>
        <v>3008536.4432970551</v>
      </c>
      <c r="H153" s="51">
        <f>PRODUCT(E54:E65)</f>
        <v>1.0854343539264333</v>
      </c>
      <c r="I153" s="168">
        <f>PRODUCT(E153:H153)</f>
        <v>4949360053.3320332</v>
      </c>
      <c r="J153" s="61"/>
      <c r="K153" s="85"/>
      <c r="M153" s="51"/>
    </row>
    <row r="154" spans="4:13" ht="15.6" x14ac:dyDescent="0.3">
      <c r="D154" s="35">
        <f>300+100</f>
        <v>400</v>
      </c>
      <c r="E154" s="99">
        <f t="shared" ref="E154:E171" si="25" xml:space="preserve"> ( SQRT($B$2)/$B$6) * SQRT(  (D154*D154*D154) / ($E$11 * $F$11 * $G$11 ) )</f>
        <v>1177.6004965843308</v>
      </c>
      <c r="F154" s="92">
        <f>2</f>
        <v>2</v>
      </c>
      <c r="G154" s="51">
        <f t="shared" ref="G154:G171" si="26" xml:space="preserve"> ( (2*$B$2*$E$2*$A$2*D154)/($C$2*$C$2) )^(1.5) * ($A$2*D154) /$F$83</f>
        <v>6272175.7743111476</v>
      </c>
      <c r="H154" s="51">
        <f>PRODUCT(F54:F65)</f>
        <v>1.2441756924794383</v>
      </c>
      <c r="I154" s="63">
        <f>PRODUCT(E154:H154)</f>
        <v>18379255229.080627</v>
      </c>
      <c r="M154" s="101"/>
    </row>
    <row r="155" spans="4:13" ht="15.6" x14ac:dyDescent="0.3">
      <c r="D155" s="35">
        <f t="shared" ref="D155:D171" si="27">D154+100</f>
        <v>500</v>
      </c>
      <c r="E155" s="99">
        <f t="shared" si="25"/>
        <v>1645.7467254375454</v>
      </c>
      <c r="F155" s="92">
        <f>2</f>
        <v>2</v>
      </c>
      <c r="G155" s="51">
        <f t="shared" si="26"/>
        <v>10957040.154833581</v>
      </c>
      <c r="H155" s="51">
        <f>PRODUCT(G54:G65)</f>
        <v>1.5006386579839708</v>
      </c>
      <c r="I155" s="63">
        <f>PRODUCT(E155:H155)</f>
        <v>54120572082.655106</v>
      </c>
      <c r="J155" s="5" t="s">
        <v>81</v>
      </c>
    </row>
    <row r="156" spans="4:13" ht="16.2" thickBot="1" x14ac:dyDescent="0.35">
      <c r="D156" s="35">
        <f t="shared" si="27"/>
        <v>600</v>
      </c>
      <c r="E156" s="99">
        <f t="shared" si="25"/>
        <v>2163.3902531097715</v>
      </c>
      <c r="F156" s="92">
        <f>2</f>
        <v>2</v>
      </c>
      <c r="G156" s="51">
        <f t="shared" si="26"/>
        <v>17284084.00212172</v>
      </c>
      <c r="H156" s="51">
        <f>PRODUCT(H54:H65)</f>
        <v>1.8793181078180234</v>
      </c>
      <c r="I156" s="63">
        <f t="shared" ref="I156:I171" si="28">PRODUCT(E156:H156)</f>
        <v>140543748005.67328</v>
      </c>
    </row>
    <row r="157" spans="4:13" ht="16.2" thickBot="1" x14ac:dyDescent="0.35">
      <c r="D157" s="35">
        <f t="shared" si="27"/>
        <v>700</v>
      </c>
      <c r="E157" s="99">
        <f t="shared" si="25"/>
        <v>2726.1833005297681</v>
      </c>
      <c r="F157" s="92">
        <f>2</f>
        <v>2</v>
      </c>
      <c r="G157" s="51">
        <f t="shared" si="26"/>
        <v>25410507.707107738</v>
      </c>
      <c r="H157" s="51">
        <f>PRODUCT(I54:I65)</f>
        <v>2.4130136104362285</v>
      </c>
      <c r="I157" s="63">
        <f t="shared" si="28"/>
        <v>334316770428.27747</v>
      </c>
      <c r="L157" s="16" t="s">
        <v>60</v>
      </c>
    </row>
    <row r="158" spans="4:13" ht="15.6" x14ac:dyDescent="0.3">
      <c r="D158" s="35">
        <f t="shared" si="27"/>
        <v>800</v>
      </c>
      <c r="E158" s="99">
        <f t="shared" si="25"/>
        <v>3330.7571866537046</v>
      </c>
      <c r="F158" s="92">
        <f>2</f>
        <v>2</v>
      </c>
      <c r="G158" s="51">
        <f t="shared" si="26"/>
        <v>35480784.18247477</v>
      </c>
      <c r="H158" s="51">
        <f>PRODUCT(J54:J65)</f>
        <v>3.1471416145690561</v>
      </c>
      <c r="I158" s="63">
        <f t="shared" si="28"/>
        <v>743845028651.28381</v>
      </c>
      <c r="J158" s="77" t="s">
        <v>61</v>
      </c>
      <c r="K158" s="17" t="s">
        <v>82</v>
      </c>
      <c r="L158" s="83">
        <f>I153</f>
        <v>4949360053.3320332</v>
      </c>
    </row>
    <row r="159" spans="4:13" ht="16.2" thickBot="1" x14ac:dyDescent="0.35">
      <c r="D159" s="35">
        <f t="shared" si="27"/>
        <v>900</v>
      </c>
      <c r="E159" s="99">
        <f t="shared" si="25"/>
        <v>3974.4016759721167</v>
      </c>
      <c r="F159" s="92">
        <f>2</f>
        <v>2</v>
      </c>
      <c r="G159" s="51">
        <f t="shared" si="26"/>
        <v>47629334.78617467</v>
      </c>
      <c r="H159" s="51">
        <f>PRODUCT(K54:K65)</f>
        <v>4.1422427775205168</v>
      </c>
      <c r="I159" s="63">
        <f t="shared" si="28"/>
        <v>1568237441319.3638</v>
      </c>
      <c r="J159" s="61" t="s">
        <v>63</v>
      </c>
      <c r="K159" s="26" t="s">
        <v>82</v>
      </c>
      <c r="L159" s="84">
        <v>4937480000</v>
      </c>
    </row>
    <row r="160" spans="4:13" ht="15.6" x14ac:dyDescent="0.3">
      <c r="D160" s="35">
        <f t="shared" si="27"/>
        <v>1000</v>
      </c>
      <c r="E160" s="99">
        <f t="shared" si="25"/>
        <v>4654.8746786897746</v>
      </c>
      <c r="F160" s="92">
        <f>2</f>
        <v>2</v>
      </c>
      <c r="G160" s="51">
        <f t="shared" si="26"/>
        <v>61982379.161728293</v>
      </c>
      <c r="H160" s="51">
        <f>PRODUCT(L54:L65)</f>
        <v>5.4771789527845307</v>
      </c>
      <c r="I160" s="63">
        <f t="shared" si="28"/>
        <v>3160553613587.5249</v>
      </c>
      <c r="L160" s="80" t="s">
        <v>57</v>
      </c>
    </row>
    <row r="161" spans="1:12" ht="15.6" x14ac:dyDescent="0.3">
      <c r="D161" s="35">
        <f t="shared" si="27"/>
        <v>1100</v>
      </c>
      <c r="E161" s="99">
        <f t="shared" si="25"/>
        <v>5370.281125146329</v>
      </c>
      <c r="F161" s="92">
        <f>2</f>
        <v>2</v>
      </c>
      <c r="G161" s="51">
        <f t="shared" si="26"/>
        <v>78659277.91150561</v>
      </c>
      <c r="H161" s="51">
        <f>PRODUCT(M54:M65)</f>
        <v>7.2531325394340271</v>
      </c>
      <c r="I161" s="63">
        <f t="shared" si="28"/>
        <v>6127771824418.0273</v>
      </c>
      <c r="L161" s="102">
        <f>ABS(L158-L159)/L159</f>
        <v>2.4060964970051843E-3</v>
      </c>
    </row>
    <row r="162" spans="1:12" ht="15.6" x14ac:dyDescent="0.3">
      <c r="D162" s="35">
        <f t="shared" si="27"/>
        <v>1200</v>
      </c>
      <c r="E162" s="99">
        <f t="shared" si="25"/>
        <v>6118.9916733072032</v>
      </c>
      <c r="F162" s="92">
        <f>2</f>
        <v>2</v>
      </c>
      <c r="G162" s="51">
        <f t="shared" si="26"/>
        <v>97773544.035985783</v>
      </c>
      <c r="H162" s="51">
        <f>PRODUCT(N54:N65)</f>
        <v>9.5984804478694805</v>
      </c>
      <c r="I162" s="63">
        <f t="shared" si="28"/>
        <v>11485071413431.021</v>
      </c>
    </row>
    <row r="163" spans="1:12" ht="15.6" x14ac:dyDescent="0.3">
      <c r="D163" s="35">
        <f t="shared" si="27"/>
        <v>1300</v>
      </c>
      <c r="E163" s="99">
        <f t="shared" si="25"/>
        <v>6899.5858302258248</v>
      </c>
      <c r="F163" s="92">
        <f>2</f>
        <v>2</v>
      </c>
      <c r="G163" s="51">
        <f t="shared" si="26"/>
        <v>119433627.51085342</v>
      </c>
      <c r="H163" s="51">
        <f>PRODUCT(O54:O65)</f>
        <v>12.674627318467136</v>
      </c>
      <c r="I163" s="63">
        <f t="shared" si="28"/>
        <v>20888864787176.25</v>
      </c>
      <c r="J163" s="85"/>
    </row>
    <row r="164" spans="1:12" ht="15.6" x14ac:dyDescent="0.3">
      <c r="D164" s="35">
        <f t="shared" si="27"/>
        <v>1400</v>
      </c>
      <c r="E164" s="99">
        <f t="shared" si="25"/>
        <v>7710.8107942484912</v>
      </c>
      <c r="F164" s="92">
        <f>2</f>
        <v>2</v>
      </c>
      <c r="G164" s="51">
        <f t="shared" si="26"/>
        <v>143743538.50471172</v>
      </c>
      <c r="H164" s="51">
        <f>PRODUCT(P54:P65)</f>
        <v>16.68290166138588</v>
      </c>
      <c r="I164" s="63">
        <f t="shared" si="28"/>
        <v>36981963338690.344</v>
      </c>
    </row>
    <row r="165" spans="1:12" ht="15.6" x14ac:dyDescent="0.3">
      <c r="D165" s="35">
        <f t="shared" si="27"/>
        <v>1500</v>
      </c>
      <c r="E165" s="99">
        <f t="shared" si="25"/>
        <v>8551.5508345438084</v>
      </c>
      <c r="F165" s="92">
        <f>2</f>
        <v>2</v>
      </c>
      <c r="G165" s="51">
        <f t="shared" si="26"/>
        <v>170803352.23869649</v>
      </c>
      <c r="H165" s="51">
        <f>PRODUCT(Q54:Q65)</f>
        <v>21.872636134428387</v>
      </c>
      <c r="I165" s="63">
        <f t="shared" si="28"/>
        <v>63895812302641.852</v>
      </c>
    </row>
    <row r="166" spans="1:12" ht="15.6" x14ac:dyDescent="0.3">
      <c r="D166" s="35">
        <f t="shared" si="27"/>
        <v>1600</v>
      </c>
      <c r="E166" s="99">
        <f t="shared" si="25"/>
        <v>9420.8039726746465</v>
      </c>
      <c r="F166" s="92">
        <f>2</f>
        <v>2</v>
      </c>
      <c r="G166" s="51">
        <f t="shared" si="26"/>
        <v>200709624.777955</v>
      </c>
      <c r="H166" s="51">
        <f>PRODUCT(R54:R65)</f>
        <v>28.550568776351916</v>
      </c>
      <c r="I166" s="63">
        <f t="shared" si="28"/>
        <v>107969459276405.88</v>
      </c>
    </row>
    <row r="167" spans="1:12" ht="15.6" x14ac:dyDescent="0.3">
      <c r="D167" s="35">
        <f t="shared" si="27"/>
        <v>1700</v>
      </c>
      <c r="E167" s="99">
        <f t="shared" si="25"/>
        <v>10317.663868418636</v>
      </c>
      <c r="F167" s="92">
        <f>2</f>
        <v>2</v>
      </c>
      <c r="G167" s="51">
        <f t="shared" si="26"/>
        <v>233555740.32994819</v>
      </c>
      <c r="H167" s="51">
        <f>PRODUCT(S54:S65)</f>
        <v>37.091716372795581</v>
      </c>
      <c r="I167" s="63">
        <f t="shared" si="28"/>
        <v>178763499111123.91</v>
      </c>
    </row>
    <row r="168" spans="1:12" ht="15.6" x14ac:dyDescent="0.3">
      <c r="D168" s="35">
        <f t="shared" si="27"/>
        <v>1800</v>
      </c>
      <c r="E168" s="99">
        <f t="shared" si="25"/>
        <v>11241.305504956254</v>
      </c>
      <c r="F168" s="92">
        <f>2</f>
        <v>2</v>
      </c>
      <c r="G168" s="51">
        <f t="shared" si="26"/>
        <v>269432204.88566816</v>
      </c>
      <c r="H168" s="51">
        <f>PRODUCT(T54:T65)</f>
        <v>47.951884886093374</v>
      </c>
      <c r="I168" s="63">
        <f t="shared" si="28"/>
        <v>290470434686482.5</v>
      </c>
    </row>
    <row r="169" spans="1:12" ht="15.6" x14ac:dyDescent="0.3">
      <c r="D169" s="35">
        <f t="shared" si="27"/>
        <v>1900</v>
      </c>
      <c r="E169" s="99">
        <f t="shared" si="25"/>
        <v>12190.97370612673</v>
      </c>
      <c r="F169" s="92">
        <f>2</f>
        <v>2</v>
      </c>
      <c r="G169" s="51">
        <f t="shared" si="26"/>
        <v>308426897.14502919</v>
      </c>
      <c r="H169" s="51">
        <f>PRODUCT(U54:U65)</f>
        <v>61.681995449156346</v>
      </c>
      <c r="I169" s="63">
        <f>PRODUCT(E169:H169)</f>
        <v>463851590366766</v>
      </c>
    </row>
    <row r="170" spans="1:12" ht="15.6" x14ac:dyDescent="0.3">
      <c r="D170" s="35">
        <f t="shared" si="27"/>
        <v>2000</v>
      </c>
      <c r="E170" s="99">
        <f t="shared" si="25"/>
        <v>13165.973803500363</v>
      </c>
      <c r="F170" s="92">
        <f>2</f>
        <v>2</v>
      </c>
      <c r="G170" s="51">
        <f t="shared" si="26"/>
        <v>350625284.95467162</v>
      </c>
      <c r="H170" s="51">
        <f>PRODUCT(V54:V65)</f>
        <v>78.944418064255075</v>
      </c>
      <c r="I170" s="63">
        <f t="shared" si="28"/>
        <v>728865915644255.5</v>
      </c>
    </row>
    <row r="171" spans="1:12" ht="16.2" thickBot="1" x14ac:dyDescent="0.35">
      <c r="D171" s="26">
        <f t="shared" si="27"/>
        <v>2100</v>
      </c>
      <c r="E171" s="103">
        <f t="shared" si="25"/>
        <v>14165.663961790116</v>
      </c>
      <c r="F171" s="104">
        <f>2</f>
        <v>2</v>
      </c>
      <c r="G171" s="55">
        <f t="shared" si="26"/>
        <v>396110613.5534789</v>
      </c>
      <c r="H171" s="55">
        <f>PRODUCT(W54:W65)</f>
        <v>100.53151901328778</v>
      </c>
      <c r="I171" s="65">
        <f t="shared" si="28"/>
        <v>1128198855576416.5</v>
      </c>
    </row>
    <row r="172" spans="1:12" x14ac:dyDescent="0.3">
      <c r="H172" s="51"/>
    </row>
    <row r="174" spans="1:12" ht="15" thickBot="1" x14ac:dyDescent="0.35">
      <c r="A174" s="5" t="s">
        <v>84</v>
      </c>
      <c r="B174" s="196" t="s">
        <v>85</v>
      </c>
      <c r="C174" s="196"/>
      <c r="D174" s="196"/>
      <c r="E174" s="196"/>
      <c r="F174" s="196"/>
      <c r="G174" s="105"/>
      <c r="H174" s="196" t="s">
        <v>86</v>
      </c>
      <c r="I174" s="196"/>
      <c r="J174" s="196"/>
      <c r="K174" s="196"/>
    </row>
    <row r="175" spans="1:12" ht="18" x14ac:dyDescent="0.3">
      <c r="A175" s="5" t="s">
        <v>87</v>
      </c>
      <c r="B175" s="96" t="s">
        <v>46</v>
      </c>
      <c r="C175" s="16" t="s">
        <v>88</v>
      </c>
      <c r="D175" s="16" t="s">
        <v>36</v>
      </c>
      <c r="E175" s="16" t="s">
        <v>37</v>
      </c>
      <c r="F175" s="16" t="s">
        <v>89</v>
      </c>
      <c r="G175" s="105" t="s">
        <v>90</v>
      </c>
      <c r="H175" s="96" t="s">
        <v>46</v>
      </c>
      <c r="I175" s="16" t="s">
        <v>88</v>
      </c>
      <c r="J175" s="16" t="s">
        <v>36</v>
      </c>
      <c r="K175" s="16" t="s">
        <v>37</v>
      </c>
      <c r="L175" s="16" t="s">
        <v>89</v>
      </c>
    </row>
    <row r="176" spans="1:12" ht="15" thickBot="1" x14ac:dyDescent="0.35">
      <c r="B176" s="35">
        <f>298.15</f>
        <v>298.14999999999998</v>
      </c>
      <c r="C176" s="53">
        <f>3/2*$D$2*B176</f>
        <v>3718.4397401999995</v>
      </c>
      <c r="D176" s="53">
        <f t="shared" ref="D176:D194" si="29">3/2*$D$2*B176</f>
        <v>3718.4397401999995</v>
      </c>
      <c r="E176" s="53" cm="1">
        <f t="array" ref="E176">$D$2*SUM( ($B$12:$B$19)/(EXP($B$12:$B$19/B176)-1) + 0.5*$B$12:$B$19)</f>
        <v>85561.563086111681</v>
      </c>
      <c r="F176" s="56">
        <v>0</v>
      </c>
      <c r="H176" s="179">
        <f>298.15</f>
        <v>298.14999999999998</v>
      </c>
      <c r="I176" s="106">
        <f>3/2*$D$2*H176 /4184</f>
        <v>0.8887284273900572</v>
      </c>
      <c r="J176" s="106">
        <f>3/2*$D$2*H176 / 4184</f>
        <v>0.8887284273900572</v>
      </c>
      <c r="K176" s="106" cm="1">
        <f t="array" ref="K176">$D$2*SUM( ($B$12:$B$19)/(EXP($B$12:$B$19/B176)-1) + 0.5*$B$12:$B$19) / 4184</f>
        <v>20.449704370485584</v>
      </c>
      <c r="L176" s="107">
        <f xml:space="preserve"> F176/4184</f>
        <v>0</v>
      </c>
    </row>
    <row r="177" spans="2:14" x14ac:dyDescent="0.3">
      <c r="B177" s="35">
        <f>300+100</f>
        <v>400</v>
      </c>
      <c r="C177" s="53">
        <f t="shared" ref="C177:C194" si="30">3/2*$D$2*B177</f>
        <v>4988.6831999999995</v>
      </c>
      <c r="D177" s="53">
        <f t="shared" si="29"/>
        <v>4988.6831999999995</v>
      </c>
      <c r="E177" s="53" cm="1">
        <f t="array" ref="E177">$D$2*SUM( ($B$12:$B$19)/(EXP($B$12:$B$19/B177)-1) + 0.5*$B$12:$B$19)</f>
        <v>86835.601366894945</v>
      </c>
      <c r="H177" s="35">
        <f>300+100</f>
        <v>400</v>
      </c>
      <c r="I177" s="53">
        <f t="shared" ref="I177:I194" si="31">3/2*$D$2*H177 /4184</f>
        <v>1.1923239005736137</v>
      </c>
      <c r="J177" s="53">
        <f t="shared" ref="J177:J194" si="32">3/2*$D$2*H177 / 4184</f>
        <v>1.1923239005736137</v>
      </c>
      <c r="K177" s="53">
        <f>E177/ 4184</f>
        <v>20.754206827651757</v>
      </c>
      <c r="M177" s="200" t="s">
        <v>91</v>
      </c>
      <c r="N177" s="200"/>
    </row>
    <row r="178" spans="2:14" ht="18.600000000000001" thickBot="1" x14ac:dyDescent="0.35">
      <c r="B178" s="35">
        <f t="shared" ref="B178:B194" si="33">B177+100</f>
        <v>500</v>
      </c>
      <c r="C178" s="53">
        <f t="shared" si="30"/>
        <v>6235.8539999999994</v>
      </c>
      <c r="D178" s="53">
        <f t="shared" si="29"/>
        <v>6235.8539999999994</v>
      </c>
      <c r="E178" s="53" cm="1">
        <f t="array" ref="E178">$D$2*SUM( ($B$12:$B$19)/(EXP($B$12:$B$19/B178)-1) + 0.5*$B$12:$B$19)</f>
        <v>88722.437663843302</v>
      </c>
      <c r="H178" s="35">
        <f t="shared" ref="H178:H194" si="34">H177+100</f>
        <v>500</v>
      </c>
      <c r="I178" s="53">
        <f t="shared" si="31"/>
        <v>1.490404875717017</v>
      </c>
      <c r="J178" s="53">
        <f t="shared" si="32"/>
        <v>1.490404875717017</v>
      </c>
      <c r="K178" s="53">
        <f t="shared" ref="K178:K194" si="35">E178/ 4184</f>
        <v>21.205171525775167</v>
      </c>
      <c r="M178" s="207" t="s">
        <v>92</v>
      </c>
      <c r="N178" s="207"/>
    </row>
    <row r="179" spans="2:14" x14ac:dyDescent="0.3">
      <c r="B179" s="35">
        <f t="shared" si="33"/>
        <v>600</v>
      </c>
      <c r="C179" s="53">
        <f t="shared" si="30"/>
        <v>7483.0248000000001</v>
      </c>
      <c r="D179" s="53">
        <f t="shared" si="29"/>
        <v>7483.0248000000001</v>
      </c>
      <c r="E179" s="53" cm="1">
        <f t="array" ref="E179">$D$2*SUM( ($B$12:$B$19)/(EXP($B$12:$B$19/B179)-1) + 0.5*$B$12:$B$19)</f>
        <v>91164.736925526027</v>
      </c>
      <c r="H179" s="35">
        <f t="shared" si="34"/>
        <v>600</v>
      </c>
      <c r="I179" s="53">
        <f t="shared" si="31"/>
        <v>1.7884858508604207</v>
      </c>
      <c r="J179" s="53">
        <f t="shared" si="32"/>
        <v>1.7884858508604207</v>
      </c>
      <c r="K179" s="53">
        <f t="shared" si="35"/>
        <v>21.78889505868213</v>
      </c>
      <c r="M179" s="154"/>
      <c r="N179" s="156" t="s">
        <v>28</v>
      </c>
    </row>
    <row r="180" spans="2:14" x14ac:dyDescent="0.3">
      <c r="B180" s="35">
        <f t="shared" si="33"/>
        <v>700</v>
      </c>
      <c r="C180" s="53">
        <f t="shared" si="30"/>
        <v>8730.1955999999991</v>
      </c>
      <c r="D180" s="53">
        <f t="shared" si="29"/>
        <v>8730.1955999999991</v>
      </c>
      <c r="E180" s="53" cm="1">
        <f t="array" ref="E180">$D$2*SUM( ($B$12:$B$19)/(EXP($B$12:$B$19/B180)-1) + 0.5*$B$12:$B$19)</f>
        <v>94083.421570746592</v>
      </c>
      <c r="H180" s="35">
        <f t="shared" si="34"/>
        <v>700</v>
      </c>
      <c r="I180" s="53">
        <f t="shared" si="31"/>
        <v>2.0865668260038239</v>
      </c>
      <c r="J180" s="53">
        <f t="shared" si="32"/>
        <v>2.0865668260038239</v>
      </c>
      <c r="K180" s="53">
        <f t="shared" si="35"/>
        <v>22.486477430866778</v>
      </c>
      <c r="M180" s="157"/>
      <c r="N180" s="158" t="s">
        <v>31</v>
      </c>
    </row>
    <row r="181" spans="2:14" x14ac:dyDescent="0.3">
      <c r="B181" s="35">
        <f t="shared" si="33"/>
        <v>800</v>
      </c>
      <c r="C181" s="53">
        <f t="shared" si="30"/>
        <v>9977.366399999999</v>
      </c>
      <c r="D181" s="53">
        <f t="shared" si="29"/>
        <v>9977.366399999999</v>
      </c>
      <c r="E181" s="53" cm="1">
        <f t="array" ref="E181">$D$2*SUM( ($B$12:$B$19)/(EXP($B$12:$B$19/B181)-1) + 0.5*$B$12:$B$19)</f>
        <v>97410.88682063247</v>
      </c>
      <c r="H181" s="35">
        <f t="shared" si="34"/>
        <v>800</v>
      </c>
      <c r="I181" s="53">
        <f t="shared" si="31"/>
        <v>2.3846478011472274</v>
      </c>
      <c r="J181" s="53">
        <f t="shared" si="32"/>
        <v>2.3846478011472274</v>
      </c>
      <c r="K181" s="53">
        <f t="shared" si="35"/>
        <v>23.281760712388259</v>
      </c>
      <c r="M181" s="157" t="s">
        <v>33</v>
      </c>
      <c r="N181" s="158">
        <v>22.227</v>
      </c>
    </row>
    <row r="182" spans="2:14" x14ac:dyDescent="0.3">
      <c r="B182" s="35">
        <f t="shared" si="33"/>
        <v>900</v>
      </c>
      <c r="C182" s="53">
        <f t="shared" si="30"/>
        <v>11224.537199999999</v>
      </c>
      <c r="D182" s="53">
        <f t="shared" si="29"/>
        <v>11224.537199999999</v>
      </c>
      <c r="E182" s="53" cm="1">
        <f t="array" ref="E182">$D$2*SUM( ($B$12:$B$19)/(EXP($B$12:$B$19/B182)-1) + 0.5*$B$12:$B$19)</f>
        <v>101092.1840949688</v>
      </c>
      <c r="H182" s="35">
        <f t="shared" si="34"/>
        <v>900</v>
      </c>
      <c r="I182" s="53">
        <f t="shared" si="31"/>
        <v>2.6827287762906309</v>
      </c>
      <c r="J182" s="53">
        <f t="shared" si="32"/>
        <v>2.6827287762906309</v>
      </c>
      <c r="K182" s="53">
        <f t="shared" si="35"/>
        <v>24.161611877382601</v>
      </c>
      <c r="M182" s="157" t="s">
        <v>34</v>
      </c>
      <c r="N182" s="158">
        <v>0</v>
      </c>
    </row>
    <row r="183" spans="2:14" x14ac:dyDescent="0.3">
      <c r="B183" s="35">
        <f t="shared" si="33"/>
        <v>1000</v>
      </c>
      <c r="C183" s="53">
        <f t="shared" si="30"/>
        <v>12471.707999999999</v>
      </c>
      <c r="D183" s="53">
        <f t="shared" si="29"/>
        <v>12471.707999999999</v>
      </c>
      <c r="E183" s="53" cm="1">
        <f t="array" ref="E183">$D$2*SUM( ($B$12:$B$19)/(EXP($B$12:$B$19/B183)-1) + 0.5*$B$12:$B$19)</f>
        <v>105082.16868906487</v>
      </c>
      <c r="H183" s="35">
        <f t="shared" si="34"/>
        <v>1000</v>
      </c>
      <c r="I183" s="53">
        <f t="shared" si="31"/>
        <v>2.9808097514340339</v>
      </c>
      <c r="J183" s="53">
        <f t="shared" si="32"/>
        <v>2.9808097514340339</v>
      </c>
      <c r="K183" s="53">
        <f t="shared" si="35"/>
        <v>25.115241082472483</v>
      </c>
      <c r="M183" s="157" t="s">
        <v>35</v>
      </c>
      <c r="N183" s="158">
        <v>0.88900000000000001</v>
      </c>
    </row>
    <row r="184" spans="2:14" x14ac:dyDescent="0.3">
      <c r="B184" s="35">
        <f t="shared" si="33"/>
        <v>1100</v>
      </c>
      <c r="C184" s="53">
        <f t="shared" si="30"/>
        <v>13718.8788</v>
      </c>
      <c r="D184" s="53">
        <f t="shared" si="29"/>
        <v>13718.8788</v>
      </c>
      <c r="E184" s="53" cm="1">
        <f t="array" ref="E184">$D$2*SUM( ($B$12:$B$19)/(EXP($B$12:$B$19/B184)-1) + 0.5*$B$12:$B$19)</f>
        <v>109342.78421829906</v>
      </c>
      <c r="H184" s="35">
        <f t="shared" si="34"/>
        <v>1100</v>
      </c>
      <c r="I184" s="53">
        <f t="shared" si="31"/>
        <v>3.2788907265774379</v>
      </c>
      <c r="J184" s="53">
        <f t="shared" si="32"/>
        <v>3.2788907265774379</v>
      </c>
      <c r="K184" s="53">
        <f t="shared" si="35"/>
        <v>26.133552633436675</v>
      </c>
      <c r="M184" s="157" t="s">
        <v>36</v>
      </c>
      <c r="N184" s="158">
        <v>0.88900000000000001</v>
      </c>
    </row>
    <row r="185" spans="2:14" ht="15" thickBot="1" x14ac:dyDescent="0.35">
      <c r="B185" s="35">
        <f t="shared" si="33"/>
        <v>1200</v>
      </c>
      <c r="C185" s="53">
        <f t="shared" si="30"/>
        <v>14966.0496</v>
      </c>
      <c r="D185" s="53">
        <f t="shared" si="29"/>
        <v>14966.0496</v>
      </c>
      <c r="E185" s="53" cm="1">
        <f t="array" ref="E185">$D$2*SUM( ($B$12:$B$19)/(EXP($B$12:$B$19/B185)-1) + 0.5*$B$12:$B$19)</f>
        <v>113841.28437373514</v>
      </c>
      <c r="H185" s="35">
        <f t="shared" si="34"/>
        <v>1200</v>
      </c>
      <c r="I185" s="53">
        <f t="shared" si="31"/>
        <v>3.5769717017208413</v>
      </c>
      <c r="J185" s="53">
        <f t="shared" si="32"/>
        <v>3.5769717017208413</v>
      </c>
      <c r="K185" s="53">
        <f t="shared" si="35"/>
        <v>27.208719974602086</v>
      </c>
      <c r="M185" s="159" t="s">
        <v>37</v>
      </c>
      <c r="N185" s="176">
        <v>20.45</v>
      </c>
    </row>
    <row r="186" spans="2:14" x14ac:dyDescent="0.3">
      <c r="B186" s="35">
        <f t="shared" si="33"/>
        <v>1300</v>
      </c>
      <c r="C186" s="53">
        <f t="shared" si="30"/>
        <v>16213.2204</v>
      </c>
      <c r="D186" s="53">
        <f t="shared" si="29"/>
        <v>16213.2204</v>
      </c>
      <c r="E186" s="53" cm="1">
        <f t="array" ref="E186">$D$2*SUM( ($B$12:$B$19)/(EXP($B$12:$B$19/B186)-1) + 0.5*$B$12:$B$19)</f>
        <v>118549.17553997287</v>
      </c>
      <c r="H186" s="35">
        <f t="shared" si="34"/>
        <v>1300</v>
      </c>
      <c r="I186" s="53">
        <f t="shared" si="31"/>
        <v>3.8750526768642448</v>
      </c>
      <c r="J186" s="53">
        <f t="shared" si="32"/>
        <v>3.8750526768642448</v>
      </c>
      <c r="K186" s="53">
        <f t="shared" si="35"/>
        <v>28.33393296844476</v>
      </c>
      <c r="N186" s="46"/>
    </row>
    <row r="187" spans="2:14" x14ac:dyDescent="0.3">
      <c r="B187" s="35">
        <f t="shared" si="33"/>
        <v>1400</v>
      </c>
      <c r="C187" s="53">
        <f t="shared" si="30"/>
        <v>17460.391199999998</v>
      </c>
      <c r="D187" s="53">
        <f t="shared" si="29"/>
        <v>17460.391199999998</v>
      </c>
      <c r="E187" s="53" cm="1">
        <f t="array" ref="E187">$D$2*SUM( ($B$12:$B$19)/(EXP($B$12:$B$19/B187)-1) + 0.5*$B$12:$B$19)</f>
        <v>123441.56110966588</v>
      </c>
      <c r="H187" s="35">
        <f t="shared" si="34"/>
        <v>1400</v>
      </c>
      <c r="I187" s="53">
        <f t="shared" si="31"/>
        <v>4.1731336520076479</v>
      </c>
      <c r="J187" s="53">
        <f t="shared" si="32"/>
        <v>4.1731336520076479</v>
      </c>
      <c r="K187" s="53">
        <f t="shared" si="35"/>
        <v>29.503241182998536</v>
      </c>
    </row>
    <row r="188" spans="2:14" ht="15" thickBot="1" x14ac:dyDescent="0.35">
      <c r="B188" s="35">
        <f t="shared" si="33"/>
        <v>1500</v>
      </c>
      <c r="C188" s="53">
        <f t="shared" si="30"/>
        <v>18707.561999999998</v>
      </c>
      <c r="D188" s="53">
        <f t="shared" si="29"/>
        <v>18707.561999999998</v>
      </c>
      <c r="E188" s="53" cm="1">
        <f t="array" ref="E188">$D$2*SUM( ($B$12:$B$19)/(EXP($B$12:$B$19/B188)-1) + 0.5*$B$12:$B$19)</f>
        <v>128496.67881853691</v>
      </c>
      <c r="H188" s="35">
        <f t="shared" si="34"/>
        <v>1500</v>
      </c>
      <c r="I188" s="53">
        <f t="shared" si="31"/>
        <v>4.4712146271510509</v>
      </c>
      <c r="J188" s="53">
        <f t="shared" si="32"/>
        <v>4.4712146271510509</v>
      </c>
      <c r="K188" s="53">
        <f t="shared" si="35"/>
        <v>30.711443312269814</v>
      </c>
    </row>
    <row r="189" spans="2:14" ht="15" thickBot="1" x14ac:dyDescent="0.35">
      <c r="B189" s="35">
        <f t="shared" si="33"/>
        <v>1600</v>
      </c>
      <c r="C189" s="53">
        <f t="shared" si="30"/>
        <v>19954.732799999998</v>
      </c>
      <c r="D189" s="53">
        <f t="shared" si="29"/>
        <v>19954.732799999998</v>
      </c>
      <c r="E189" s="53" cm="1">
        <f t="array" ref="E189">$D$2*SUM( ($B$12:$B$19)/(EXP($B$12:$B$19/B189)-1) + 0.5*$B$12:$B$19)</f>
        <v>133695.52651220604</v>
      </c>
      <c r="H189" s="35">
        <f t="shared" si="34"/>
        <v>1600</v>
      </c>
      <c r="I189" s="53">
        <f t="shared" si="31"/>
        <v>4.7692956022944548</v>
      </c>
      <c r="J189" s="53">
        <f t="shared" si="32"/>
        <v>4.7692956022944548</v>
      </c>
      <c r="K189" s="53">
        <f t="shared" si="35"/>
        <v>31.953997732362819</v>
      </c>
      <c r="M189" s="30" t="s">
        <v>93</v>
      </c>
      <c r="N189" s="108">
        <f>SUM(I176:L176)</f>
        <v>22.2271612252657</v>
      </c>
    </row>
    <row r="190" spans="2:14" x14ac:dyDescent="0.3">
      <c r="B190" s="35">
        <f t="shared" si="33"/>
        <v>1700</v>
      </c>
      <c r="C190" s="53">
        <f t="shared" si="30"/>
        <v>21201.903599999998</v>
      </c>
      <c r="D190" s="53">
        <f t="shared" si="29"/>
        <v>21201.903599999998</v>
      </c>
      <c r="E190" s="53" cm="1">
        <f t="array" ref="E190">$D$2*SUM( ($B$12:$B$19)/(EXP($B$12:$B$19/B190)-1) + 0.5*$B$12:$B$19)</f>
        <v>139021.53295003148</v>
      </c>
      <c r="H190" s="35">
        <f t="shared" si="34"/>
        <v>1700</v>
      </c>
      <c r="I190" s="53">
        <f t="shared" si="31"/>
        <v>5.0673765774378579</v>
      </c>
      <c r="J190" s="53">
        <f t="shared" si="32"/>
        <v>5.0673765774378579</v>
      </c>
      <c r="K190" s="53">
        <f t="shared" si="35"/>
        <v>33.226943821709249</v>
      </c>
    </row>
    <row r="191" spans="2:14" x14ac:dyDescent="0.3">
      <c r="B191" s="35">
        <f t="shared" si="33"/>
        <v>1800</v>
      </c>
      <c r="C191" s="53">
        <f t="shared" si="30"/>
        <v>22449.074399999998</v>
      </c>
      <c r="D191" s="53">
        <f t="shared" si="29"/>
        <v>22449.074399999998</v>
      </c>
      <c r="E191" s="53" cm="1">
        <f t="array" ref="E191">$D$2*SUM( ($B$12:$B$19)/(EXP($B$12:$B$19/B191)-1) + 0.5*$B$12:$B$19)</f>
        <v>144460.25918728326</v>
      </c>
      <c r="H191" s="35">
        <f t="shared" si="34"/>
        <v>1800</v>
      </c>
      <c r="I191" s="53">
        <f t="shared" si="31"/>
        <v>5.3654575525812618</v>
      </c>
      <c r="J191" s="53">
        <f t="shared" si="32"/>
        <v>5.3654575525812618</v>
      </c>
      <c r="K191" s="53">
        <f t="shared" si="35"/>
        <v>34.526830589694853</v>
      </c>
    </row>
    <row r="192" spans="2:14" x14ac:dyDescent="0.3">
      <c r="B192" s="35">
        <f t="shared" si="33"/>
        <v>1900</v>
      </c>
      <c r="C192" s="53">
        <f t="shared" si="30"/>
        <v>23696.245199999998</v>
      </c>
      <c r="D192" s="53">
        <f t="shared" si="29"/>
        <v>23696.245199999998</v>
      </c>
      <c r="E192" s="53" cm="1">
        <f t="array" ref="E192">$D$2*SUM( ($B$12:$B$19)/(EXP($B$12:$B$19/B192)-1) + 0.5*$B$12:$B$19)</f>
        <v>149999.12731974749</v>
      </c>
      <c r="H192" s="35">
        <f t="shared" si="34"/>
        <v>1900</v>
      </c>
      <c r="I192" s="53">
        <f t="shared" si="31"/>
        <v>5.6635385277246648</v>
      </c>
      <c r="J192" s="53">
        <f t="shared" si="32"/>
        <v>5.6635385277246648</v>
      </c>
      <c r="K192" s="53">
        <f t="shared" si="35"/>
        <v>35.850651845063936</v>
      </c>
    </row>
    <row r="193" spans="1:15" x14ac:dyDescent="0.3">
      <c r="B193" s="35">
        <f t="shared" si="33"/>
        <v>2000</v>
      </c>
      <c r="C193" s="53">
        <f t="shared" si="30"/>
        <v>24943.415999999997</v>
      </c>
      <c r="D193" s="53">
        <f t="shared" si="29"/>
        <v>24943.415999999997</v>
      </c>
      <c r="E193" s="53" cm="1">
        <f t="array" ref="E193">$D$2*SUM( ($B$12:$B$19)/(EXP($B$12:$B$19/B193)-1) + 0.5*$B$12:$B$19)</f>
        <v>155627.17649954386</v>
      </c>
      <c r="H193" s="35">
        <f t="shared" si="34"/>
        <v>2000</v>
      </c>
      <c r="I193" s="53">
        <f t="shared" si="31"/>
        <v>5.9616195028680679</v>
      </c>
      <c r="J193" s="53">
        <f t="shared" si="32"/>
        <v>5.9616195028680679</v>
      </c>
      <c r="K193" s="53">
        <f t="shared" si="35"/>
        <v>37.195787882300159</v>
      </c>
    </row>
    <row r="194" spans="1:15" ht="15" thickBot="1" x14ac:dyDescent="0.35">
      <c r="B194" s="26">
        <f t="shared" si="33"/>
        <v>2100</v>
      </c>
      <c r="C194" s="56">
        <f t="shared" si="30"/>
        <v>26190.586799999997</v>
      </c>
      <c r="D194" s="56">
        <f t="shared" si="29"/>
        <v>26190.586799999997</v>
      </c>
      <c r="E194" s="56" cm="1">
        <f t="array" ref="E194">$D$2*SUM( ($B$12:$B$19)/(EXP($B$12:$B$19/B194)-1) + 0.5*$B$12:$B$19)</f>
        <v>161334.84614943125</v>
      </c>
      <c r="F194" s="51"/>
      <c r="H194" s="26">
        <f t="shared" si="34"/>
        <v>2100</v>
      </c>
      <c r="I194" s="56">
        <f t="shared" si="31"/>
        <v>6.2597004780114718</v>
      </c>
      <c r="J194" s="56">
        <f t="shared" si="32"/>
        <v>6.2597004780114718</v>
      </c>
      <c r="K194" s="56">
        <f t="shared" si="35"/>
        <v>38.559953668602112</v>
      </c>
      <c r="L194" s="51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0" t="s">
        <v>94</v>
      </c>
    </row>
    <row r="198" spans="1:15" ht="16.8" thickBot="1" x14ac:dyDescent="0.35">
      <c r="B198" s="109" t="s">
        <v>95</v>
      </c>
      <c r="C198" s="110">
        <f xml:space="preserve"> ($C$2*$C$2) /(8*$B$2*$B$2*$A$2*$H$198)</f>
        <v>0.67128685133615995</v>
      </c>
      <c r="F198" s="35"/>
      <c r="H198" s="5">
        <f>SQRT(E6*E6+F6*F6+G6*G6)</f>
        <v>5.9999380825915709E-46</v>
      </c>
      <c r="I198" s="36" t="s">
        <v>96</v>
      </c>
      <c r="K198" s="169">
        <v>1.18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97</v>
      </c>
      <c r="B200" s="196" t="s">
        <v>98</v>
      </c>
      <c r="C200" s="196"/>
      <c r="D200" s="196"/>
      <c r="E200" s="196"/>
      <c r="F200" s="196"/>
      <c r="H200" s="196" t="s">
        <v>99</v>
      </c>
      <c r="I200" s="196"/>
      <c r="J200" s="196"/>
      <c r="K200" s="196"/>
      <c r="L200" s="196"/>
    </row>
    <row r="201" spans="1:15" ht="18" x14ac:dyDescent="0.3">
      <c r="A201" s="5" t="s">
        <v>98</v>
      </c>
      <c r="B201" s="95" t="s">
        <v>46</v>
      </c>
      <c r="C201" s="16" t="s">
        <v>100</v>
      </c>
      <c r="D201" s="16" t="s">
        <v>88</v>
      </c>
      <c r="E201" s="16" t="s">
        <v>36</v>
      </c>
      <c r="F201" s="16" t="s">
        <v>37</v>
      </c>
      <c r="G201" s="16" t="s">
        <v>89</v>
      </c>
      <c r="H201" s="95" t="s">
        <v>46</v>
      </c>
      <c r="I201" s="16" t="s">
        <v>88</v>
      </c>
      <c r="J201" s="16" t="s">
        <v>36</v>
      </c>
      <c r="K201" s="16" t="s">
        <v>37</v>
      </c>
      <c r="L201" s="16" t="s">
        <v>89</v>
      </c>
      <c r="O201" s="80"/>
    </row>
    <row r="202" spans="1:15" ht="15" thickBot="1" x14ac:dyDescent="0.35">
      <c r="B202" s="35">
        <f>298.15</f>
        <v>298.14999999999998</v>
      </c>
      <c r="C202" s="53">
        <f>($A$2*B202)/$J$2</f>
        <v>4.062431680236861E-26</v>
      </c>
      <c r="D202" s="111">
        <f xml:space="preserve"> $D$2 *( 5/2  +   LN(  ((2*$B$2*$E$2*$A$2*B202)/($C$2*$C$2) )^1.5  * ($D$2*B202 )/($F$2*$J$2)  ) )</f>
        <v>144.81316636169194</v>
      </c>
      <c r="E202" s="53">
        <f>$D$2 *LN( (EXP(1)*B202) / ($B$6 * $C$198))</f>
        <v>59.000785802204895</v>
      </c>
      <c r="F202" s="53" cm="1">
        <f t="array" ref="F202">$D$2*SUM( (($B$12:$B$17)/B202)/(EXP($B$12:$B$17/B176)-1) - LN( 1 - EXP( (-1 * $B$12:$B$17)/B202 ) ) )</f>
        <v>3.041388285724905</v>
      </c>
      <c r="G202" s="56">
        <f>$D$2*LN(K198)</f>
        <v>1.3761651643175061</v>
      </c>
      <c r="H202" s="170">
        <f>298.15</f>
        <v>298.14999999999998</v>
      </c>
      <c r="I202" s="106">
        <f xml:space="preserve"> $D$2 *( 5/2  +   LN(  ((2*$B$2*$E$2*$A$2*B202)/($C$2*$C$2) )^1.5  * ($D$2*B202 )/($F$2*$J$2)  ) ) / 4.184</f>
        <v>34.611177428702661</v>
      </c>
      <c r="J202" s="106">
        <f>$D$2 *LN( (EXP(1)*H202) / ($B$6 * $C$198)) / 4.184</f>
        <v>14.10152624335681</v>
      </c>
      <c r="K202" s="106" cm="1">
        <f t="array" ref="K202">$D$2*SUM( (($B$12:$B$17)/B202)/(EXP($B$12:$B$17/B176)-1) - LN( 1 - EXP( (-1 * $B$12:$B$17)/B202 ) ) )/ 4.184</f>
        <v>0.72690924611015895</v>
      </c>
      <c r="L202" s="112">
        <f>$D$2*LN(K198)</f>
        <v>1.3761651643175061</v>
      </c>
      <c r="O202" s="80"/>
    </row>
    <row r="203" spans="1:15" x14ac:dyDescent="0.3">
      <c r="B203" s="35">
        <f>300+100</f>
        <v>400</v>
      </c>
      <c r="C203" s="53">
        <f t="shared" ref="C203:C220" si="36">($A$2*B203)/$J$2</f>
        <v>5.4501850481125095E-26</v>
      </c>
      <c r="D203" s="111">
        <f t="shared" ref="D203:D220" si="37" xml:space="preserve"> $D$2 *( 5/2  +   LN(  ((2*$B$2*$E$2*$A$2*B203)/($C$2*$C$2) )^1.5  * ($D$2*B203 )/($F$2*$J$2)  ) )</f>
        <v>150.92155600426861</v>
      </c>
      <c r="E203" s="53">
        <f t="shared" ref="E203:E220" si="38">$D$2 *LN( (EXP(1)*B203) / ($B$6 * $C$198))</f>
        <v>61.444141659235527</v>
      </c>
      <c r="F203" s="53" cm="1">
        <f t="array" ref="F203">$D$2*SUM( (($B$12:$B$17)/B203)/(EXP($B$12:$B$17/B177)-1) - LN( 1 - EXP( (-1 * $B$12:$B$17)/B203 ) ) )</f>
        <v>6.6683286309882064</v>
      </c>
      <c r="H203" s="35">
        <f>300+100</f>
        <v>400</v>
      </c>
      <c r="I203" s="111">
        <f xml:space="preserve"> $D$2 *( 5/2  +   LN(  ((2*$B$2*$E$2*$A$2*B203)/($C$2*$C$2) )^1.5  * ($D$2*B203 )/($F$2*$J$2)  ) )/ 4.184</f>
        <v>36.071117591842402</v>
      </c>
      <c r="J203" s="53">
        <f t="shared" ref="J203:J220" si="39">$D$2 *LN( (EXP(1)*H203) / ($B$6 * $C$198)) / 4.184</f>
        <v>14.685502308612698</v>
      </c>
      <c r="K203" s="53" cm="1">
        <f t="array" ref="K203">$D$2*SUM( (($B$12:$B$17)/B203)/(EXP($B$12:$B$17/B177)-1) - LN( 1 - EXP( (-1 * $B$12:$B$17)/B203 ) ) )/ 4.184</f>
        <v>1.5937687932572195</v>
      </c>
      <c r="O203" s="46"/>
    </row>
    <row r="204" spans="1:15" ht="18" x14ac:dyDescent="0.3">
      <c r="B204" s="35">
        <f t="shared" ref="B204:B220" si="40">B203+100</f>
        <v>500</v>
      </c>
      <c r="C204" s="53">
        <f t="shared" si="36"/>
        <v>6.8127313101406362E-26</v>
      </c>
      <c r="D204" s="111">
        <f t="shared" si="37"/>
        <v>155.55985802772494</v>
      </c>
      <c r="E204" s="53">
        <f t="shared" si="38"/>
        <v>63.299462468618088</v>
      </c>
      <c r="F204" s="53" cm="1">
        <f t="array" ref="F204">$D$2*SUM( (($B$12:$B$17)/B204)/(EXP($B$12:$B$17/B178)-1) - LN( 1 - EXP( (-1 * $B$12:$B$17)/B204 ) ) )</f>
        <v>10.845760482014919</v>
      </c>
      <c r="H204" s="35">
        <f t="shared" ref="H204:H220" si="41">H203+100</f>
        <v>500</v>
      </c>
      <c r="I204" s="111">
        <f t="shared" ref="I204:I220" si="42" xml:space="preserve"> $D$2 *( 5/2  +   LN(  ((2*$B$2*$E$2*$A$2*B204)/($C$2*$C$2) )^1.5  * ($D$2*B204 )/($F$2*$J$2)  ) )/ 4.184</f>
        <v>37.179698381387411</v>
      </c>
      <c r="J204" s="53">
        <f t="shared" si="39"/>
        <v>15.128934624430709</v>
      </c>
      <c r="K204" s="53" cm="1">
        <f t="array" ref="K204">$D$2*SUM( (($B$12:$B$17)/B204)/(EXP($B$12:$B$17/B178)-1) - LN( 1 - EXP( (-1 * $B$12:$B$17)/B204 ) ) )/ 4.184</f>
        <v>2.5921989679767972</v>
      </c>
      <c r="M204" s="202"/>
      <c r="N204" s="202"/>
      <c r="O204" s="46"/>
    </row>
    <row r="205" spans="1:15" ht="18.600000000000001" thickBot="1" x14ac:dyDescent="0.35">
      <c r="B205" s="35">
        <f t="shared" si="40"/>
        <v>600</v>
      </c>
      <c r="C205" s="53">
        <f t="shared" si="36"/>
        <v>8.175277572168763E-26</v>
      </c>
      <c r="D205" s="111">
        <f t="shared" si="37"/>
        <v>159.34962672512432</v>
      </c>
      <c r="E205" s="53">
        <f t="shared" si="38"/>
        <v>64.815369947577835</v>
      </c>
      <c r="F205" s="53" cm="1">
        <f t="array" ref="F205">$D$2*SUM( (($B$12:$B$17)/B205)/(EXP($B$12:$B$17/B179)-1) - LN( 1 - EXP( (-1 * $B$12:$B$17)/B205 ) ) )</f>
        <v>15.253242123432868</v>
      </c>
      <c r="H205" s="35">
        <f t="shared" si="41"/>
        <v>600</v>
      </c>
      <c r="I205" s="111">
        <f t="shared" si="42"/>
        <v>38.08547483870084</v>
      </c>
      <c r="J205" s="53">
        <f t="shared" si="39"/>
        <v>15.491245207356078</v>
      </c>
      <c r="K205" s="53" cm="1">
        <f t="array" ref="K205">$D$2*SUM( (($B$12:$B$17)/B205)/(EXP($B$12:$B$17/B179)-1) - LN( 1 - EXP( (-1 * $B$12:$B$17)/B205 ) ) )/ 4.184</f>
        <v>3.6456123621971481</v>
      </c>
      <c r="M205" s="202" t="s">
        <v>92</v>
      </c>
      <c r="N205" s="202"/>
      <c r="O205" s="46"/>
    </row>
    <row r="206" spans="1:15" x14ac:dyDescent="0.3">
      <c r="B206" s="35">
        <f t="shared" si="40"/>
        <v>700</v>
      </c>
      <c r="C206" s="53">
        <f t="shared" si="36"/>
        <v>9.5378238341968898E-26</v>
      </c>
      <c r="D206" s="111">
        <f t="shared" si="37"/>
        <v>162.55383050313608</v>
      </c>
      <c r="E206" s="53">
        <f t="shared" si="38"/>
        <v>66.097051458782531</v>
      </c>
      <c r="F206" s="53" cm="1">
        <f t="array" ref="F206">$D$2*SUM( (($B$12:$B$17)/B206)/(EXP($B$12:$B$17/B180)-1) - LN( 1 - EXP( (-1 * $B$12:$B$17)/B206 ) ) )</f>
        <v>19.669915989707533</v>
      </c>
      <c r="H206" s="35">
        <f t="shared" si="41"/>
        <v>700</v>
      </c>
      <c r="I206" s="111">
        <f t="shared" si="42"/>
        <v>38.851297921399635</v>
      </c>
      <c r="J206" s="53">
        <f t="shared" si="39"/>
        <v>15.797574440435595</v>
      </c>
      <c r="K206" s="53" cm="1">
        <f t="array" ref="K206">$D$2*SUM( (($B$12:$B$17)/B206)/(EXP($B$12:$B$17/B180)-1) - LN( 1 - EXP( (-1 * $B$12:$B$17)/B206 ) ) )/ 4.184</f>
        <v>4.7012227508861217</v>
      </c>
      <c r="M206" s="154"/>
      <c r="N206" s="156" t="s">
        <v>30</v>
      </c>
      <c r="O206" s="46"/>
    </row>
    <row r="207" spans="1:15" x14ac:dyDescent="0.3">
      <c r="B207" s="35">
        <f t="shared" si="40"/>
        <v>800</v>
      </c>
      <c r="C207" s="53">
        <f t="shared" si="36"/>
        <v>1.0900370096225019E-25</v>
      </c>
      <c r="D207" s="111">
        <f t="shared" si="37"/>
        <v>165.32943806588005</v>
      </c>
      <c r="E207" s="53">
        <f t="shared" si="38"/>
        <v>67.207294483880133</v>
      </c>
      <c r="F207" s="53" cm="1">
        <f t="array" ref="F207">$D$2*SUM( (($B$12:$B$17)/B207)/(EXP($B$12:$B$17/B181)-1) - LN( 1 - EXP( (-1 * $B$12:$B$17)/B207 ) ) )</f>
        <v>23.975632165791801</v>
      </c>
      <c r="H207" s="35">
        <f t="shared" si="41"/>
        <v>800</v>
      </c>
      <c r="I207" s="111">
        <f t="shared" si="42"/>
        <v>39.514684050162536</v>
      </c>
      <c r="J207" s="53">
        <f t="shared" si="39"/>
        <v>16.062928891940757</v>
      </c>
      <c r="K207" s="53" cm="1">
        <f t="array" ref="K207">$D$2*SUM( (($B$12:$B$17)/B207)/(EXP($B$12:$B$17/B181)-1) - LN( 1 - EXP( (-1 * $B$12:$B$17)/B207 ) ) )/ 4.184</f>
        <v>5.7303136151510037</v>
      </c>
      <c r="M207" s="157"/>
      <c r="N207" s="158" t="s">
        <v>32</v>
      </c>
      <c r="O207" s="46"/>
    </row>
    <row r="208" spans="1:15" x14ac:dyDescent="0.3">
      <c r="B208" s="35">
        <f t="shared" si="40"/>
        <v>900</v>
      </c>
      <c r="C208" s="53">
        <f t="shared" si="36"/>
        <v>1.2262916358253145E-25</v>
      </c>
      <c r="D208" s="111">
        <f t="shared" si="37"/>
        <v>167.77769744598004</v>
      </c>
      <c r="E208" s="53">
        <f t="shared" si="38"/>
        <v>68.18659823592013</v>
      </c>
      <c r="F208" s="53" cm="1">
        <f t="array" ref="F208">$D$2*SUM( (($B$12:$B$17)/B208)/(EXP($B$12:$B$17/B182)-1) - LN( 1 - EXP( (-1 * $B$12:$B$17)/B208 ) ) )</f>
        <v>28.110732069106522</v>
      </c>
      <c r="H208" s="35">
        <f t="shared" si="41"/>
        <v>900</v>
      </c>
      <c r="I208" s="111">
        <f t="shared" si="42"/>
        <v>40.099832085559278</v>
      </c>
      <c r="J208" s="53">
        <f t="shared" si="39"/>
        <v>16.296988106099455</v>
      </c>
      <c r="K208" s="53" cm="1">
        <f t="array" ref="K208">$D$2*SUM( (($B$12:$B$17)/B208)/(EXP($B$12:$B$17/B182)-1) - LN( 1 - EXP( (-1 * $B$12:$B$17)/B208 ) ) )/ 4.184</f>
        <v>6.7186262115455353</v>
      </c>
      <c r="M208" s="157" t="s">
        <v>33</v>
      </c>
      <c r="N208" s="158">
        <v>52.872999999999998</v>
      </c>
      <c r="O208" s="46"/>
    </row>
    <row r="209" spans="1:14" x14ac:dyDescent="0.3">
      <c r="B209" s="35">
        <f t="shared" si="40"/>
        <v>1000</v>
      </c>
      <c r="C209" s="53">
        <f t="shared" si="36"/>
        <v>1.3625462620281272E-25</v>
      </c>
      <c r="D209" s="111">
        <f t="shared" si="37"/>
        <v>169.96774008933636</v>
      </c>
      <c r="E209" s="53">
        <f t="shared" si="38"/>
        <v>69.062615293262695</v>
      </c>
      <c r="F209" s="53" cm="1">
        <f t="array" ref="F209">$D$2*SUM( (($B$12:$B$17)/B209)/(EXP($B$12:$B$17/B183)-1) - LN( 1 - EXP( (-1 * $B$12:$B$17)/B209 ) ) )</f>
        <v>32.050303838493249</v>
      </c>
      <c r="H209" s="35">
        <f t="shared" si="41"/>
        <v>1000</v>
      </c>
      <c r="I209" s="111">
        <f t="shared" si="42"/>
        <v>40.623264839707538</v>
      </c>
      <c r="J209" s="53">
        <f t="shared" si="39"/>
        <v>16.506361207758768</v>
      </c>
      <c r="K209" s="53" cm="1">
        <f t="array" ref="K209">$D$2*SUM( (($B$12:$B$17)/B209)/(EXP($B$12:$B$17/B183)-1) - LN( 1 - EXP( (-1 * $B$12:$B$17)/B209 ) ) )/ 4.184</f>
        <v>7.6602064623549833</v>
      </c>
      <c r="M209" s="157" t="s">
        <v>34</v>
      </c>
      <c r="N209" s="158">
        <v>1.377</v>
      </c>
    </row>
    <row r="210" spans="1:14" x14ac:dyDescent="0.3">
      <c r="B210" s="35">
        <f t="shared" si="40"/>
        <v>1100</v>
      </c>
      <c r="C210" s="53">
        <f t="shared" si="36"/>
        <v>1.4988008882309398E-25</v>
      </c>
      <c r="D210" s="111">
        <f t="shared" si="37"/>
        <v>171.94887464258161</v>
      </c>
      <c r="E210" s="53">
        <f t="shared" si="38"/>
        <v>69.855069114560706</v>
      </c>
      <c r="F210" s="53" cm="1">
        <f t="array" ref="F210">$D$2*SUM( (($B$12:$B$17)/B210)/(EXP($B$12:$B$17/B184)-1) - LN( 1 - EXP( (-1 * $B$12:$B$17)/B210 ) ) )</f>
        <v>35.78869079410601</v>
      </c>
      <c r="H210" s="35">
        <f t="shared" si="41"/>
        <v>1100</v>
      </c>
      <c r="I210" s="111">
        <f t="shared" si="42"/>
        <v>41.096767361993692</v>
      </c>
      <c r="J210" s="53">
        <f t="shared" si="39"/>
        <v>16.695762216673209</v>
      </c>
      <c r="K210" s="53" cm="1">
        <f t="array" ref="K210">$D$2*SUM( (($B$12:$B$17)/B210)/(EXP($B$12:$B$17/B184)-1) - LN( 1 - EXP( (-1 * $B$12:$B$17)/B210 ) ) )/ 4.184</f>
        <v>8.5537023886486629</v>
      </c>
      <c r="M210" s="157" t="s">
        <v>35</v>
      </c>
      <c r="N210" s="158">
        <v>34.612000000000002</v>
      </c>
    </row>
    <row r="211" spans="1:14" x14ac:dyDescent="0.3">
      <c r="A211" s="51"/>
      <c r="B211" s="35">
        <f t="shared" si="40"/>
        <v>1200</v>
      </c>
      <c r="C211" s="53">
        <f t="shared" si="36"/>
        <v>1.6350555144337526E-25</v>
      </c>
      <c r="D211" s="111">
        <f t="shared" si="37"/>
        <v>173.75750878673585</v>
      </c>
      <c r="E211" s="53">
        <f t="shared" si="38"/>
        <v>70.578522772222442</v>
      </c>
      <c r="F211" s="53" cm="1">
        <f t="array" ref="F211">$D$2*SUM( (($B$12:$B$17)/B211)/(EXP($B$12:$B$17/B185)-1) - LN( 1 - EXP( (-1 * $B$12:$B$17)/B211 ) ) )</f>
        <v>39.330481403453383</v>
      </c>
      <c r="H211" s="35">
        <f t="shared" si="41"/>
        <v>1200</v>
      </c>
      <c r="I211" s="111">
        <f t="shared" si="42"/>
        <v>41.529041297020996</v>
      </c>
      <c r="J211" s="53">
        <f t="shared" si="39"/>
        <v>16.868671790684139</v>
      </c>
      <c r="K211" s="53" cm="1">
        <f t="array" ref="K211">$D$2*SUM( (($B$12:$B$17)/B211)/(EXP($B$12:$B$17/B185)-1) - LN( 1 - EXP( (-1 * $B$12:$B$17)/B211 ) ) )/ 4.184</f>
        <v>9.4002106604812106</v>
      </c>
      <c r="M211" s="157" t="s">
        <v>36</v>
      </c>
      <c r="N211" s="158">
        <v>16.157</v>
      </c>
    </row>
    <row r="212" spans="1:14" ht="15" thickBot="1" x14ac:dyDescent="0.35">
      <c r="B212" s="35">
        <f t="shared" si="40"/>
        <v>1300</v>
      </c>
      <c r="C212" s="53">
        <f t="shared" si="36"/>
        <v>1.7713101406365654E-25</v>
      </c>
      <c r="D212" s="111">
        <f t="shared" si="37"/>
        <v>175.4212909161254</v>
      </c>
      <c r="E212" s="53">
        <f t="shared" si="38"/>
        <v>71.244035623978249</v>
      </c>
      <c r="F212" s="53" cm="1">
        <f t="array" ref="F212">$D$2*SUM( (($B$12:$B$17)/B212)/(EXP($B$12:$B$17/B186)-1) - LN( 1 - EXP( (-1 * $B$12:$B$17)/B212 ) ) )</f>
        <v>42.685372627252143</v>
      </c>
      <c r="H212" s="35">
        <f t="shared" si="41"/>
        <v>1300</v>
      </c>
      <c r="I212" s="111">
        <f t="shared" si="42"/>
        <v>41.92669476962844</v>
      </c>
      <c r="J212" s="53">
        <f t="shared" si="39"/>
        <v>17.027733179727115</v>
      </c>
      <c r="K212" s="53" cm="1">
        <f t="array" ref="K212">$D$2*SUM( (($B$12:$B$17)/B212)/(EXP($B$12:$B$17/B186)-1) - LN( 1 - EXP( (-1 * $B$12:$B$17)/B212 ) ) )/ 4.184</f>
        <v>10.202048907087033</v>
      </c>
      <c r="M212" s="159" t="s">
        <v>37</v>
      </c>
      <c r="N212" s="176">
        <v>0.72699999999999998</v>
      </c>
    </row>
    <row r="213" spans="1:14" x14ac:dyDescent="0.3">
      <c r="B213" s="35">
        <f t="shared" si="40"/>
        <v>1400</v>
      </c>
      <c r="C213" s="53">
        <f t="shared" si="36"/>
        <v>1.907564766839378E-25</v>
      </c>
      <c r="D213" s="111">
        <f t="shared" si="37"/>
        <v>176.96171256474761</v>
      </c>
      <c r="E213" s="53">
        <f t="shared" si="38"/>
        <v>71.860204283427137</v>
      </c>
      <c r="F213" s="53" cm="1">
        <f t="array" ref="F213">$D$2*SUM( (($B$12:$B$17)/B213)/(EXP($B$12:$B$17/B187)-1) - LN( 1 - EXP( (-1 * $B$12:$B$17)/B213 ) ) )</f>
        <v>45.865286104519882</v>
      </c>
      <c r="H213" s="35">
        <f t="shared" si="41"/>
        <v>1400</v>
      </c>
      <c r="I213" s="111">
        <f t="shared" si="42"/>
        <v>42.29486437971979</v>
      </c>
      <c r="J213" s="53">
        <f t="shared" si="39"/>
        <v>17.175001023763656</v>
      </c>
      <c r="K213" s="53" cm="1">
        <f t="array" ref="K213">$D$2*SUM( (($B$12:$B$17)/B213)/(EXP($B$12:$B$17/B187)-1) - LN( 1 - EXP( (-1 * $B$12:$B$17)/B213 ) ) )/ 4.184</f>
        <v>10.962066468575497</v>
      </c>
      <c r="N213" s="46"/>
    </row>
    <row r="214" spans="1:14" ht="15" thickBot="1" x14ac:dyDescent="0.35">
      <c r="B214" s="35">
        <f t="shared" si="40"/>
        <v>1500</v>
      </c>
      <c r="C214" s="53">
        <f t="shared" si="36"/>
        <v>2.0438193930421908E-25</v>
      </c>
      <c r="D214" s="111">
        <f t="shared" si="37"/>
        <v>178.39581081019219</v>
      </c>
      <c r="E214" s="53">
        <f t="shared" si="38"/>
        <v>72.433843581604989</v>
      </c>
      <c r="F214" s="53" cm="1">
        <f t="array" ref="F214">$D$2*SUM( (($B$12:$B$17)/B214)/(EXP($B$12:$B$17/B188)-1) - LN( 1 - EXP( (-1 * $B$12:$B$17)/B214 ) ) )</f>
        <v>48.882778508934194</v>
      </c>
      <c r="H214" s="35">
        <f t="shared" si="41"/>
        <v>1500</v>
      </c>
      <c r="I214" s="111">
        <f t="shared" si="42"/>
        <v>42.637622086566012</v>
      </c>
      <c r="J214" s="53">
        <f t="shared" si="39"/>
        <v>17.312104106502147</v>
      </c>
      <c r="K214" s="53" cm="1">
        <f t="array" ref="K214">$D$2*SUM( (($B$12:$B$17)/B214)/(EXP($B$12:$B$17/B188)-1) - LN( 1 - EXP( (-1 * $B$12:$B$17)/B214 ) ) )/ 4.184</f>
        <v>11.683264461982359</v>
      </c>
    </row>
    <row r="215" spans="1:14" ht="15" thickBot="1" x14ac:dyDescent="0.35">
      <c r="B215" s="35">
        <f t="shared" si="40"/>
        <v>1600</v>
      </c>
      <c r="C215" s="53">
        <f t="shared" si="36"/>
        <v>2.1800740192450038E-25</v>
      </c>
      <c r="D215" s="111">
        <f t="shared" si="37"/>
        <v>179.73732012749159</v>
      </c>
      <c r="E215" s="53">
        <f t="shared" si="38"/>
        <v>72.97044730852474</v>
      </c>
      <c r="F215" s="53" cm="1">
        <f t="array" ref="F215">$D$2*SUM( (($B$12:$B$17)/B215)/(EXP($B$12:$B$17/B189)-1) - LN( 1 - EXP( (-1 * $B$12:$B$17)/B215 ) ) )</f>
        <v>51.750191040793013</v>
      </c>
      <c r="H215" s="35">
        <f t="shared" si="41"/>
        <v>1600</v>
      </c>
      <c r="I215" s="111">
        <f t="shared" si="42"/>
        <v>42.958250508482692</v>
      </c>
      <c r="J215" s="53">
        <f t="shared" si="39"/>
        <v>17.44035547526882</v>
      </c>
      <c r="K215" s="53" cm="1">
        <f t="array" ref="K215">$D$2*SUM( (($B$12:$B$17)/B215)/(EXP($B$12:$B$17/B189)-1) - LN( 1 - EXP( (-1 * $B$12:$B$17)/B215 ) ) )/ 4.184</f>
        <v>12.36859250496965</v>
      </c>
      <c r="M215" s="30" t="s">
        <v>93</v>
      </c>
      <c r="N215" s="171">
        <f>SUM(I202:L202)</f>
        <v>50.815778082487135</v>
      </c>
    </row>
    <row r="216" spans="1:14" x14ac:dyDescent="0.3">
      <c r="B216" s="35">
        <f t="shared" si="40"/>
        <v>1700</v>
      </c>
      <c r="C216" s="53">
        <f t="shared" si="36"/>
        <v>2.3163286454478159E-25</v>
      </c>
      <c r="D216" s="111">
        <f t="shared" si="37"/>
        <v>180.99747442899999</v>
      </c>
      <c r="E216" s="53">
        <f t="shared" si="38"/>
        <v>73.474509029128086</v>
      </c>
      <c r="F216" s="53" cm="1">
        <f t="array" ref="F216">$D$2*SUM( (($B$12:$B$17)/B216)/(EXP($B$12:$B$17/B190)-1) - LN( 1 - EXP( (-1 * $B$12:$B$17)/B216 ) ) )</f>
        <v>54.479219175401802</v>
      </c>
      <c r="H216" s="35">
        <f t="shared" si="41"/>
        <v>1700</v>
      </c>
      <c r="I216" s="111">
        <f t="shared" si="42"/>
        <v>43.259434614961755</v>
      </c>
      <c r="J216" s="53">
        <f t="shared" si="39"/>
        <v>17.56082911786044</v>
      </c>
      <c r="K216" s="53" cm="1">
        <f t="array" ref="K216">$D$2*SUM( (($B$12:$B$17)/B216)/(EXP($B$12:$B$17/B190)-1) - LN( 1 - EXP( (-1 * $B$12:$B$17)/B216 ) ) )/ 4.184</f>
        <v>13.020845883222227</v>
      </c>
    </row>
    <row r="217" spans="1:14" x14ac:dyDescent="0.3">
      <c r="B217" s="35">
        <f t="shared" si="40"/>
        <v>1800</v>
      </c>
      <c r="C217" s="53">
        <f t="shared" si="36"/>
        <v>2.4525832716506289E-25</v>
      </c>
      <c r="D217" s="111">
        <f t="shared" si="37"/>
        <v>182.18557950759157</v>
      </c>
      <c r="E217" s="53">
        <f t="shared" si="38"/>
        <v>73.949751060564751</v>
      </c>
      <c r="F217" s="53" cm="1">
        <f t="array" ref="F217">$D$2*SUM( (($B$12:$B$17)/B217)/(EXP($B$12:$B$17/B191)-1) - LN( 1 - EXP( (-1 * $B$12:$B$17)/B217 ) ) )</f>
        <v>57.080719655351061</v>
      </c>
      <c r="H217" s="35">
        <f t="shared" si="41"/>
        <v>1800</v>
      </c>
      <c r="I217" s="111">
        <f t="shared" si="42"/>
        <v>43.543398543879434</v>
      </c>
      <c r="J217" s="53">
        <f t="shared" si="39"/>
        <v>17.674414689427522</v>
      </c>
      <c r="K217" s="53" cm="1">
        <f t="array" ref="K217">$D$2*SUM( (($B$12:$B$17)/B217)/(EXP($B$12:$B$17/B191)-1) - LN( 1 - EXP( (-1 * $B$12:$B$17)/B217 ) ) )/ 4.184</f>
        <v>13.642619420494995</v>
      </c>
    </row>
    <row r="218" spans="1:14" x14ac:dyDescent="0.3">
      <c r="B218" s="35">
        <f t="shared" si="40"/>
        <v>1900</v>
      </c>
      <c r="C218" s="53">
        <f t="shared" si="36"/>
        <v>2.5888378978534419E-25</v>
      </c>
      <c r="D218" s="111">
        <f t="shared" si="37"/>
        <v>183.30943050101538</v>
      </c>
      <c r="E218" s="53">
        <f t="shared" si="38"/>
        <v>74.399291457934268</v>
      </c>
      <c r="F218" s="53" cm="1">
        <f t="array" ref="F218">$D$2*SUM( (($B$12:$B$17)/B218)/(EXP($B$12:$B$17/B192)-1) - LN( 1 - EXP( (-1 * $B$12:$B$17)/B218 ) ) )</f>
        <v>59.564649536924065</v>
      </c>
      <c r="H218" s="35">
        <f t="shared" si="41"/>
        <v>1900</v>
      </c>
      <c r="I218" s="111">
        <f t="shared" si="42"/>
        <v>43.812005377871742</v>
      </c>
      <c r="J218" s="53">
        <f t="shared" si="39"/>
        <v>17.781857423024441</v>
      </c>
      <c r="K218" s="53" cm="1">
        <f t="array" ref="K218">$D$2*SUM( (($B$12:$B$17)/B218)/(EXP($B$12:$B$17/B192)-1) - LN( 1 - EXP( (-1 * $B$12:$B$17)/B218 ) ) )/ 4.184</f>
        <v>14.236292910354699</v>
      </c>
    </row>
    <row r="219" spans="1:14" x14ac:dyDescent="0.3">
      <c r="B219" s="35">
        <f t="shared" si="40"/>
        <v>2000</v>
      </c>
      <c r="C219" s="53">
        <f t="shared" si="36"/>
        <v>2.7250925240562545E-25</v>
      </c>
      <c r="D219" s="111">
        <f t="shared" si="37"/>
        <v>184.37562215094792</v>
      </c>
      <c r="E219" s="53">
        <f t="shared" si="38"/>
        <v>74.825768117907302</v>
      </c>
      <c r="F219" s="53" cm="1">
        <f t="array" ref="F219">$D$2*SUM( (($B$12:$B$17)/B219)/(EXP($B$12:$B$17/B193)-1) - LN( 1 - EXP( (-1 * $B$12:$B$17)/B219 ) ) )</f>
        <v>61.940076756747892</v>
      </c>
      <c r="H219" s="35">
        <f t="shared" si="41"/>
        <v>2000</v>
      </c>
      <c r="I219" s="111">
        <f t="shared" si="42"/>
        <v>44.066831298027701</v>
      </c>
      <c r="J219" s="53">
        <f t="shared" si="39"/>
        <v>17.883787791086831</v>
      </c>
      <c r="K219" s="53" cm="1">
        <f t="array" ref="K219">$D$2*SUM( (($B$12:$B$17)/B219)/(EXP($B$12:$B$17/B193)-1) - LN( 1 - EXP( (-1 * $B$12:$B$17)/B219 ) ) )/ 4.184</f>
        <v>14.804033641670145</v>
      </c>
    </row>
    <row r="220" spans="1:14" ht="15" thickBot="1" x14ac:dyDescent="0.35">
      <c r="B220" s="26">
        <f t="shared" si="40"/>
        <v>2100</v>
      </c>
      <c r="C220" s="56">
        <f t="shared" si="36"/>
        <v>2.8613471502590675E-25</v>
      </c>
      <c r="D220" s="114">
        <f t="shared" si="37"/>
        <v>185.38978328560336</v>
      </c>
      <c r="E220" s="56">
        <f t="shared" si="38"/>
        <v>75.23143257176946</v>
      </c>
      <c r="F220" s="56" cm="1">
        <f t="array" ref="F220">$D$2*SUM( (($B$12:$B$17)/B220)/(EXP($B$12:$B$17/B194)-1) - LN( 1 - EXP( (-1 * $B$12:$B$17)/B220 ) ) )</f>
        <v>64.215227425497801</v>
      </c>
      <c r="G220" s="51"/>
      <c r="H220" s="26">
        <f t="shared" si="41"/>
        <v>2100</v>
      </c>
      <c r="I220" s="111">
        <f t="shared" si="42"/>
        <v>44.309221626578235</v>
      </c>
      <c r="J220" s="56">
        <f t="shared" si="39"/>
        <v>17.980743922507042</v>
      </c>
      <c r="K220" s="53" cm="1">
        <f t="array" ref="K220">$D$2*SUM( (($B$12:$B$17)/B220)/(EXP($B$12:$B$17/B194)-1) - LN( 1 - EXP( (-1 * $B$12:$B$17)/B220 ) ) )/ 4.184</f>
        <v>15.347807702078823</v>
      </c>
      <c r="L220" s="51"/>
    </row>
    <row r="224" spans="1:14" ht="15" thickBot="1" x14ac:dyDescent="0.35">
      <c r="A224" s="5" t="s">
        <v>101</v>
      </c>
      <c r="B224" s="196" t="s">
        <v>102</v>
      </c>
      <c r="C224" s="196"/>
      <c r="D224" s="196"/>
      <c r="E224" s="196"/>
      <c r="F224" s="196"/>
      <c r="H224" s="196" t="s">
        <v>103</v>
      </c>
      <c r="I224" s="196"/>
      <c r="J224" s="196"/>
      <c r="K224" s="196"/>
      <c r="L224" s="196"/>
    </row>
    <row r="225" spans="1:15" ht="18" x14ac:dyDescent="0.3">
      <c r="A225" s="5" t="s">
        <v>98</v>
      </c>
      <c r="B225" s="95" t="s">
        <v>46</v>
      </c>
      <c r="C225" s="16" t="s">
        <v>88</v>
      </c>
      <c r="D225" s="16" t="s">
        <v>36</v>
      </c>
      <c r="E225" s="16" t="s">
        <v>37</v>
      </c>
      <c r="F225" s="16" t="s">
        <v>89</v>
      </c>
      <c r="H225" s="95" t="s">
        <v>46</v>
      </c>
      <c r="I225" s="16" t="s">
        <v>88</v>
      </c>
      <c r="J225" s="16" t="s">
        <v>36</v>
      </c>
      <c r="K225" s="16" t="s">
        <v>37</v>
      </c>
      <c r="L225" s="16" t="s">
        <v>89</v>
      </c>
    </row>
    <row r="226" spans="1:15" ht="15" thickBot="1" x14ac:dyDescent="0.35">
      <c r="B226" s="35">
        <f>298.15</f>
        <v>298.14999999999998</v>
      </c>
      <c r="C226" s="53">
        <f>3/2*$D$2</f>
        <v>12.471708</v>
      </c>
      <c r="D226" s="53">
        <f>3/2*$D$2</f>
        <v>12.471708</v>
      </c>
      <c r="E226" s="53" cm="1">
        <f t="array" ref="E226">$D$2*SUM( ( ($B$12:$B$17) * ($B$12:$B$17)* EXP($B$12:$B$17/B226) ) / ( B226*B226* ( EXP(( $B$12:$B$17)/B226 )  -1)^2 ) )</f>
        <v>9.1450234552745169</v>
      </c>
      <c r="F226" s="56">
        <v>0</v>
      </c>
      <c r="H226" s="35">
        <f>298.15</f>
        <v>298.14999999999998</v>
      </c>
      <c r="I226" s="106">
        <f>3/2*$D$2 / 4.184</f>
        <v>2.9808097514340344</v>
      </c>
      <c r="J226" s="106">
        <f>3/2*$D$2 / 4.184</f>
        <v>2.9808097514340344</v>
      </c>
      <c r="K226" s="172" cm="1">
        <f t="array" ref="K226">$D$2*SUM( ( ($B$12:$B$17) * ($B$12:$B$17)* EXP($B$12:$B$17/B226) ) / ( B226*B226* ( EXP(( $B$12:$B$17)/B226 )  -1)^2 ) )/ 4.184</f>
        <v>2.1857130629241195</v>
      </c>
      <c r="L226" s="112">
        <v>0</v>
      </c>
    </row>
    <row r="227" spans="1:15" x14ac:dyDescent="0.3">
      <c r="B227" s="35">
        <f>300+100</f>
        <v>400</v>
      </c>
      <c r="C227" s="53">
        <f t="shared" ref="C227:D244" si="43">3/2*$D$2</f>
        <v>12.471708</v>
      </c>
      <c r="D227" s="53">
        <f t="shared" si="43"/>
        <v>12.471708</v>
      </c>
      <c r="E227" s="53" cm="1">
        <f t="array" ref="E227">$D$2*SUM( ( ($B$12:$B$17) * ($B$12:$B$17)* EXP($B$12:$B$17/B227) ) / ( B227*B227* ( EXP(( $B$12:$B$17)/B227 )  -1)^2 ) )</f>
        <v>15.811257606747288</v>
      </c>
      <c r="H227" s="35">
        <f>300+100</f>
        <v>400</v>
      </c>
      <c r="I227" s="53">
        <f t="shared" ref="I227:J244" si="44">3/2*$D$2 / 4.184</f>
        <v>2.9808097514340344</v>
      </c>
      <c r="J227" s="53">
        <f t="shared" si="44"/>
        <v>2.9808097514340344</v>
      </c>
      <c r="K227" s="53" cm="1">
        <f t="array" ref="K227">$D$2*SUM( ( ($B$12:$B$17) * ($B$12:$B$17)* EXP($B$12:$B$17/B227) ) / ( B227*B227* ( EXP(( $B$12:$B$17)/B227 )  -1)^2 ) )/ 4.184</f>
        <v>3.7789812635629274</v>
      </c>
    </row>
    <row r="228" spans="1:15" ht="18.600000000000001" thickBot="1" x14ac:dyDescent="0.35">
      <c r="B228" s="35">
        <f t="shared" ref="B228:B244" si="45">B227+100</f>
        <v>500</v>
      </c>
      <c r="C228" s="53">
        <f t="shared" si="43"/>
        <v>12.471708</v>
      </c>
      <c r="D228" s="53">
        <f t="shared" si="43"/>
        <v>12.471708</v>
      </c>
      <c r="E228" s="53" cm="1">
        <f t="array" ref="E228">$D$2*SUM( ( ($B$12:$B$17) * ($B$12:$B$17)* EXP($B$12:$B$17/B228) ) / ( B228*B228* ( EXP(( $B$12:$B$17)/B228 )  -1)^2 ) )</f>
        <v>21.701133607254345</v>
      </c>
      <c r="H228" s="35">
        <f t="shared" ref="H228:H244" si="46">H227+100</f>
        <v>500</v>
      </c>
      <c r="I228" s="53">
        <f t="shared" si="44"/>
        <v>2.9808097514340344</v>
      </c>
      <c r="J228" s="53">
        <f t="shared" si="44"/>
        <v>2.9808097514340344</v>
      </c>
      <c r="K228" s="53" cm="1">
        <f t="array" ref="K228">$D$2*SUM( ( ($B$12:$B$17) * ($B$12:$B$17)* EXP($B$12:$B$17/B228) ) / ( B228*B228* ( EXP(( $B$12:$B$17)/B228 )  -1)^2 ) )/ 4.184</f>
        <v>5.1866954128236964</v>
      </c>
      <c r="M228" s="202" t="s">
        <v>92</v>
      </c>
      <c r="N228" s="202"/>
    </row>
    <row r="229" spans="1:15" x14ac:dyDescent="0.3">
      <c r="B229" s="35">
        <f t="shared" si="45"/>
        <v>600</v>
      </c>
      <c r="C229" s="53">
        <f t="shared" si="43"/>
        <v>12.471708</v>
      </c>
      <c r="D229" s="53">
        <f t="shared" si="43"/>
        <v>12.471708</v>
      </c>
      <c r="E229" s="53" cm="1">
        <f t="array" ref="E229">$D$2*SUM( ( ($B$12:$B$17) * ($B$12:$B$17)* EXP($B$12:$B$17/B229) ) / ( B229*B229* ( EXP(( $B$12:$B$17)/B229 )  -1)^2 ) )</f>
        <v>26.63327175768433</v>
      </c>
      <c r="H229" s="35">
        <f t="shared" si="46"/>
        <v>600</v>
      </c>
      <c r="I229" s="53">
        <f t="shared" si="44"/>
        <v>2.9808097514340344</v>
      </c>
      <c r="J229" s="53">
        <f t="shared" si="44"/>
        <v>2.9808097514340344</v>
      </c>
      <c r="K229" s="53" cm="1">
        <f t="array" ref="K229">$D$2*SUM( ( ($B$12:$B$17) * ($B$12:$B$17)* EXP($B$12:$B$17/B229) ) / ( B229*B229* ( EXP(( $B$12:$B$17)/B229 )  -1)^2 ) )/ 4.184</f>
        <v>6.3655047221998871</v>
      </c>
      <c r="M229" s="154"/>
      <c r="N229" s="156" t="s">
        <v>29</v>
      </c>
      <c r="O229" s="80"/>
    </row>
    <row r="230" spans="1:15" x14ac:dyDescent="0.3">
      <c r="B230" s="35">
        <f t="shared" si="45"/>
        <v>700</v>
      </c>
      <c r="C230" s="53">
        <f t="shared" si="43"/>
        <v>12.471708</v>
      </c>
      <c r="D230" s="53">
        <f t="shared" si="43"/>
        <v>12.471708</v>
      </c>
      <c r="E230" s="53" cm="1">
        <f t="array" ref="E230">$D$2*SUM( ( ($B$12:$B$17) * ($B$12:$B$17)* EXP($B$12:$B$17/B230) ) / ( B230*B230* ( EXP(( $B$12:$B$17)/B230 )  -1)^2 ) )</f>
        <v>30.625755782516805</v>
      </c>
      <c r="H230" s="35">
        <f t="shared" si="46"/>
        <v>700</v>
      </c>
      <c r="I230" s="53">
        <f t="shared" si="44"/>
        <v>2.9808097514340344</v>
      </c>
      <c r="J230" s="53">
        <f t="shared" si="44"/>
        <v>2.9808097514340344</v>
      </c>
      <c r="K230" s="53" cm="1">
        <f t="array" ref="K230">$D$2*SUM( ( ($B$12:$B$17) * ($B$12:$B$17)* EXP($B$12:$B$17/B230) ) / ( B230*B230* ( EXP(( $B$12:$B$17)/B230 )  -1)^2 ) )/ 4.184</f>
        <v>7.3197313055728497</v>
      </c>
      <c r="M230" s="157"/>
      <c r="N230" s="158" t="s">
        <v>32</v>
      </c>
      <c r="O230" s="80"/>
    </row>
    <row r="231" spans="1:15" x14ac:dyDescent="0.3">
      <c r="B231" s="35">
        <f t="shared" si="45"/>
        <v>800</v>
      </c>
      <c r="C231" s="53">
        <f t="shared" si="43"/>
        <v>12.471708</v>
      </c>
      <c r="D231" s="53">
        <f t="shared" si="43"/>
        <v>12.471708</v>
      </c>
      <c r="E231" s="53" cm="1">
        <f t="array" ref="E231">$D$2*SUM( ( ($B$12:$B$17) * ($B$12:$B$17)* EXP($B$12:$B$17/B231) ) / ( B231*B231* ( EXP(( $B$12:$B$17)/B231 )  -1)^2 ) )</f>
        <v>33.81439372014357</v>
      </c>
      <c r="H231" s="35">
        <f t="shared" si="46"/>
        <v>800</v>
      </c>
      <c r="I231" s="53">
        <f t="shared" si="44"/>
        <v>2.9808097514340344</v>
      </c>
      <c r="J231" s="53">
        <f t="shared" si="44"/>
        <v>2.9808097514340344</v>
      </c>
      <c r="K231" s="53" cm="1">
        <f t="array" ref="K231">$D$2*SUM( ( ($B$12:$B$17) * ($B$12:$B$17)* EXP($B$12:$B$17/B231) ) / ( B231*B231* ( EXP(( $B$12:$B$17)/B231 )  -1)^2 ) )/ 4.184</f>
        <v>8.0818340631318275</v>
      </c>
      <c r="M231" s="157" t="s">
        <v>33</v>
      </c>
      <c r="N231" s="175">
        <v>8.1470000000000002</v>
      </c>
      <c r="O231" s="46"/>
    </row>
    <row r="232" spans="1:15" x14ac:dyDescent="0.3">
      <c r="B232" s="35">
        <f t="shared" si="45"/>
        <v>900</v>
      </c>
      <c r="C232" s="53">
        <f t="shared" si="43"/>
        <v>12.471708</v>
      </c>
      <c r="D232" s="53">
        <f t="shared" si="43"/>
        <v>12.471708</v>
      </c>
      <c r="E232" s="53" cm="1">
        <f t="array" ref="E232">$D$2*SUM( ( ($B$12:$B$17) * ($B$12:$B$17)* EXP($B$12:$B$17/B232) ) / ( B232*B232* ( EXP(( $B$12:$B$17)/B232 )  -1)^2 ) )</f>
        <v>36.355478960792837</v>
      </c>
      <c r="H232" s="35">
        <f t="shared" si="46"/>
        <v>900</v>
      </c>
      <c r="I232" s="53">
        <f t="shared" si="44"/>
        <v>2.9808097514340344</v>
      </c>
      <c r="J232" s="53">
        <f t="shared" si="44"/>
        <v>2.9808097514340344</v>
      </c>
      <c r="K232" s="53" cm="1">
        <f t="array" ref="K232">$D$2*SUM( ( ($B$12:$B$17) * ($B$12:$B$17)* EXP($B$12:$B$17/B232) ) / ( B232*B232* ( EXP(( $B$12:$B$17)/B232 )  -1)^2 ) )/ 4.184</f>
        <v>8.6891680116617671</v>
      </c>
      <c r="M232" s="157" t="s">
        <v>34</v>
      </c>
      <c r="N232" s="175">
        <v>0</v>
      </c>
      <c r="O232" s="46"/>
    </row>
    <row r="233" spans="1:15" x14ac:dyDescent="0.3">
      <c r="B233" s="35">
        <f t="shared" si="45"/>
        <v>1000</v>
      </c>
      <c r="C233" s="53">
        <f t="shared" si="43"/>
        <v>12.471708</v>
      </c>
      <c r="D233" s="53">
        <f t="shared" si="43"/>
        <v>12.471708</v>
      </c>
      <c r="E233" s="53" cm="1">
        <f t="array" ref="E233">$D$2*SUM( ( ($B$12:$B$17) * ($B$12:$B$17)* EXP($B$12:$B$17/B233) ) / ( B233*B233* ( EXP(( $B$12:$B$17)/B233 )  -1)^2 ) )</f>
        <v>38.388471698267537</v>
      </c>
      <c r="H233" s="35">
        <f t="shared" si="46"/>
        <v>1000</v>
      </c>
      <c r="I233" s="53">
        <f t="shared" si="44"/>
        <v>2.9808097514340344</v>
      </c>
      <c r="J233" s="53">
        <f t="shared" si="44"/>
        <v>2.9808097514340344</v>
      </c>
      <c r="K233" s="53" cm="1">
        <f t="array" ref="K233">$D$2*SUM( ( ($B$12:$B$17) * ($B$12:$B$17)* EXP($B$12:$B$17/B233) ) / ( B233*B233* ( EXP(( $B$12:$B$17)/B233 )  -1)^2 ) )/ 4.184</f>
        <v>9.1750649374444393</v>
      </c>
      <c r="M233" s="157" t="s">
        <v>35</v>
      </c>
      <c r="N233" s="175">
        <v>2.9809999999999999</v>
      </c>
      <c r="O233" s="46"/>
    </row>
    <row r="234" spans="1:15" x14ac:dyDescent="0.3">
      <c r="B234" s="35">
        <f t="shared" si="45"/>
        <v>1100</v>
      </c>
      <c r="C234" s="53">
        <f t="shared" si="43"/>
        <v>12.471708</v>
      </c>
      <c r="D234" s="53">
        <f t="shared" si="43"/>
        <v>12.471708</v>
      </c>
      <c r="E234" s="53" cm="1">
        <f t="array" ref="E234">$D$2*SUM( ( ($B$12:$B$17) * ($B$12:$B$17)* EXP($B$12:$B$17/B234) ) / ( B234*B234* ( EXP(( $B$12:$B$17)/B234 )  -1)^2 ) )</f>
        <v>40.026507166766002</v>
      </c>
      <c r="H234" s="35">
        <f t="shared" si="46"/>
        <v>1100</v>
      </c>
      <c r="I234" s="53">
        <f t="shared" si="44"/>
        <v>2.9808097514340344</v>
      </c>
      <c r="J234" s="53">
        <f t="shared" si="44"/>
        <v>2.9808097514340344</v>
      </c>
      <c r="K234" s="53" cm="1">
        <f t="array" ref="K234">$D$2*SUM( ( ($B$12:$B$17) * ($B$12:$B$17)* EXP($B$12:$B$17/B234) ) / ( B234*B234* ( EXP(( $B$12:$B$17)/B234 )  -1)^2 ) )/ 4.184</f>
        <v>9.5665648104125243</v>
      </c>
      <c r="M234" s="157" t="s">
        <v>36</v>
      </c>
      <c r="N234" s="175">
        <v>2.9809999999999999</v>
      </c>
      <c r="O234" s="46"/>
    </row>
    <row r="235" spans="1:15" ht="15" thickBot="1" x14ac:dyDescent="0.35">
      <c r="B235" s="35">
        <f t="shared" si="45"/>
        <v>1200</v>
      </c>
      <c r="C235" s="53">
        <f t="shared" si="43"/>
        <v>12.471708</v>
      </c>
      <c r="D235" s="53">
        <f t="shared" si="43"/>
        <v>12.471708</v>
      </c>
      <c r="E235" s="53" cm="1">
        <f t="array" ref="E235">$D$2*SUM( ( ($B$12:$B$17) * ($B$12:$B$17)* EXP($B$12:$B$17/B235) ) / ( B235*B235* ( EXP(( $B$12:$B$17)/B235 )  -1)^2 ) )</f>
        <v>41.357638601949937</v>
      </c>
      <c r="H235" s="35">
        <f t="shared" si="46"/>
        <v>1200</v>
      </c>
      <c r="I235" s="53">
        <f t="shared" si="44"/>
        <v>2.9808097514340344</v>
      </c>
      <c r="J235" s="53">
        <f t="shared" si="44"/>
        <v>2.9808097514340344</v>
      </c>
      <c r="K235" s="53" cm="1">
        <f t="array" ref="K235">$D$2*SUM( ( ($B$12:$B$17) * ($B$12:$B$17)* EXP($B$12:$B$17/B235) ) / ( B235*B235* ( EXP(( $B$12:$B$17)/B235 )  -1)^2 ) )/ 4.184</f>
        <v>9.88471285897465</v>
      </c>
      <c r="M235" s="159" t="s">
        <v>37</v>
      </c>
      <c r="N235" s="160">
        <v>2.1859999999999999</v>
      </c>
      <c r="O235" s="46"/>
    </row>
    <row r="236" spans="1:15" x14ac:dyDescent="0.3">
      <c r="B236" s="35">
        <f t="shared" si="45"/>
        <v>1300</v>
      </c>
      <c r="C236" s="53">
        <f t="shared" si="43"/>
        <v>12.471708</v>
      </c>
      <c r="D236" s="53">
        <f t="shared" si="43"/>
        <v>12.471708</v>
      </c>
      <c r="E236" s="53" cm="1">
        <f t="array" ref="E236">$D$2*SUM( ( ($B$12:$B$17) * ($B$12:$B$17)* EXP($B$12:$B$17/B236) ) / ( B236*B236* ( EXP(( $B$12:$B$17)/B236 )  -1)^2 ) )</f>
        <v>42.449221630175956</v>
      </c>
      <c r="H236" s="35">
        <f t="shared" si="46"/>
        <v>1300</v>
      </c>
      <c r="I236" s="53">
        <f t="shared" si="44"/>
        <v>2.9808097514340344</v>
      </c>
      <c r="J236" s="53">
        <f t="shared" si="44"/>
        <v>2.9808097514340344</v>
      </c>
      <c r="K236" s="53" cm="1">
        <f t="array" ref="K236">$D$2*SUM( ( ($B$12:$B$17) * ($B$12:$B$17)* EXP($B$12:$B$17/B236) ) / ( B236*B236* ( EXP(( $B$12:$B$17)/B236 )  -1)^2 ) )/ 4.184</f>
        <v>10.145607464191194</v>
      </c>
      <c r="N236" s="46"/>
      <c r="O236" s="46"/>
    </row>
    <row r="237" spans="1:15" x14ac:dyDescent="0.3">
      <c r="B237" s="35">
        <f t="shared" si="45"/>
        <v>1400</v>
      </c>
      <c r="C237" s="53">
        <f t="shared" si="43"/>
        <v>12.471708</v>
      </c>
      <c r="D237" s="53">
        <f t="shared" si="43"/>
        <v>12.471708</v>
      </c>
      <c r="E237" s="53" cm="1">
        <f t="array" ref="E237">$D$2*SUM( ( ($B$12:$B$17) * ($B$12:$B$17)* EXP($B$12:$B$17/B237) ) / ( B237*B237* ( EXP(( $B$12:$B$17)/B237 )  -1)^2 ) )</f>
        <v>43.352518251442007</v>
      </c>
      <c r="H237" s="35">
        <f t="shared" si="46"/>
        <v>1400</v>
      </c>
      <c r="I237" s="53">
        <f t="shared" si="44"/>
        <v>2.9808097514340344</v>
      </c>
      <c r="J237" s="53">
        <f t="shared" si="44"/>
        <v>2.9808097514340344</v>
      </c>
      <c r="K237" s="53" cm="1">
        <f t="array" ref="K237">$D$2*SUM( ( ($B$12:$B$17) * ($B$12:$B$17)* EXP($B$12:$B$17/B237) ) / ( B237*B237* ( EXP(( $B$12:$B$17)/B237 )  -1)^2 ) )/ 4.184</f>
        <v>10.361500538107554</v>
      </c>
    </row>
    <row r="238" spans="1:15" ht="15" thickBot="1" x14ac:dyDescent="0.35">
      <c r="B238" s="35">
        <f t="shared" si="45"/>
        <v>1500</v>
      </c>
      <c r="C238" s="53">
        <f t="shared" si="43"/>
        <v>12.471708</v>
      </c>
      <c r="D238" s="53">
        <f t="shared" si="43"/>
        <v>12.471708</v>
      </c>
      <c r="E238" s="53" cm="1">
        <f t="array" ref="E238">$D$2*SUM( ( ($B$12:$B$17) * ($B$12:$B$17)* EXP($B$12:$B$17/B238) ) / ( B238*B238* ( EXP(( $B$12:$B$17)/B238 )  -1)^2 ) )</f>
        <v>44.106599789068675</v>
      </c>
      <c r="H238" s="35">
        <f t="shared" si="46"/>
        <v>1500</v>
      </c>
      <c r="I238" s="53">
        <f t="shared" si="44"/>
        <v>2.9808097514340344</v>
      </c>
      <c r="J238" s="53">
        <f t="shared" si="44"/>
        <v>2.9808097514340344</v>
      </c>
      <c r="K238" s="53" cm="1">
        <f t="array" ref="K238">$D$2*SUM( ( ($B$12:$B$17) * ($B$12:$B$17)* EXP($B$12:$B$17/B238) ) / ( B238*B238* ( EXP(( $B$12:$B$17)/B238 )  -1)^2 ) )/ 4.184</f>
        <v>10.54173035111584</v>
      </c>
    </row>
    <row r="239" spans="1:15" ht="15" thickBot="1" x14ac:dyDescent="0.35">
      <c r="B239" s="35">
        <f t="shared" si="45"/>
        <v>1600</v>
      </c>
      <c r="C239" s="53">
        <f t="shared" si="43"/>
        <v>12.471708</v>
      </c>
      <c r="D239" s="53">
        <f t="shared" si="43"/>
        <v>12.471708</v>
      </c>
      <c r="E239" s="53" cm="1">
        <f t="array" ref="E239">$D$2*SUM( ( ($B$12:$B$17) * ($B$12:$B$17)* EXP($B$12:$B$17/B239) ) / ( B239*B239* ( EXP(( $B$12:$B$17)/B239 )  -1)^2 ) )</f>
        <v>44.741396838997879</v>
      </c>
      <c r="H239" s="35">
        <f t="shared" si="46"/>
        <v>1600</v>
      </c>
      <c r="I239" s="53">
        <f t="shared" si="44"/>
        <v>2.9808097514340344</v>
      </c>
      <c r="J239" s="53">
        <f t="shared" si="44"/>
        <v>2.9808097514340344</v>
      </c>
      <c r="K239" s="53" cm="1">
        <f t="array" ref="K239">$D$2*SUM( ( ($B$12:$B$17) * ($B$12:$B$17)* EXP($B$12:$B$17/B239) ) / ( B239*B239* ( EXP(( $B$12:$B$17)/B239 )  -1)^2 ) )/ 4.184</f>
        <v>10.693450487332189</v>
      </c>
      <c r="M239" s="30" t="s">
        <v>93</v>
      </c>
      <c r="N239" s="173">
        <f>SUM(I226:L226)</f>
        <v>8.1473325657921887</v>
      </c>
    </row>
    <row r="240" spans="1:15" x14ac:dyDescent="0.3">
      <c r="B240" s="35">
        <f t="shared" si="45"/>
        <v>1700</v>
      </c>
      <c r="C240" s="53">
        <f t="shared" si="43"/>
        <v>12.471708</v>
      </c>
      <c r="D240" s="53">
        <f t="shared" si="43"/>
        <v>12.471708</v>
      </c>
      <c r="E240" s="53" cm="1">
        <f t="array" ref="E240">$D$2*SUM( ( ($B$12:$B$17) * ($B$12:$B$17)* EXP($B$12:$B$17/B240) ) / ( B240*B240* ( EXP(( $B$12:$B$17)/B240 )  -1)^2 ) )</f>
        <v>45.279998146404651</v>
      </c>
      <c r="H240" s="35">
        <f t="shared" si="46"/>
        <v>1700</v>
      </c>
      <c r="I240" s="53">
        <f t="shared" si="44"/>
        <v>2.9808097514340344</v>
      </c>
      <c r="J240" s="53">
        <f t="shared" si="44"/>
        <v>2.9808097514340344</v>
      </c>
      <c r="K240" s="53" cm="1">
        <f t="array" ref="K240">$D$2*SUM( ( ($B$12:$B$17) * ($B$12:$B$17)* EXP($B$12:$B$17/B240) ) / ( B240*B240* ( EXP(( $B$12:$B$17)/B240 )  -1)^2 ) )/ 4.184</f>
        <v>10.822179289293654</v>
      </c>
    </row>
    <row r="241" spans="1:12" x14ac:dyDescent="0.3">
      <c r="B241" s="35">
        <f t="shared" si="45"/>
        <v>1800</v>
      </c>
      <c r="C241" s="53">
        <f t="shared" si="43"/>
        <v>12.471708</v>
      </c>
      <c r="D241" s="53">
        <f t="shared" si="43"/>
        <v>12.471708</v>
      </c>
      <c r="E241" s="53" cm="1">
        <f t="array" ref="E241">$D$2*SUM( ( ($B$12:$B$17) * ($B$12:$B$17)* EXP($B$12:$B$17/B241) ) / ( B241*B241* ( EXP(( $B$12:$B$17)/B241 )  -1)^2 ) )</f>
        <v>45.740356409820414</v>
      </c>
      <c r="H241" s="35">
        <f t="shared" si="46"/>
        <v>1800</v>
      </c>
      <c r="I241" s="53">
        <f t="shared" si="44"/>
        <v>2.9808097514340344</v>
      </c>
      <c r="J241" s="53">
        <f t="shared" si="44"/>
        <v>2.9808097514340344</v>
      </c>
      <c r="K241" s="53" cm="1">
        <f t="array" ref="K241">$D$2*SUM( ( ($B$12:$B$17) * ($B$12:$B$17)* EXP($B$12:$B$17/B241) ) / ( B241*B241* ( EXP(( $B$12:$B$17)/B241 )  -1)^2 ) )/ 4.184</f>
        <v>10.932207554928397</v>
      </c>
    </row>
    <row r="242" spans="1:12" x14ac:dyDescent="0.3">
      <c r="B242" s="35">
        <f t="shared" si="45"/>
        <v>1900</v>
      </c>
      <c r="C242" s="53">
        <f t="shared" si="43"/>
        <v>12.471708</v>
      </c>
      <c r="D242" s="53">
        <f t="shared" si="43"/>
        <v>12.471708</v>
      </c>
      <c r="E242" s="53" cm="1">
        <f t="array" ref="E242">$D$2*SUM( ( ($B$12:$B$17) * ($B$12:$B$17)* EXP($B$12:$B$17/B242) ) / ( B242*B242* ( EXP(( $B$12:$B$17)/B242 )  -1)^2 ) )</f>
        <v>46.136547479793855</v>
      </c>
      <c r="H242" s="35">
        <f t="shared" si="46"/>
        <v>1900</v>
      </c>
      <c r="I242" s="53">
        <f t="shared" si="44"/>
        <v>2.9808097514340344</v>
      </c>
      <c r="J242" s="53">
        <f t="shared" si="44"/>
        <v>2.9808097514340344</v>
      </c>
      <c r="K242" s="53" cm="1">
        <f t="array" ref="K242">$D$2*SUM( ( ($B$12:$B$17) * ($B$12:$B$17)* EXP($B$12:$B$17/B242) ) / ( B242*B242* ( EXP(( $B$12:$B$17)/B242 )  -1)^2 ) )/ 4.184</f>
        <v>11.026899493258568</v>
      </c>
    </row>
    <row r="243" spans="1:12" x14ac:dyDescent="0.3">
      <c r="B243" s="35">
        <f t="shared" si="45"/>
        <v>2000</v>
      </c>
      <c r="C243" s="53">
        <f t="shared" si="43"/>
        <v>12.471708</v>
      </c>
      <c r="D243" s="53">
        <f t="shared" si="43"/>
        <v>12.471708</v>
      </c>
      <c r="E243" s="53" cm="1">
        <f t="array" ref="E243">$D$2*SUM( ( ($B$12:$B$17) * ($B$12:$B$17)* EXP($B$12:$B$17/B243) ) / ( B243*B243* ( EXP(( $B$12:$B$17)/B243 )  -1)^2 ) )</f>
        <v>46.479700454320579</v>
      </c>
      <c r="H243" s="35">
        <f t="shared" si="46"/>
        <v>2000</v>
      </c>
      <c r="I243" s="53">
        <f t="shared" si="44"/>
        <v>2.9808097514340344</v>
      </c>
      <c r="J243" s="53">
        <f t="shared" si="44"/>
        <v>2.9808097514340344</v>
      </c>
      <c r="K243" s="53" cm="1">
        <f t="array" ref="K243">$D$2*SUM( ( ($B$12:$B$17) * ($B$12:$B$17)* EXP($B$12:$B$17/B243) ) / ( B243*B243* ( EXP(( $B$12:$B$17)/B243 )  -1)^2 ) )/ 4.184</f>
        <v>11.108915022543158</v>
      </c>
    </row>
    <row r="244" spans="1:12" ht="15" thickBot="1" x14ac:dyDescent="0.35">
      <c r="B244" s="26">
        <f t="shared" si="45"/>
        <v>2100</v>
      </c>
      <c r="C244" s="56">
        <f t="shared" si="43"/>
        <v>12.471708</v>
      </c>
      <c r="D244" s="56">
        <f t="shared" si="43"/>
        <v>12.471708</v>
      </c>
      <c r="E244" s="56" cm="1">
        <f t="array" ref="E244">$D$2*SUM( ( ($B$12:$B$17) * ($B$12:$B$17)* EXP($B$12:$B$17/B244) ) / ( B244*B244* ( EXP(( $B$12:$B$17)/B244 )  -1)^2 ) )</f>
        <v>46.77868738628267</v>
      </c>
      <c r="F244" s="51"/>
      <c r="H244" s="26">
        <f t="shared" si="46"/>
        <v>2100</v>
      </c>
      <c r="I244" s="56">
        <f t="shared" si="44"/>
        <v>2.9808097514340344</v>
      </c>
      <c r="J244" s="56">
        <f t="shared" si="44"/>
        <v>2.9808097514340344</v>
      </c>
      <c r="K244" s="56" cm="1">
        <f t="array" ref="K244">$D$2*SUM( ( ($B$12:$B$17) * ($B$12:$B$17)* EXP($B$12:$B$17/B244) ) / ( B244*B244* ( EXP(( $B$12:$B$17)/B244 )  -1)^2 ) )/ 4.184</f>
        <v>11.180374614312301</v>
      </c>
      <c r="L244" s="51"/>
    </row>
    <row r="247" spans="1:12" ht="15" thickBot="1" x14ac:dyDescent="0.35">
      <c r="A247" s="5" t="s">
        <v>130</v>
      </c>
    </row>
    <row r="248" spans="1:12" ht="18" x14ac:dyDescent="0.3">
      <c r="A248" s="5" t="s">
        <v>87</v>
      </c>
      <c r="B248" s="95" t="s">
        <v>46</v>
      </c>
      <c r="C248" s="16" t="s">
        <v>88</v>
      </c>
      <c r="D248" s="16" t="s">
        <v>36</v>
      </c>
      <c r="E248" s="16" t="s">
        <v>37</v>
      </c>
      <c r="F248" s="19" t="s">
        <v>89</v>
      </c>
    </row>
    <row r="249" spans="1:12" ht="15" thickBot="1" x14ac:dyDescent="0.35">
      <c r="B249" s="35">
        <f>298.15</f>
        <v>298.14999999999998</v>
      </c>
      <c r="C249" s="53">
        <f xml:space="preserve"> -1 * $D$2 * LN( (($A$2 *B249) / $F$83 ) /$F$2 * EXP(1) * $G$2 )</f>
        <v>322.91692854903363</v>
      </c>
      <c r="D249" s="53">
        <f>$D$2 * B249*LN( (B249) / ($B$6 * $C$198))</f>
        <v>15112.124460127388</v>
      </c>
      <c r="E249" s="53" cm="1">
        <f t="array" ref="E249">$D$2*SUM( ( 0.5 * ($B$12:$B$17)  - B249 * LN( 1 - EXP( - ($B$12:$B$17) / B249 ) ) ) )</f>
        <v>43857.286440677322</v>
      </c>
      <c r="F249" s="65">
        <f>$F$2*$B$134 + 0.5*$D$2*SUM(B12:B29)</f>
        <v>-149580956.28557944</v>
      </c>
    </row>
    <row r="250" spans="1:12" x14ac:dyDescent="0.3">
      <c r="B250" s="35">
        <f>300+100</f>
        <v>400</v>
      </c>
      <c r="C250" s="53">
        <f t="shared" ref="C250:C267" si="47" xml:space="preserve"> -1 * $D$2 * LN( (($A$2 *B250) / $F$83 ) /$F$2 * EXP(1) * $G$2 )</f>
        <v>320.47357269200296</v>
      </c>
      <c r="D250" s="53">
        <f t="shared" ref="D250:D267" si="48">$D$2 * B250*LN( (B250) / ($B$6 * $C$198))</f>
        <v>21251.86786369421</v>
      </c>
      <c r="E250" s="53" cm="1">
        <f t="array" ref="E250">$D$2*SUM( ( 0.5 * ($B$12:$B$17)  - B250 * LN( 1 - EXP( - ($B$12:$B$17) / B250 ) ) ) )</f>
        <v>44344.134295995987</v>
      </c>
    </row>
    <row r="251" spans="1:12" x14ac:dyDescent="0.3">
      <c r="B251" s="35">
        <f t="shared" ref="B251:B267" si="49">B250+100</f>
        <v>500</v>
      </c>
      <c r="C251" s="53">
        <f t="shared" si="47"/>
        <v>318.61825188262043</v>
      </c>
      <c r="D251" s="53">
        <f t="shared" si="48"/>
        <v>27492.495234309041</v>
      </c>
      <c r="E251" s="53" cm="1">
        <f t="array" ref="E251">$D$2*SUM( ( 0.5 * ($B$12:$B$17)  - B251 * LN( 1 - EXP( - ($B$12:$B$17) / B251 ) ) ) )</f>
        <v>45216.63651014815</v>
      </c>
    </row>
    <row r="252" spans="1:12" x14ac:dyDescent="0.3">
      <c r="B252" s="35">
        <f t="shared" si="49"/>
        <v>600</v>
      </c>
      <c r="C252" s="53">
        <f t="shared" si="47"/>
        <v>317.10234440366065</v>
      </c>
      <c r="D252" s="53">
        <f t="shared" si="48"/>
        <v>33900.538768546699</v>
      </c>
      <c r="E252" s="53" cm="1">
        <f t="array" ref="E252">$D$2*SUM( ( 0.5 * ($B$12:$B$17)  - B252 * LN( 1 - EXP( - ($B$12:$B$17) / B252 ) ) ) )</f>
        <v>46520.78184734127</v>
      </c>
    </row>
    <row r="253" spans="1:12" x14ac:dyDescent="0.3">
      <c r="B253" s="35">
        <f t="shared" si="49"/>
        <v>700</v>
      </c>
      <c r="C253" s="53">
        <f t="shared" si="47"/>
        <v>315.82066289245597</v>
      </c>
      <c r="D253" s="53">
        <f t="shared" si="48"/>
        <v>40447.805621147774</v>
      </c>
      <c r="E253" s="53" cm="1">
        <f t="array" ref="E253">$D$2*SUM( ( 0.5 * ($B$12:$B$17)  - B253 * LN( 1 - EXP( - ($B$12:$B$17) / B253 ) ) ) )</f>
        <v>48267.481742037577</v>
      </c>
    </row>
    <row r="254" spans="1:12" x14ac:dyDescent="0.3">
      <c r="B254" s="35">
        <f t="shared" si="49"/>
        <v>800</v>
      </c>
      <c r="C254" s="53">
        <f t="shared" si="47"/>
        <v>314.71041986735833</v>
      </c>
      <c r="D254" s="53">
        <f t="shared" si="48"/>
        <v>47114.257987104109</v>
      </c>
      <c r="E254" s="53" cm="1">
        <f t="array" ref="E254">$D$2*SUM( ( 0.5 * ($B$12:$B$17)  - B254 * LN( 1 - EXP( - ($B$12:$B$17) / B254 ) ) ) )</f>
        <v>50451.001196823061</v>
      </c>
    </row>
    <row r="255" spans="1:12" x14ac:dyDescent="0.3">
      <c r="B255" s="35">
        <f t="shared" si="49"/>
        <v>900</v>
      </c>
      <c r="C255" s="53">
        <f t="shared" si="47"/>
        <v>313.73111611531834</v>
      </c>
      <c r="D255" s="53">
        <f t="shared" si="48"/>
        <v>53884.913612328121</v>
      </c>
      <c r="E255" s="53" cm="1">
        <f t="array" ref="E255">$D$2*SUM( ( 0.5 * ($B$12:$B$17)  - B255 * LN( 1 - EXP( - ($B$12:$B$17) / B255 ) ) ) )</f>
        <v>53056.883697502555</v>
      </c>
    </row>
    <row r="256" spans="1:12" x14ac:dyDescent="0.3">
      <c r="B256" s="35">
        <f t="shared" si="49"/>
        <v>1000</v>
      </c>
      <c r="C256" s="53">
        <f t="shared" si="47"/>
        <v>312.85509905797579</v>
      </c>
      <c r="D256" s="53">
        <f t="shared" si="48"/>
        <v>60748.143293262692</v>
      </c>
      <c r="E256" s="53" cm="1">
        <f t="array" ref="E256">$D$2*SUM( ( 0.5 * ($B$12:$B$17)  - B256 * LN( 1 - EXP( - ($B$12:$B$17) / B256 ) ) ) )</f>
        <v>56066.609442809553</v>
      </c>
    </row>
    <row r="257" spans="1:12" x14ac:dyDescent="0.3">
      <c r="B257" s="35">
        <f t="shared" si="49"/>
        <v>1100</v>
      </c>
      <c r="C257" s="53">
        <f t="shared" si="47"/>
        <v>312.06264523667778</v>
      </c>
      <c r="D257" s="53">
        <f t="shared" si="48"/>
        <v>67694.656826016784</v>
      </c>
      <c r="E257" s="53" cm="1">
        <f t="array" ref="E257">$D$2*SUM( ( 0.5 * ($B$12:$B$17)  - B257 * LN( 1 - EXP( - ($B$12:$B$17) / B257 ) ) ) )</f>
        <v>59460.227413357308</v>
      </c>
    </row>
    <row r="258" spans="1:12" x14ac:dyDescent="0.3">
      <c r="B258" s="35">
        <f t="shared" si="49"/>
        <v>1200</v>
      </c>
      <c r="C258" s="53">
        <f t="shared" si="47"/>
        <v>311.33919157901607</v>
      </c>
      <c r="D258" s="53">
        <f t="shared" si="48"/>
        <v>74716.860926666937</v>
      </c>
      <c r="E258" s="53" cm="1">
        <f t="array" ref="E258">$D$2*SUM( ( 0.5 * ($B$12:$B$17)  - B258 * LN( 1 - EXP( - ($B$12:$B$17) / B258 ) ) ) )</f>
        <v>63217.788998893018</v>
      </c>
    </row>
    <row r="259" spans="1:12" x14ac:dyDescent="0.3">
      <c r="B259" s="35">
        <f t="shared" si="49"/>
        <v>1300</v>
      </c>
      <c r="C259" s="53">
        <f t="shared" si="47"/>
        <v>310.67367872726021</v>
      </c>
      <c r="D259" s="53">
        <f t="shared" si="48"/>
        <v>81808.432711171714</v>
      </c>
      <c r="E259" s="53" cm="1">
        <f t="array" ref="E259">$D$2*SUM( ( 0.5 * ($B$12:$B$17)  - B259 * LN( 1 - EXP( - ($B$12:$B$17) / B259 ) ) ) )</f>
        <v>67320.091406003106</v>
      </c>
    </row>
    <row r="260" spans="1:12" x14ac:dyDescent="0.3">
      <c r="B260" s="35">
        <f t="shared" si="49"/>
        <v>1400</v>
      </c>
      <c r="C260" s="53">
        <f t="shared" si="47"/>
        <v>310.05751006781134</v>
      </c>
      <c r="D260" s="53">
        <f t="shared" si="48"/>
        <v>88964.025196798</v>
      </c>
      <c r="E260" s="53" cm="1">
        <f t="array" ref="E260">$D$2*SUM( ( 0.5 * ($B$12:$B$17)  - B260 * LN( 1 - EXP( - ($B$12:$B$17) / B260 ) ) ) )</f>
        <v>71749.03032041117</v>
      </c>
    </row>
    <row r="261" spans="1:12" x14ac:dyDescent="0.3">
      <c r="B261" s="35">
        <f t="shared" si="49"/>
        <v>1500</v>
      </c>
      <c r="C261" s="53">
        <f t="shared" si="47"/>
        <v>309.48387076963354</v>
      </c>
      <c r="D261" s="53">
        <f t="shared" si="48"/>
        <v>96179.057372407508</v>
      </c>
      <c r="E261" s="53" cm="1">
        <f t="array" ref="E261">$D$2*SUM( ( 0.5 * ($B$12:$B$17)  - B261 * LN( 1 - EXP( - ($B$12:$B$17) / B261 ) ) ) )</f>
        <v>76487.734883536628</v>
      </c>
    </row>
    <row r="262" spans="1:12" x14ac:dyDescent="0.3">
      <c r="B262" s="35">
        <f t="shared" si="49"/>
        <v>1600</v>
      </c>
      <c r="C262" s="53">
        <f t="shared" si="47"/>
        <v>308.9472670427138</v>
      </c>
      <c r="D262" s="53">
        <f t="shared" si="48"/>
        <v>103449.5604936396</v>
      </c>
      <c r="E262" s="53" cm="1">
        <f t="array" ref="E262">$D$2*SUM( ( 0.5 * ($B$12:$B$17)  - B262 * LN( 1 - EXP( - ($B$12:$B$17) / B262 ) ) ) )</f>
        <v>81520.584107137707</v>
      </c>
    </row>
    <row r="263" spans="1:12" x14ac:dyDescent="0.3">
      <c r="B263" s="35">
        <f t="shared" si="49"/>
        <v>1700</v>
      </c>
      <c r="C263" s="53">
        <f t="shared" si="47"/>
        <v>308.44320532211043</v>
      </c>
      <c r="D263" s="53">
        <f t="shared" si="48"/>
        <v>110772.06294951773</v>
      </c>
      <c r="E263" s="53" cm="1">
        <f t="array" ref="E263">$D$2*SUM( ( 0.5 * ($B$12:$B$17)  - B263 * LN( 1 - EXP( - ($B$12:$B$17) / B263 ) ) ) )</f>
        <v>86833.16122698781</v>
      </c>
    </row>
    <row r="264" spans="1:12" x14ac:dyDescent="0.3">
      <c r="B264" s="35">
        <f t="shared" si="49"/>
        <v>1800</v>
      </c>
      <c r="C264" s="53">
        <f t="shared" si="47"/>
        <v>307.96796329067377</v>
      </c>
      <c r="D264" s="53">
        <f t="shared" si="48"/>
        <v>118143.50230901653</v>
      </c>
      <c r="E264" s="53" cm="1">
        <f t="array" ref="E264">$D$2*SUM( ( 0.5 * ($B$12:$B$17)  - B264 * LN( 1 - EXP( - ($B$12:$B$17) / B264 ) ) ) )</f>
        <v>92412.178029012546</v>
      </c>
    </row>
    <row r="265" spans="1:12" x14ac:dyDescent="0.3">
      <c r="B265" s="35">
        <f t="shared" si="49"/>
        <v>1900</v>
      </c>
      <c r="C265" s="53">
        <f t="shared" si="47"/>
        <v>307.51842289330426</v>
      </c>
      <c r="D265" s="53">
        <f t="shared" si="48"/>
        <v>125561.15697007508</v>
      </c>
      <c r="E265" s="53" cm="1">
        <f t="array" ref="E265">$D$2*SUM( ( 0.5 * ($B$12:$B$17)  - B265 * LN( 1 - EXP( - ($B$12:$B$17) / B265 ) ) ) )</f>
        <v>98245.387130593663</v>
      </c>
    </row>
    <row r="266" spans="1:12" x14ac:dyDescent="0.3">
      <c r="B266" s="35">
        <f t="shared" si="49"/>
        <v>2000</v>
      </c>
      <c r="C266" s="53">
        <f t="shared" si="47"/>
        <v>307.09194623333116</v>
      </c>
      <c r="D266" s="53">
        <f t="shared" si="48"/>
        <v>133022.59223581461</v>
      </c>
      <c r="E266" s="53" cm="1">
        <f t="array" ref="E266">$D$2*SUM( ( 0.5 * ($B$12:$B$17)  - B266 * LN( 1 - EXP( - ($B$12:$B$17) / B266 ) ) ) )</f>
        <v>104321.49211842915</v>
      </c>
    </row>
    <row r="267" spans="1:12" ht="15" thickBot="1" x14ac:dyDescent="0.35">
      <c r="B267" s="26">
        <f t="shared" si="49"/>
        <v>2100</v>
      </c>
      <c r="C267" s="56">
        <f t="shared" si="47"/>
        <v>306.68628177946903</v>
      </c>
      <c r="D267" s="56">
        <f t="shared" si="48"/>
        <v>140525.61720071587</v>
      </c>
      <c r="E267" s="53" cm="1">
        <f t="array" ref="E267">$D$2*SUM( ( 0.5 * ($B$12:$B$17)  - B267 * LN( 1 - EXP( - ($B$12:$B$17) / B267 ) ) ) )</f>
        <v>110630.06079498377</v>
      </c>
      <c r="F267" s="51"/>
    </row>
    <row r="268" spans="1:12" ht="15" thickBot="1" x14ac:dyDescent="0.35">
      <c r="E268" s="25"/>
    </row>
    <row r="272" spans="1:12" ht="15" thickBot="1" x14ac:dyDescent="0.35">
      <c r="A272" s="5" t="s">
        <v>104</v>
      </c>
      <c r="B272" s="196" t="s">
        <v>102</v>
      </c>
      <c r="C272" s="196"/>
      <c r="D272" s="196"/>
      <c r="E272" s="196"/>
      <c r="F272" s="196"/>
      <c r="H272" s="196" t="s">
        <v>103</v>
      </c>
      <c r="I272" s="196"/>
      <c r="J272" s="196"/>
      <c r="K272" s="196"/>
      <c r="L272" s="196"/>
    </row>
    <row r="273" spans="1:12" ht="18" x14ac:dyDescent="0.3">
      <c r="A273" s="5" t="s">
        <v>98</v>
      </c>
      <c r="B273" s="95" t="s">
        <v>46</v>
      </c>
      <c r="C273" s="16" t="s">
        <v>88</v>
      </c>
      <c r="D273" s="16" t="s">
        <v>36</v>
      </c>
      <c r="E273" s="16" t="s">
        <v>37</v>
      </c>
      <c r="F273" s="16" t="s">
        <v>89</v>
      </c>
      <c r="H273" s="95" t="s">
        <v>46</v>
      </c>
      <c r="I273" s="118" t="s">
        <v>88</v>
      </c>
      <c r="J273" s="118" t="s">
        <v>36</v>
      </c>
      <c r="K273" s="118" t="s">
        <v>37</v>
      </c>
      <c r="L273" s="16" t="s">
        <v>89</v>
      </c>
    </row>
    <row r="274" spans="1:12" ht="15" thickBot="1" x14ac:dyDescent="0.35">
      <c r="B274" s="52">
        <f>300</f>
        <v>300</v>
      </c>
      <c r="C274" s="53">
        <f>3/2*$D$2 + $D$2</f>
        <v>20.786180000000002</v>
      </c>
      <c r="D274" s="53">
        <f>3/2*$D$2  + $D$2</f>
        <v>20.786180000000002</v>
      </c>
      <c r="E274" s="53" t="e" cm="1">
        <f t="array" ref="E274">$D$2*SUM( ( ($B$12:$B$20) * ($B$12:$B$20)* EXP($B$12:$B$20/B274) ) / ( B274*B274* ( EXP(( $B$12:$B$20)/B274 )  -1)^2 ) ) +   $D$2</f>
        <v>#DIV/0!</v>
      </c>
      <c r="F274" s="56" t="s">
        <v>105</v>
      </c>
      <c r="H274" s="52">
        <f>300</f>
        <v>300</v>
      </c>
      <c r="I274" s="106">
        <f>(3/2*$D$2  + $D$2)/ 4.184</f>
        <v>4.9680162523900577</v>
      </c>
      <c r="J274" s="106">
        <f>(3/2*$D$2 + $D$2) / 4.184</f>
        <v>4.9680162523900577</v>
      </c>
      <c r="K274" s="106" t="e" cm="1">
        <f t="array" ref="K274" xml:space="preserve"> ($D$2*SUM( ( ($B$12:$B$20) * ($B$12:$B$20)* EXP($B$12:$B$20/B274) ) / ( B274*B274* ( EXP(( $B$12:$B$20)/B274 )  -1)^2 ) ) +   $D$2 ) / 4.184</f>
        <v>#DIV/0!</v>
      </c>
      <c r="L274" s="119" t="s">
        <v>105</v>
      </c>
    </row>
    <row r="275" spans="1:12" x14ac:dyDescent="0.3">
      <c r="B275" s="52">
        <f>B274+100</f>
        <v>400</v>
      </c>
      <c r="C275" s="53">
        <f t="shared" ref="C275:C292" si="50">3/2*$D$2 + $D$2</f>
        <v>20.786180000000002</v>
      </c>
      <c r="D275" s="53">
        <f t="shared" ref="D275:D292" si="51">3/2*$D$2  + $D$2</f>
        <v>20.786180000000002</v>
      </c>
      <c r="E275" s="53" t="e" cm="1">
        <f t="array" ref="E275">$D$2*SUM( ( ($B$12:$B$20) * ($B$12:$B$20)* EXP($B$12:$B$20/B275) ) / ( B275*B275* ( EXP(( $B$12:$B$20)/B275 )  -1)^2 ) ) +   $D$2</f>
        <v>#DIV/0!</v>
      </c>
      <c r="H275" s="52">
        <f>H274+100</f>
        <v>400</v>
      </c>
      <c r="I275" s="53">
        <f t="shared" ref="I275:I292" si="52">(3/2*$D$2  + $D$2)/ 4.184</f>
        <v>4.9680162523900577</v>
      </c>
      <c r="J275" s="53">
        <f t="shared" ref="J275:J292" si="53">(3/2*$D$2 + $D$2) / 4.184</f>
        <v>4.9680162523900577</v>
      </c>
      <c r="K275" s="53" t="e" cm="1">
        <f t="array" ref="K275" xml:space="preserve"> ($D$2*SUM( ( ($B$12:$B$20) * ($B$12:$B$20)* EXP($B$12:$B$20/B275) ) / ( B275*B275* ( EXP(( $B$12:$B$20)/B275)  -1)^2 ) ) +   $D$2 ) / 4.184</f>
        <v>#DIV/0!</v>
      </c>
    </row>
    <row r="276" spans="1:12" x14ac:dyDescent="0.3">
      <c r="B276" s="52">
        <f t="shared" ref="B276:B292" si="54">B275+100</f>
        <v>500</v>
      </c>
      <c r="C276" s="53">
        <f t="shared" si="50"/>
        <v>20.786180000000002</v>
      </c>
      <c r="D276" s="53">
        <f t="shared" si="51"/>
        <v>20.786180000000002</v>
      </c>
      <c r="E276" s="53" t="e" cm="1">
        <f t="array" ref="E276">$D$2*SUM( ( ($B$12:$B$20) * ($B$12:$B$20)* EXP($B$12:$B$20/B276) ) / ( B276*B276* ( EXP(( $B$12:$B$20)/B276 )  -1)^2 ) ) +   $D$2</f>
        <v>#DIV/0!</v>
      </c>
      <c r="H276" s="52">
        <f t="shared" ref="H276:H292" si="55">H275+100</f>
        <v>500</v>
      </c>
      <c r="I276" s="53">
        <f t="shared" si="52"/>
        <v>4.9680162523900577</v>
      </c>
      <c r="J276" s="53">
        <f t="shared" si="53"/>
        <v>4.9680162523900577</v>
      </c>
      <c r="K276" s="53" t="e" cm="1">
        <f t="array" ref="K276" xml:space="preserve"> ($D$2*SUM( ( ($B$12:$B$20) * ($B$12:$B$20)* EXP($B$12:$B$20/B276) ) / ( B276*B276* ( EXP(( $B$12:$B$20)/B276)  -1)^2 ) ) +   $D$2 ) / 4.184</f>
        <v>#DIV/0!</v>
      </c>
    </row>
    <row r="277" spans="1:12" x14ac:dyDescent="0.3">
      <c r="B277" s="52">
        <f t="shared" si="54"/>
        <v>600</v>
      </c>
      <c r="C277" s="53">
        <f t="shared" si="50"/>
        <v>20.786180000000002</v>
      </c>
      <c r="D277" s="53">
        <f t="shared" si="51"/>
        <v>20.786180000000002</v>
      </c>
      <c r="E277" s="53" t="e" cm="1">
        <f t="array" ref="E277">$D$2*SUM( ( ($B$12:$B$20) * ($B$12:$B$20)* EXP($B$12:$B$20/B277) ) / ( B277*B277* ( EXP(( $B$12:$B$20)/B277 )  -1)^2 ) ) +   $D$2</f>
        <v>#DIV/0!</v>
      </c>
      <c r="H277" s="52">
        <f t="shared" si="55"/>
        <v>600</v>
      </c>
      <c r="I277" s="53">
        <f t="shared" si="52"/>
        <v>4.9680162523900577</v>
      </c>
      <c r="J277" s="53">
        <f t="shared" si="53"/>
        <v>4.9680162523900577</v>
      </c>
      <c r="K277" s="53" t="e" cm="1">
        <f t="array" ref="K277" xml:space="preserve"> ($D$2*SUM( ( ($B$12:$B$20) * ($B$12:$B$20)* EXP($B$12:$B$20/B277) ) / ( B277*B277* ( EXP(( $B$12:$B$20)/B277)  -1)^2 ) ) +   $D$2 ) / 4.184</f>
        <v>#DIV/0!</v>
      </c>
    </row>
    <row r="278" spans="1:12" x14ac:dyDescent="0.3">
      <c r="B278" s="52">
        <f t="shared" si="54"/>
        <v>700</v>
      </c>
      <c r="C278" s="53">
        <f t="shared" si="50"/>
        <v>20.786180000000002</v>
      </c>
      <c r="D278" s="53">
        <f t="shared" si="51"/>
        <v>20.786180000000002</v>
      </c>
      <c r="E278" s="53" t="e" cm="1">
        <f t="array" ref="E278">$D$2*SUM( ( ($B$12:$B$20) * ($B$12:$B$20)* EXP($B$12:$B$20/B278) ) / ( B278*B278* ( EXP(( $B$12:$B$20)/B278 )  -1)^2 ) ) +   $D$2</f>
        <v>#DIV/0!</v>
      </c>
      <c r="H278" s="52">
        <f t="shared" si="55"/>
        <v>700</v>
      </c>
      <c r="I278" s="53">
        <f t="shared" si="52"/>
        <v>4.9680162523900577</v>
      </c>
      <c r="J278" s="53">
        <f t="shared" si="53"/>
        <v>4.9680162523900577</v>
      </c>
      <c r="K278" s="53" t="e" cm="1">
        <f t="array" ref="K278" xml:space="preserve"> ($D$2*SUM( ( ($B$12:$B$20) * ($B$12:$B$20)* EXP($B$12:$B$20/B278) ) / ( B278*B278* ( EXP(( $B$12:$B$20)/B278)  -1)^2 ) ) +   $D$2 ) / 4.184</f>
        <v>#DIV/0!</v>
      </c>
    </row>
    <row r="279" spans="1:12" x14ac:dyDescent="0.3">
      <c r="B279" s="52">
        <f t="shared" si="54"/>
        <v>800</v>
      </c>
      <c r="C279" s="53">
        <f t="shared" si="50"/>
        <v>20.786180000000002</v>
      </c>
      <c r="D279" s="53">
        <f t="shared" si="51"/>
        <v>20.786180000000002</v>
      </c>
      <c r="E279" s="53" t="e" cm="1">
        <f t="array" ref="E279">$D$2*SUM( ( ($B$12:$B$20) * ($B$12:$B$20)* EXP($B$12:$B$20/B279) ) / ( B279*B279* ( EXP(( $B$12:$B$20)/B279 )  -1)^2 ) ) +   $D$2</f>
        <v>#DIV/0!</v>
      </c>
      <c r="H279" s="52">
        <f t="shared" si="55"/>
        <v>800</v>
      </c>
      <c r="I279" s="53">
        <f t="shared" si="52"/>
        <v>4.9680162523900577</v>
      </c>
      <c r="J279" s="53">
        <f t="shared" si="53"/>
        <v>4.9680162523900577</v>
      </c>
      <c r="K279" s="53" t="e" cm="1">
        <f t="array" ref="K279" xml:space="preserve"> ($D$2*SUM( ( ($B$12:$B$20) * ($B$12:$B$20)* EXP($B$12:$B$20/B279) ) / ( B279*B279* ( EXP(( $B$12:$B$20)/B279)  -1)^2 ) ) +   $D$2 ) / 4.184</f>
        <v>#DIV/0!</v>
      </c>
    </row>
    <row r="280" spans="1:12" x14ac:dyDescent="0.3">
      <c r="B280" s="52">
        <f t="shared" si="54"/>
        <v>900</v>
      </c>
      <c r="C280" s="53">
        <f t="shared" si="50"/>
        <v>20.786180000000002</v>
      </c>
      <c r="D280" s="53">
        <f t="shared" si="51"/>
        <v>20.786180000000002</v>
      </c>
      <c r="E280" s="53" t="e" cm="1">
        <f t="array" ref="E280">$D$2*SUM( ( ($B$12:$B$20) * ($B$12:$B$20)* EXP($B$12:$B$20/B280) ) / ( B280*B280* ( EXP(( $B$12:$B$20)/B280 )  -1)^2 ) ) +   $D$2</f>
        <v>#DIV/0!</v>
      </c>
      <c r="H280" s="52">
        <f t="shared" si="55"/>
        <v>900</v>
      </c>
      <c r="I280" s="53">
        <f t="shared" si="52"/>
        <v>4.9680162523900577</v>
      </c>
      <c r="J280" s="53">
        <f t="shared" si="53"/>
        <v>4.9680162523900577</v>
      </c>
      <c r="K280" s="53" t="e" cm="1">
        <f t="array" ref="K280" xml:space="preserve"> ($D$2*SUM( ( ($B$12:$B$20) * ($B$12:$B$20)* EXP($B$12:$B$20/B280) ) / ( B280*B280* ( EXP(( $B$12:$B$20)/B280)  -1)^2 ) ) +   $D$2 ) / 4.184</f>
        <v>#DIV/0!</v>
      </c>
    </row>
    <row r="281" spans="1:12" x14ac:dyDescent="0.3">
      <c r="B281" s="52">
        <f t="shared" si="54"/>
        <v>1000</v>
      </c>
      <c r="C281" s="53">
        <f t="shared" si="50"/>
        <v>20.786180000000002</v>
      </c>
      <c r="D281" s="53">
        <f t="shared" si="51"/>
        <v>20.786180000000002</v>
      </c>
      <c r="E281" s="53" t="e" cm="1">
        <f t="array" ref="E281">$D$2*SUM( ( ($B$12:$B$20) * ($B$12:$B$20)* EXP($B$12:$B$20/B281) ) / ( B281*B281* ( EXP(( $B$12:$B$20)/B281 )  -1)^2 ) ) +   $D$2</f>
        <v>#DIV/0!</v>
      </c>
      <c r="H281" s="52">
        <f t="shared" si="55"/>
        <v>1000</v>
      </c>
      <c r="I281" s="53">
        <f t="shared" si="52"/>
        <v>4.9680162523900577</v>
      </c>
      <c r="J281" s="53">
        <f t="shared" si="53"/>
        <v>4.9680162523900577</v>
      </c>
      <c r="K281" s="53" t="e" cm="1">
        <f t="array" ref="K281" xml:space="preserve"> ($D$2*SUM( ( ($B$12:$B$20) * ($B$12:$B$20)* EXP($B$12:$B$20/B281) ) / ( B281*B281* ( EXP(( $B$12:$B$20)/B281)  -1)^2 ) ) +   $D$2 ) / 4.184</f>
        <v>#DIV/0!</v>
      </c>
    </row>
    <row r="282" spans="1:12" x14ac:dyDescent="0.3">
      <c r="B282" s="52">
        <f t="shared" si="54"/>
        <v>1100</v>
      </c>
      <c r="C282" s="53">
        <f t="shared" si="50"/>
        <v>20.786180000000002</v>
      </c>
      <c r="D282" s="53">
        <f t="shared" si="51"/>
        <v>20.786180000000002</v>
      </c>
      <c r="E282" s="53" t="e" cm="1">
        <f t="array" ref="E282">$D$2*SUM( ( ($B$12:$B$20) * ($B$12:$B$20)* EXP($B$12:$B$20/B282) ) / ( B282*B282* ( EXP(( $B$12:$B$20)/B282 )  -1)^2 ) ) +   $D$2</f>
        <v>#DIV/0!</v>
      </c>
      <c r="H282" s="52">
        <f t="shared" si="55"/>
        <v>1100</v>
      </c>
      <c r="I282" s="53">
        <f t="shared" si="52"/>
        <v>4.9680162523900577</v>
      </c>
      <c r="J282" s="53">
        <f t="shared" si="53"/>
        <v>4.9680162523900577</v>
      </c>
      <c r="K282" s="53" t="e" cm="1">
        <f t="array" ref="K282" xml:space="preserve"> ($D$2*SUM( ( ($B$12:$B$20) * ($B$12:$B$20)* EXP($B$12:$B$20/B282) ) / ( B282*B282* ( EXP(( $B$12:$B$20)/B282)  -1)^2 ) ) +   $D$2 ) / 4.184</f>
        <v>#DIV/0!</v>
      </c>
    </row>
    <row r="283" spans="1:12" x14ac:dyDescent="0.3">
      <c r="B283" s="52">
        <f t="shared" si="54"/>
        <v>1200</v>
      </c>
      <c r="C283" s="53">
        <f t="shared" si="50"/>
        <v>20.786180000000002</v>
      </c>
      <c r="D283" s="53">
        <f t="shared" si="51"/>
        <v>20.786180000000002</v>
      </c>
      <c r="E283" s="53" t="e" cm="1">
        <f t="array" ref="E283">$D$2*SUM( ( ($B$12:$B$20) * ($B$12:$B$20)* EXP($B$12:$B$20/B283) ) / ( B283*B283* ( EXP(( $B$12:$B$20)/B283 )  -1)^2 ) ) +   $D$2</f>
        <v>#DIV/0!</v>
      </c>
      <c r="H283" s="52">
        <f t="shared" si="55"/>
        <v>1200</v>
      </c>
      <c r="I283" s="53">
        <f t="shared" si="52"/>
        <v>4.9680162523900577</v>
      </c>
      <c r="J283" s="53">
        <f t="shared" si="53"/>
        <v>4.9680162523900577</v>
      </c>
      <c r="K283" s="53" t="e" cm="1">
        <f t="array" ref="K283" xml:space="preserve"> ($D$2*SUM( ( ($B$12:$B$20) * ($B$12:$B$20)* EXP($B$12:$B$20/B283) ) / ( B283*B283* ( EXP(( $B$12:$B$20)/B283)  -1)^2 ) ) +   $D$2 ) / 4.184</f>
        <v>#DIV/0!</v>
      </c>
    </row>
    <row r="284" spans="1:12" x14ac:dyDescent="0.3">
      <c r="B284" s="52">
        <f t="shared" si="54"/>
        <v>1300</v>
      </c>
      <c r="C284" s="53">
        <f t="shared" si="50"/>
        <v>20.786180000000002</v>
      </c>
      <c r="D284" s="53">
        <f t="shared" si="51"/>
        <v>20.786180000000002</v>
      </c>
      <c r="E284" s="53" t="e" cm="1">
        <f t="array" ref="E284">$D$2*SUM( ( ($B$12:$B$20) * ($B$12:$B$20)* EXP($B$12:$B$20/B284) ) / ( B284*B284* ( EXP(( $B$12:$B$20)/B284 )  -1)^2 ) ) +   $D$2</f>
        <v>#DIV/0!</v>
      </c>
      <c r="H284" s="52">
        <f t="shared" si="55"/>
        <v>1300</v>
      </c>
      <c r="I284" s="53">
        <f t="shared" si="52"/>
        <v>4.9680162523900577</v>
      </c>
      <c r="J284" s="53">
        <f t="shared" si="53"/>
        <v>4.9680162523900577</v>
      </c>
      <c r="K284" s="53" t="e" cm="1">
        <f t="array" ref="K284" xml:space="preserve"> ($D$2*SUM( ( ($B$12:$B$20) * ($B$12:$B$20)* EXP($B$12:$B$20/B284) ) / ( B284*B284* ( EXP(( $B$12:$B$20)/B284)  -1)^2 ) ) +   $D$2 ) / 4.184</f>
        <v>#DIV/0!</v>
      </c>
    </row>
    <row r="285" spans="1:12" x14ac:dyDescent="0.3">
      <c r="B285" s="52">
        <f t="shared" si="54"/>
        <v>1400</v>
      </c>
      <c r="C285" s="53">
        <f t="shared" si="50"/>
        <v>20.786180000000002</v>
      </c>
      <c r="D285" s="53">
        <f t="shared" si="51"/>
        <v>20.786180000000002</v>
      </c>
      <c r="E285" s="53" t="e" cm="1">
        <f t="array" ref="E285">$D$2*SUM( ( ($B$12:$B$20) * ($B$12:$B$20)* EXP($B$12:$B$20/B285) ) / ( B285*B285* ( EXP(( $B$12:$B$20)/B285 )  -1)^2 ) ) +   $D$2</f>
        <v>#DIV/0!</v>
      </c>
      <c r="H285" s="52">
        <f t="shared" si="55"/>
        <v>1400</v>
      </c>
      <c r="I285" s="53">
        <f t="shared" si="52"/>
        <v>4.9680162523900577</v>
      </c>
      <c r="J285" s="53">
        <f t="shared" si="53"/>
        <v>4.9680162523900577</v>
      </c>
      <c r="K285" s="53" t="e" cm="1">
        <f t="array" ref="K285" xml:space="preserve"> ($D$2*SUM( ( ($B$12:$B$20) * ($B$12:$B$20)* EXP($B$12:$B$20/B285) ) / ( B285*B285* ( EXP(( $B$12:$B$20)/B285)  -1)^2 ) ) +   $D$2 ) / 4.184</f>
        <v>#DIV/0!</v>
      </c>
    </row>
    <row r="286" spans="1:12" x14ac:dyDescent="0.3">
      <c r="B286" s="52">
        <f t="shared" si="54"/>
        <v>1500</v>
      </c>
      <c r="C286" s="53">
        <f t="shared" si="50"/>
        <v>20.786180000000002</v>
      </c>
      <c r="D286" s="53">
        <f t="shared" si="51"/>
        <v>20.786180000000002</v>
      </c>
      <c r="E286" s="53" t="e" cm="1">
        <f t="array" ref="E286">$D$2*SUM( ( ($B$12:$B$20) * ($B$12:$B$20)* EXP($B$12:$B$20/B286) ) / ( B286*B286* ( EXP(( $B$12:$B$20)/B286 )  -1)^2 ) ) +   $D$2</f>
        <v>#DIV/0!</v>
      </c>
      <c r="H286" s="52">
        <f t="shared" si="55"/>
        <v>1500</v>
      </c>
      <c r="I286" s="53">
        <f t="shared" si="52"/>
        <v>4.9680162523900577</v>
      </c>
      <c r="J286" s="53">
        <f t="shared" si="53"/>
        <v>4.9680162523900577</v>
      </c>
      <c r="K286" s="53" t="e" cm="1">
        <f t="array" ref="K286" xml:space="preserve"> ($D$2*SUM( ( ($B$12:$B$20) * ($B$12:$B$20)* EXP($B$12:$B$20/B286) ) / ( B286*B286* ( EXP(( $B$12:$B$20)/B286)  -1)^2 ) ) +   $D$2 ) / 4.184</f>
        <v>#DIV/0!</v>
      </c>
    </row>
    <row r="287" spans="1:12" x14ac:dyDescent="0.3">
      <c r="B287" s="52">
        <f t="shared" si="54"/>
        <v>1600</v>
      </c>
      <c r="C287" s="53">
        <f t="shared" si="50"/>
        <v>20.786180000000002</v>
      </c>
      <c r="D287" s="53">
        <f t="shared" si="51"/>
        <v>20.786180000000002</v>
      </c>
      <c r="E287" s="53" t="e" cm="1">
        <f t="array" ref="E287">$D$2*SUM( ( ($B$12:$B$20) * ($B$12:$B$20)* EXP($B$12:$B$20/B287) ) / ( B287*B287* ( EXP(( $B$12:$B$20)/B287 )  -1)^2 ) ) +   $D$2</f>
        <v>#DIV/0!</v>
      </c>
      <c r="H287" s="52">
        <f t="shared" si="55"/>
        <v>1600</v>
      </c>
      <c r="I287" s="53">
        <f t="shared" si="52"/>
        <v>4.9680162523900577</v>
      </c>
      <c r="J287" s="53">
        <f t="shared" si="53"/>
        <v>4.9680162523900577</v>
      </c>
      <c r="K287" s="53" t="e" cm="1">
        <f t="array" ref="K287" xml:space="preserve"> ($D$2*SUM( ( ($B$12:$B$20) * ($B$12:$B$20)* EXP($B$12:$B$20/B287) ) / ( B287*B287* ( EXP(( $B$12:$B$20)/B287)  -1)^2 ) ) +   $D$2 ) / 4.184</f>
        <v>#DIV/0!</v>
      </c>
    </row>
    <row r="288" spans="1:12" x14ac:dyDescent="0.3">
      <c r="B288" s="52">
        <f t="shared" si="54"/>
        <v>1700</v>
      </c>
      <c r="C288" s="53">
        <f t="shared" si="50"/>
        <v>20.786180000000002</v>
      </c>
      <c r="D288" s="53">
        <f t="shared" si="51"/>
        <v>20.786180000000002</v>
      </c>
      <c r="E288" s="53" t="e" cm="1">
        <f t="array" ref="E288">$D$2*SUM( ( ($B$12:$B$20) * ($B$12:$B$20)* EXP($B$12:$B$20/B288) ) / ( B288*B288* ( EXP(( $B$12:$B$20)/B288 )  -1)^2 ) ) +   $D$2</f>
        <v>#DIV/0!</v>
      </c>
      <c r="H288" s="52">
        <f t="shared" si="55"/>
        <v>1700</v>
      </c>
      <c r="I288" s="53">
        <f t="shared" si="52"/>
        <v>4.9680162523900577</v>
      </c>
      <c r="J288" s="53">
        <f t="shared" si="53"/>
        <v>4.9680162523900577</v>
      </c>
      <c r="K288" s="53" t="e" cm="1">
        <f t="array" ref="K288" xml:space="preserve"> ($D$2*SUM( ( ($B$12:$B$20) * ($B$12:$B$20)* EXP($B$12:$B$20/B288) ) / ( B288*B288* ( EXP(( $B$12:$B$20)/B288)  -1)^2 ) ) +   $D$2 ) / 4.184</f>
        <v>#DIV/0!</v>
      </c>
    </row>
    <row r="289" spans="2:12" x14ac:dyDescent="0.3">
      <c r="B289" s="52">
        <f t="shared" si="54"/>
        <v>1800</v>
      </c>
      <c r="C289" s="53">
        <f t="shared" si="50"/>
        <v>20.786180000000002</v>
      </c>
      <c r="D289" s="53">
        <f t="shared" si="51"/>
        <v>20.786180000000002</v>
      </c>
      <c r="E289" s="53" t="e" cm="1">
        <f t="array" ref="E289">$D$2*SUM( ( ($B$12:$B$20) * ($B$12:$B$20)* EXP($B$12:$B$20/B289) ) / ( B289*B289* ( EXP(( $B$12:$B$20)/B289 )  -1)^2 ) ) +   $D$2</f>
        <v>#DIV/0!</v>
      </c>
      <c r="H289" s="52">
        <f t="shared" si="55"/>
        <v>1800</v>
      </c>
      <c r="I289" s="53">
        <f t="shared" si="52"/>
        <v>4.9680162523900577</v>
      </c>
      <c r="J289" s="53">
        <f t="shared" si="53"/>
        <v>4.9680162523900577</v>
      </c>
      <c r="K289" s="53" t="e" cm="1">
        <f t="array" ref="K289" xml:space="preserve"> ($D$2*SUM( ( ($B$12:$B$20) * ($B$12:$B$20)* EXP($B$12:$B$20/B289) ) / ( B289*B289* ( EXP(( $B$12:$B$20)/B289)  -1)^2 ) ) +   $D$2 ) / 4.184</f>
        <v>#DIV/0!</v>
      </c>
    </row>
    <row r="290" spans="2:12" x14ac:dyDescent="0.3">
      <c r="B290" s="52">
        <f t="shared" si="54"/>
        <v>1900</v>
      </c>
      <c r="C290" s="53">
        <f t="shared" si="50"/>
        <v>20.786180000000002</v>
      </c>
      <c r="D290" s="53">
        <f t="shared" si="51"/>
        <v>20.786180000000002</v>
      </c>
      <c r="E290" s="53" t="e" cm="1">
        <f t="array" ref="E290">$D$2*SUM( ( ($B$12:$B$20) * ($B$12:$B$20)* EXP($B$12:$B$20/B290) ) / ( B290*B290* ( EXP(( $B$12:$B$20)/B290 )  -1)^2 ) ) +   $D$2</f>
        <v>#DIV/0!</v>
      </c>
      <c r="H290" s="52">
        <f t="shared" si="55"/>
        <v>1900</v>
      </c>
      <c r="I290" s="53">
        <f t="shared" si="52"/>
        <v>4.9680162523900577</v>
      </c>
      <c r="J290" s="53">
        <f t="shared" si="53"/>
        <v>4.9680162523900577</v>
      </c>
      <c r="K290" s="53" t="e" cm="1">
        <f t="array" ref="K290" xml:space="preserve"> ($D$2*SUM( ( ($B$12:$B$20) * ($B$12:$B$20)* EXP($B$12:$B$20/B290) ) / ( B290*B290* ( EXP(( $B$12:$B$20)/B290)  -1)^2 ) ) +   $D$2 ) / 4.184</f>
        <v>#DIV/0!</v>
      </c>
    </row>
    <row r="291" spans="2:12" x14ac:dyDescent="0.3">
      <c r="B291" s="52">
        <f t="shared" si="54"/>
        <v>2000</v>
      </c>
      <c r="C291" s="53">
        <f t="shared" si="50"/>
        <v>20.786180000000002</v>
      </c>
      <c r="D291" s="53">
        <f t="shared" si="51"/>
        <v>20.786180000000002</v>
      </c>
      <c r="E291" s="53" t="e" cm="1">
        <f t="array" ref="E291">$D$2*SUM( ( ($B$12:$B$20) * ($B$12:$B$20)* EXP($B$12:$B$20/B291) ) / ( B291*B291* ( EXP(( $B$12:$B$20)/B291 )  -1)^2 ) ) +   $D$2</f>
        <v>#DIV/0!</v>
      </c>
      <c r="H291" s="52">
        <f t="shared" si="55"/>
        <v>2000</v>
      </c>
      <c r="I291" s="53">
        <f t="shared" si="52"/>
        <v>4.9680162523900577</v>
      </c>
      <c r="J291" s="53">
        <f t="shared" si="53"/>
        <v>4.9680162523900577</v>
      </c>
      <c r="K291" s="53" t="e" cm="1">
        <f t="array" ref="K291" xml:space="preserve"> ($D$2*SUM( ( ($B$12:$B$20) * ($B$12:$B$20)* EXP($B$12:$B$20/B291) ) / ( B291*B291* ( EXP(( $B$12:$B$20)/B291)  -1)^2 ) ) +   $D$2 ) / 4.184</f>
        <v>#DIV/0!</v>
      </c>
    </row>
    <row r="292" spans="2:12" ht="15" thickBot="1" x14ac:dyDescent="0.35">
      <c r="B292" s="25">
        <f t="shared" si="54"/>
        <v>2100</v>
      </c>
      <c r="C292" s="56">
        <f t="shared" si="50"/>
        <v>20.786180000000002</v>
      </c>
      <c r="D292" s="56">
        <f t="shared" si="51"/>
        <v>20.786180000000002</v>
      </c>
      <c r="E292" s="56" t="e" cm="1">
        <f t="array" ref="E292">$D$2*SUM( ( ($B$12:$B$20) * ($B$12:$B$20)* EXP($B$12:$B$20/B292) ) / ( B292*B292* ( EXP(( $B$12:$B$20)/B292 )  -1)^2 ) ) +   $D$2</f>
        <v>#DIV/0!</v>
      </c>
      <c r="F292" s="51"/>
      <c r="H292" s="25">
        <f t="shared" si="55"/>
        <v>2100</v>
      </c>
      <c r="I292" s="56">
        <f t="shared" si="52"/>
        <v>4.9680162523900577</v>
      </c>
      <c r="J292" s="56">
        <f t="shared" si="53"/>
        <v>4.9680162523900577</v>
      </c>
      <c r="K292" s="56" t="e" cm="1">
        <f t="array" ref="K292" xml:space="preserve"> ($D$2*SUM( ( ($B$12:$B$20) * ($B$12:$B$20)* EXP($B$12:$B$20/B292) ) / ( B292*B292* ( EXP(( $B$12:$B$20)/B292)  -1)^2 ) ) +   $D$2 ) / 4.184</f>
        <v>#DIV/0!</v>
      </c>
      <c r="L292" s="51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40B0-8C74-4348-9BC5-EEC7D53D577D}">
  <dimension ref="A1:S147"/>
  <sheetViews>
    <sheetView workbookViewId="0">
      <selection activeCell="B128" sqref="B128:H147"/>
    </sheetView>
  </sheetViews>
  <sheetFormatPr defaultRowHeight="14.4" x14ac:dyDescent="0.3"/>
  <cols>
    <col min="1" max="1" width="26.6640625" style="5" bestFit="1" customWidth="1"/>
    <col min="2" max="5" width="14.88671875" style="5" bestFit="1" customWidth="1"/>
    <col min="6" max="6" width="15.33203125" style="5" bestFit="1" customWidth="1"/>
    <col min="7" max="7" width="16.21875" style="5" bestFit="1" customWidth="1"/>
    <col min="8" max="8" width="15.77734375" style="5" bestFit="1" customWidth="1"/>
    <col min="9" max="9" width="15.88671875" style="5" bestFit="1" customWidth="1"/>
    <col min="10" max="10" width="15.33203125" style="5" bestFit="1" customWidth="1"/>
    <col min="11" max="11" width="15.6640625" style="5" bestFit="1" customWidth="1"/>
    <col min="12" max="12" width="10.6640625" style="5" bestFit="1" customWidth="1"/>
    <col min="13" max="13" width="11.77734375" style="5" bestFit="1" customWidth="1"/>
    <col min="14" max="16384" width="8.88671875" style="5"/>
  </cols>
  <sheetData>
    <row r="1" spans="1:19" ht="24" thickBot="1" x14ac:dyDescent="0.35">
      <c r="A1" s="214" t="s">
        <v>132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189"/>
      <c r="Q1" s="189"/>
      <c r="R1" s="189"/>
      <c r="S1" s="189"/>
    </row>
    <row r="2" spans="1:19" ht="18" x14ac:dyDescent="0.3">
      <c r="A2" s="180" t="s">
        <v>133</v>
      </c>
      <c r="I2" s="1" t="s">
        <v>0</v>
      </c>
      <c r="J2" s="2" t="s">
        <v>1</v>
      </c>
      <c r="K2" s="3" t="s">
        <v>2</v>
      </c>
      <c r="L2" s="3" t="s">
        <v>3</v>
      </c>
      <c r="M2" s="3" t="s">
        <v>5</v>
      </c>
      <c r="N2" s="4" t="s">
        <v>9</v>
      </c>
    </row>
    <row r="3" spans="1:19" ht="15" thickBot="1" x14ac:dyDescent="0.35">
      <c r="I3" s="6">
        <v>1.3805999999999999E-23</v>
      </c>
      <c r="J3" s="7">
        <v>3.1415899999999999</v>
      </c>
      <c r="K3" s="7">
        <v>6.626068E-34</v>
      </c>
      <c r="L3" s="7">
        <v>8.3144720000000003</v>
      </c>
      <c r="M3" s="7">
        <v>6.0221407599999999E+23</v>
      </c>
      <c r="N3" s="10">
        <v>101325</v>
      </c>
    </row>
    <row r="6" spans="1:19" ht="18" x14ac:dyDescent="0.3">
      <c r="A6" s="82" t="s">
        <v>134</v>
      </c>
      <c r="I6" s="5" t="s">
        <v>135</v>
      </c>
    </row>
    <row r="9" spans="1:19" ht="18" x14ac:dyDescent="0.3">
      <c r="B9" s="181" t="s">
        <v>159</v>
      </c>
      <c r="C9" s="181" t="s">
        <v>160</v>
      </c>
      <c r="D9" s="181" t="s">
        <v>161</v>
      </c>
      <c r="E9" s="181" t="s">
        <v>162</v>
      </c>
      <c r="F9" s="181" t="s">
        <v>163</v>
      </c>
      <c r="G9" s="181" t="s">
        <v>158</v>
      </c>
    </row>
    <row r="10" spans="1:19" x14ac:dyDescent="0.3">
      <c r="B10" s="182">
        <f>TS!B134</f>
        <v>-2.4852591935396686E-16</v>
      </c>
      <c r="C10" s="182">
        <f>'NH3'!B134</f>
        <v>-2.464368148795227E-16</v>
      </c>
      <c r="D10" s="182">
        <f>H!B134</f>
        <v>-2.1807880740671315E-18</v>
      </c>
      <c r="E10" s="88">
        <f>B10-(C10+D10)</f>
        <v>9.1683599622956126E-20</v>
      </c>
      <c r="F10" s="195">
        <f>E10*229400000000000000</f>
        <v>2.1032217753506135E-2</v>
      </c>
      <c r="G10" s="193">
        <f>TS!J132 - ('NH3'!J132 + H!J132 )</f>
        <v>-13.282882920910197</v>
      </c>
      <c r="I10" s="80"/>
    </row>
    <row r="11" spans="1:19" x14ac:dyDescent="0.3">
      <c r="I11" s="80"/>
    </row>
    <row r="13" spans="1:19" ht="18" x14ac:dyDescent="0.3">
      <c r="A13" s="82" t="s">
        <v>136</v>
      </c>
    </row>
    <row r="14" spans="1:19" x14ac:dyDescent="0.3">
      <c r="A14" s="5" t="s">
        <v>137</v>
      </c>
    </row>
    <row r="17" spans="2:12" ht="15" thickBot="1" x14ac:dyDescent="0.35"/>
    <row r="18" spans="2:12" ht="16.2" x14ac:dyDescent="0.3">
      <c r="B18" s="17" t="s">
        <v>52</v>
      </c>
      <c r="C18" s="18" t="s">
        <v>142</v>
      </c>
      <c r="D18" s="18" t="s">
        <v>138</v>
      </c>
      <c r="E18" s="18" t="s">
        <v>139</v>
      </c>
      <c r="F18" s="18" t="s">
        <v>164</v>
      </c>
      <c r="G18" s="18" t="s">
        <v>165</v>
      </c>
      <c r="H18" s="18" t="s">
        <v>166</v>
      </c>
      <c r="I18" s="18" t="s">
        <v>167</v>
      </c>
      <c r="J18" s="18" t="s">
        <v>168</v>
      </c>
      <c r="K18" s="19" t="s">
        <v>169</v>
      </c>
      <c r="L18"/>
    </row>
    <row r="19" spans="2:12" x14ac:dyDescent="0.3">
      <c r="B19" s="35">
        <v>298.14999999999998</v>
      </c>
      <c r="C19" s="51">
        <f>'NH3'!I153</f>
        <v>592176293.04253221</v>
      </c>
      <c r="D19" s="51">
        <f>H!I153</f>
        <v>79490.409012995253</v>
      </c>
      <c r="E19" s="51">
        <f>TS!I153</f>
        <v>4949360053.3320332</v>
      </c>
      <c r="F19" s="51">
        <f>E19/(C19*D19)</f>
        <v>1.0514371074521081E-4</v>
      </c>
      <c r="G19" s="182">
        <f>$M$3*($I$3*B19)^2 /($N$3*$K$3)</f>
        <v>151979064507.67291</v>
      </c>
      <c r="H19" s="51">
        <f>EXP(-$E$10/($I$3*B19))</f>
        <v>2.1219276238821033E-10</v>
      </c>
      <c r="I19" s="51">
        <f>H19*F19*G19</f>
        <v>3.3907645472680448E-3</v>
      </c>
      <c r="J19" s="51">
        <f>I19*(100^3)/$M$3</f>
        <v>5.6304969983266298E-21</v>
      </c>
      <c r="K19" s="63">
        <v>2.1800000000000001E-20</v>
      </c>
    </row>
    <row r="20" spans="2:12" x14ac:dyDescent="0.3">
      <c r="B20" s="35">
        <v>400</v>
      </c>
      <c r="C20" s="51">
        <f>'NH3'!I154</f>
        <v>1965105036.0922651</v>
      </c>
      <c r="D20" s="51">
        <f>H!I154</f>
        <v>165721.04978558532</v>
      </c>
      <c r="E20" s="51">
        <f>TS!I154</f>
        <v>18379255229.080627</v>
      </c>
      <c r="F20" s="51">
        <f t="shared" ref="F20:F37" si="0">E20/(C20*D20)</f>
        <v>5.6437070733966571E-5</v>
      </c>
      <c r="G20" s="182">
        <f t="shared" ref="G20:G37" si="1">$M$3*($I$3*B20)^2 /($N$3*$K$3)</f>
        <v>273548364292.39368</v>
      </c>
      <c r="H20" s="51">
        <f t="shared" ref="H20:H37" si="2">EXP(-$E$10/($I$3*B20))</f>
        <v>6.1629237724103031E-8</v>
      </c>
      <c r="I20" s="51">
        <f t="shared" ref="I20:I37" si="3">H20*F20*G20</f>
        <v>0.95144871233107109</v>
      </c>
      <c r="J20" s="51">
        <f t="shared" ref="J20:J37" si="4">I20*(100^3)/$M$3</f>
        <v>1.5799177572379944E-18</v>
      </c>
      <c r="K20" s="63">
        <v>3.5900000000000002E-18</v>
      </c>
    </row>
    <row r="21" spans="2:12" x14ac:dyDescent="0.3">
      <c r="B21" s="35">
        <f>B20+100</f>
        <v>500</v>
      </c>
      <c r="C21" s="51">
        <f>'NH3'!I155</f>
        <v>5001727726.9358778</v>
      </c>
      <c r="D21" s="51">
        <f>H!I155</f>
        <v>289502.75986187335</v>
      </c>
      <c r="E21" s="51">
        <f>TS!I155</f>
        <v>54120572082.655106</v>
      </c>
      <c r="F21" s="51">
        <f t="shared" si="0"/>
        <v>3.7375724814703029E-5</v>
      </c>
      <c r="G21" s="182">
        <f t="shared" si="1"/>
        <v>427419319206.86517</v>
      </c>
      <c r="H21" s="51">
        <f t="shared" si="2"/>
        <v>1.7054124803869852E-6</v>
      </c>
      <c r="I21" s="51">
        <f t="shared" si="3"/>
        <v>27.244146606311524</v>
      </c>
      <c r="J21" s="51">
        <f t="shared" si="4"/>
        <v>4.5239969791592066E-17</v>
      </c>
      <c r="K21" s="63">
        <v>8.8199999999999996E-17</v>
      </c>
    </row>
    <row r="22" spans="2:12" x14ac:dyDescent="0.3">
      <c r="B22" s="35">
        <f t="shared" ref="B22:B37" si="5">B21+100</f>
        <v>600</v>
      </c>
      <c r="C22" s="51">
        <f>'NH3'!I156</f>
        <v>10992075417.307772</v>
      </c>
      <c r="D22" s="51">
        <f>H!I156</f>
        <v>456673.51306468679</v>
      </c>
      <c r="E22" s="51">
        <f>TS!I156</f>
        <v>140543748005.67328</v>
      </c>
      <c r="F22" s="51">
        <f t="shared" si="0"/>
        <v>2.799793547092951E-5</v>
      </c>
      <c r="G22" s="182">
        <f t="shared" si="1"/>
        <v>615483819657.88574</v>
      </c>
      <c r="H22" s="51">
        <f t="shared" si="2"/>
        <v>1.5602392442701204E-5</v>
      </c>
      <c r="I22" s="51">
        <f t="shared" si="3"/>
        <v>268.86473698602828</v>
      </c>
      <c r="J22" s="51">
        <f t="shared" si="4"/>
        <v>4.4646039955072102E-16</v>
      </c>
      <c r="K22" s="63">
        <v>8.1699999999999996E-16</v>
      </c>
    </row>
    <row r="23" spans="2:12" x14ac:dyDescent="0.3">
      <c r="B23" s="35">
        <f t="shared" si="5"/>
        <v>700</v>
      </c>
      <c r="C23" s="51">
        <f>'NH3'!I157</f>
        <v>21880373908.033001</v>
      </c>
      <c r="D23" s="51">
        <f>H!I157</f>
        <v>671386.79850998719</v>
      </c>
      <c r="E23" s="51">
        <f>TS!I157</f>
        <v>334316770428.27747</v>
      </c>
      <c r="F23" s="51">
        <f t="shared" si="0"/>
        <v>2.2757818320345001E-5</v>
      </c>
      <c r="G23" s="182">
        <f t="shared" si="1"/>
        <v>837741865645.45544</v>
      </c>
      <c r="H23" s="51">
        <f t="shared" si="2"/>
        <v>7.5836480429473639E-5</v>
      </c>
      <c r="I23" s="51">
        <f t="shared" si="3"/>
        <v>1445.8359359215597</v>
      </c>
      <c r="J23" s="51">
        <f t="shared" si="4"/>
        <v>2.4008670563216122E-15</v>
      </c>
      <c r="K23" s="63">
        <v>4.2800000000000001E-15</v>
      </c>
    </row>
    <row r="24" spans="2:12" x14ac:dyDescent="0.3">
      <c r="B24" s="35">
        <f t="shared" si="5"/>
        <v>800</v>
      </c>
      <c r="C24" s="51">
        <f>'NH3'!I158</f>
        <v>40550047192.346367</v>
      </c>
      <c r="D24" s="51">
        <f>H!I158</f>
        <v>937459.82470992941</v>
      </c>
      <c r="E24" s="51">
        <f>TS!I158</f>
        <v>743845028651.28381</v>
      </c>
      <c r="F24" s="51">
        <f t="shared" si="0"/>
        <v>1.956763937877752E-5</v>
      </c>
      <c r="G24" s="182">
        <f t="shared" si="1"/>
        <v>1094193457169.5747</v>
      </c>
      <c r="H24" s="51">
        <f t="shared" si="2"/>
        <v>2.4825236700604293E-4</v>
      </c>
      <c r="I24" s="51">
        <f t="shared" si="3"/>
        <v>5315.277554364824</v>
      </c>
      <c r="J24" s="51">
        <f t="shared" si="4"/>
        <v>8.8262260318950504E-15</v>
      </c>
      <c r="K24" s="63">
        <v>1.5600000000000001E-14</v>
      </c>
    </row>
    <row r="25" spans="2:12" x14ac:dyDescent="0.3">
      <c r="B25" s="35">
        <f t="shared" si="5"/>
        <v>900</v>
      </c>
      <c r="C25" s="51">
        <f>'NH3'!I159</f>
        <v>71181277647.982895</v>
      </c>
      <c r="D25" s="51">
        <f>H!I159</f>
        <v>1258444.2218093083</v>
      </c>
      <c r="E25" s="51">
        <f>TS!I159</f>
        <v>1568237441319.3638</v>
      </c>
      <c r="F25" s="51">
        <f t="shared" si="0"/>
        <v>1.7507013568081249E-5</v>
      </c>
      <c r="G25" s="182">
        <f t="shared" si="1"/>
        <v>1384838594230.2429</v>
      </c>
      <c r="H25" s="51">
        <f t="shared" si="2"/>
        <v>6.2439698633177465E-4</v>
      </c>
      <c r="I25" s="51">
        <f t="shared" si="3"/>
        <v>15138.122839367432</v>
      </c>
      <c r="J25" s="51">
        <f t="shared" si="4"/>
        <v>2.5137444378446298E-14</v>
      </c>
      <c r="K25" s="63">
        <v>4.4199999999999997E-14</v>
      </c>
    </row>
    <row r="26" spans="2:12" x14ac:dyDescent="0.3">
      <c r="B26" s="35">
        <f t="shared" si="5"/>
        <v>1000</v>
      </c>
      <c r="C26" s="51">
        <f>'NH3'!I160</f>
        <v>119719144134.23174</v>
      </c>
      <c r="D26" s="51">
        <f>H!I160</f>
        <v>1637674.917364415</v>
      </c>
      <c r="E26" s="51">
        <f>TS!I160</f>
        <v>3160553613587.5249</v>
      </c>
      <c r="F26" s="51">
        <f t="shared" si="0"/>
        <v>1.6120253274281103E-5</v>
      </c>
      <c r="G26" s="182">
        <f t="shared" si="1"/>
        <v>1709677276827.4607</v>
      </c>
      <c r="H26" s="51">
        <f t="shared" si="2"/>
        <v>1.3059144230718126E-3</v>
      </c>
      <c r="I26" s="51">
        <f t="shared" si="3"/>
        <v>35991.56398298237</v>
      </c>
      <c r="J26" s="51">
        <f t="shared" si="4"/>
        <v>5.9765398082429366E-14</v>
      </c>
      <c r="K26" s="63">
        <v>1.0499999999999999E-13</v>
      </c>
    </row>
    <row r="27" spans="2:12" x14ac:dyDescent="0.3">
      <c r="B27" s="35">
        <f t="shared" si="5"/>
        <v>1100</v>
      </c>
      <c r="C27" s="51">
        <f>'NH3'!I161</f>
        <v>194477881196.82651</v>
      </c>
      <c r="D27" s="51">
        <f>H!I161</f>
        <v>2078305.6119473386</v>
      </c>
      <c r="E27" s="51">
        <f>TS!I161</f>
        <v>6127771824418.0273</v>
      </c>
      <c r="F27" s="51">
        <f t="shared" si="0"/>
        <v>1.5160829399875298E-5</v>
      </c>
      <c r="G27" s="182">
        <f t="shared" si="1"/>
        <v>2068709504961.2268</v>
      </c>
      <c r="H27" s="51">
        <f t="shared" si="2"/>
        <v>2.3883847498260319E-3</v>
      </c>
      <c r="I27" s="51">
        <f t="shared" si="3"/>
        <v>74907.751339871538</v>
      </c>
      <c r="J27" s="51">
        <f t="shared" si="4"/>
        <v>1.2438724753400076E-13</v>
      </c>
      <c r="K27" s="63">
        <v>2.19E-13</v>
      </c>
    </row>
    <row r="28" spans="2:12" x14ac:dyDescent="0.3">
      <c r="B28" s="35">
        <f t="shared" si="5"/>
        <v>1200</v>
      </c>
      <c r="C28" s="51">
        <f>'NH3'!I162</f>
        <v>306910610472.92828</v>
      </c>
      <c r="D28" s="51">
        <f>H!I162</f>
        <v>2583335.5030105943</v>
      </c>
      <c r="E28" s="51">
        <f>TS!I162</f>
        <v>11485071413431.021</v>
      </c>
      <c r="F28" s="51">
        <f t="shared" si="0"/>
        <v>1.4485749954127959E-5</v>
      </c>
      <c r="G28" s="182">
        <f t="shared" si="1"/>
        <v>2461935278631.543</v>
      </c>
      <c r="H28" s="51">
        <f t="shared" si="2"/>
        <v>3.949986385128587E-3</v>
      </c>
      <c r="I28" s="51">
        <f t="shared" si="3"/>
        <v>140868.28090866513</v>
      </c>
      <c r="J28" s="51">
        <f t="shared" si="4"/>
        <v>2.3391728377445822E-13</v>
      </c>
      <c r="K28" s="63">
        <v>4.1100000000000002E-13</v>
      </c>
    </row>
    <row r="29" spans="2:12" x14ac:dyDescent="0.3">
      <c r="B29" s="35">
        <f t="shared" si="5"/>
        <v>1300</v>
      </c>
      <c r="C29" s="51">
        <f>'NH3'!I163</f>
        <v>472578635868.66119</v>
      </c>
      <c r="D29" s="51">
        <f>H!I163</f>
        <v>3155630.0146854925</v>
      </c>
      <c r="E29" s="51">
        <f>TS!I163</f>
        <v>20888864787176.25</v>
      </c>
      <c r="F29" s="51">
        <f t="shared" si="0"/>
        <v>1.4007307933996436E-5</v>
      </c>
      <c r="G29" s="182">
        <f t="shared" si="1"/>
        <v>2889354597838.4082</v>
      </c>
      <c r="H29" s="51">
        <f t="shared" si="2"/>
        <v>6.0460656746075874E-3</v>
      </c>
      <c r="I29" s="51">
        <f t="shared" si="3"/>
        <v>244696.85114332274</v>
      </c>
      <c r="J29" s="51">
        <f t="shared" si="4"/>
        <v>4.0632868093791077E-13</v>
      </c>
      <c r="K29" s="63">
        <v>7.1499999999999998E-13</v>
      </c>
    </row>
    <row r="30" spans="2:12" x14ac:dyDescent="0.3">
      <c r="B30" s="35">
        <f t="shared" si="5"/>
        <v>1400</v>
      </c>
      <c r="C30" s="51">
        <f>'NH3'!I164</f>
        <v>712359738539.73596</v>
      </c>
      <c r="D30" s="51">
        <f>H!I164</f>
        <v>3797937.2642043158</v>
      </c>
      <c r="E30" s="51">
        <f>TS!I164</f>
        <v>36981963338690.344</v>
      </c>
      <c r="F30" s="51">
        <f t="shared" si="0"/>
        <v>1.366919097850025E-5</v>
      </c>
      <c r="G30" s="182">
        <f t="shared" si="1"/>
        <v>3350967462581.8218</v>
      </c>
      <c r="H30" s="51">
        <f t="shared" si="2"/>
        <v>8.7084143464510027E-3</v>
      </c>
      <c r="I30" s="51">
        <f t="shared" si="3"/>
        <v>398889.0428750561</v>
      </c>
      <c r="J30" s="51">
        <f t="shared" si="4"/>
        <v>6.6237083916161421E-13</v>
      </c>
      <c r="K30" s="63">
        <v>1.1700000000000001E-12</v>
      </c>
    </row>
    <row r="31" spans="2:12" x14ac:dyDescent="0.3">
      <c r="B31" s="35">
        <f t="shared" si="5"/>
        <v>1500</v>
      </c>
      <c r="C31" s="51">
        <f>'NH3'!I165</f>
        <v>1053940737776.9463</v>
      </c>
      <c r="D31" s="51">
        <f>H!I165</f>
        <v>4512901.4011096358</v>
      </c>
      <c r="E31" s="51">
        <f>TS!I165</f>
        <v>63895812302641.852</v>
      </c>
      <c r="F31" s="51">
        <f t="shared" si="0"/>
        <v>1.343384580333222E-5</v>
      </c>
      <c r="G31" s="182">
        <f t="shared" si="1"/>
        <v>3846773872861.7852</v>
      </c>
      <c r="H31" s="51">
        <f t="shared" si="2"/>
        <v>1.1947484587849779E-2</v>
      </c>
      <c r="I31" s="51">
        <f t="shared" si="3"/>
        <v>617409.76735653239</v>
      </c>
      <c r="J31" s="51">
        <f t="shared" si="4"/>
        <v>1.0252330391502378E-12</v>
      </c>
      <c r="K31" s="63">
        <v>1.8E-12</v>
      </c>
    </row>
    <row r="32" spans="2:12" x14ac:dyDescent="0.3">
      <c r="B32" s="35">
        <f t="shared" si="5"/>
        <v>1600</v>
      </c>
      <c r="C32" s="51">
        <f>'NH3'!I166</f>
        <v>1533645896084.7407</v>
      </c>
      <c r="D32" s="51">
        <f>H!I166</f>
        <v>5303073.5931387609</v>
      </c>
      <c r="E32" s="51">
        <f>TS!I166</f>
        <v>107969459276405.88</v>
      </c>
      <c r="F32" s="51">
        <f t="shared" si="0"/>
        <v>1.3275417113692318E-5</v>
      </c>
      <c r="G32" s="182">
        <f t="shared" si="1"/>
        <v>4376773828678.2988</v>
      </c>
      <c r="H32" s="51">
        <f t="shared" si="2"/>
        <v>1.575602637107602E-2</v>
      </c>
      <c r="I32" s="51">
        <f t="shared" si="3"/>
        <v>915480.24970184127</v>
      </c>
      <c r="J32" s="51">
        <f t="shared" si="4"/>
        <v>1.5201907198559758E-12</v>
      </c>
      <c r="K32" s="63">
        <v>2.6700000000000001E-12</v>
      </c>
    </row>
    <row r="33" spans="1:11" x14ac:dyDescent="0.3">
      <c r="B33" s="35">
        <f t="shared" si="5"/>
        <v>1700</v>
      </c>
      <c r="C33" s="51">
        <f>'NH3'!I167</f>
        <v>2198659574906.0544</v>
      </c>
      <c r="D33" s="51">
        <f>H!I167</f>
        <v>6170921.2024084236</v>
      </c>
      <c r="E33" s="51">
        <f>TS!I167</f>
        <v>178763499111123.91</v>
      </c>
      <c r="F33" s="51">
        <f t="shared" si="0"/>
        <v>1.3175613745504034E-5</v>
      </c>
      <c r="G33" s="182">
        <f t="shared" si="1"/>
        <v>4940967330031.3604</v>
      </c>
      <c r="H33" s="51">
        <f t="shared" si="2"/>
        <v>2.0113110803121146E-2</v>
      </c>
      <c r="I33" s="51">
        <f t="shared" si="3"/>
        <v>1309369.0860157083</v>
      </c>
      <c r="J33" s="51">
        <f t="shared" si="4"/>
        <v>2.1742585206787964E-12</v>
      </c>
      <c r="K33" s="63">
        <v>3.8200000000000003E-12</v>
      </c>
    </row>
    <row r="34" spans="1:11" x14ac:dyDescent="0.3">
      <c r="B34" s="35">
        <f t="shared" si="5"/>
        <v>1800</v>
      </c>
      <c r="C34" s="51">
        <f>'NH3'!I168</f>
        <v>3109708930135.4043</v>
      </c>
      <c r="D34" s="51">
        <f>H!I168</f>
        <v>7118835.5438910369</v>
      </c>
      <c r="E34" s="51">
        <f>TS!I168</f>
        <v>290470434686482.5</v>
      </c>
      <c r="F34" s="51">
        <f t="shared" si="0"/>
        <v>1.3121190282741349E-5</v>
      </c>
      <c r="G34" s="182">
        <f t="shared" si="1"/>
        <v>5539354376920.9717</v>
      </c>
      <c r="H34" s="51">
        <f t="shared" si="2"/>
        <v>2.4987936816227439E-2</v>
      </c>
      <c r="I34" s="51">
        <f t="shared" si="3"/>
        <v>1816196.2831227633</v>
      </c>
      <c r="J34" s="51">
        <f t="shared" si="4"/>
        <v>3.0158648817812808E-12</v>
      </c>
      <c r="K34" s="63">
        <v>5.2999999999999996E-12</v>
      </c>
    </row>
    <row r="35" spans="1:11" x14ac:dyDescent="0.3">
      <c r="B35" s="35">
        <f t="shared" si="5"/>
        <v>1900</v>
      </c>
      <c r="C35" s="51">
        <f>'NH3'!I169</f>
        <v>4344280408163.4028</v>
      </c>
      <c r="D35" s="51">
        <f>H!I169</f>
        <v>8149138.5152705293</v>
      </c>
      <c r="E35" s="51">
        <f>TS!I169</f>
        <v>463851590366766</v>
      </c>
      <c r="F35" s="51">
        <f t="shared" si="0"/>
        <v>1.3102359172122001E-5</v>
      </c>
      <c r="G35" s="182">
        <f t="shared" si="1"/>
        <v>6171934969347.1318</v>
      </c>
      <c r="H35" s="51">
        <f t="shared" si="2"/>
        <v>3.0343130025684378E-2</v>
      </c>
      <c r="I35" s="51">
        <f t="shared" si="3"/>
        <v>2453755.1271392223</v>
      </c>
      <c r="J35" s="51">
        <f t="shared" si="4"/>
        <v>4.0745562498928076E-12</v>
      </c>
      <c r="K35" s="63">
        <v>7.15E-12</v>
      </c>
    </row>
    <row r="36" spans="1:11" x14ac:dyDescent="0.3">
      <c r="B36" s="35">
        <f t="shared" si="5"/>
        <v>2000</v>
      </c>
      <c r="C36" s="51">
        <f>'NH3'!I170</f>
        <v>6000452393543.3838</v>
      </c>
      <c r="D36" s="51">
        <f>H!I170</f>
        <v>9264088.3155799992</v>
      </c>
      <c r="E36" s="51">
        <f>TS!I170</f>
        <v>728865915644255.5</v>
      </c>
      <c r="F36" s="51">
        <f t="shared" si="0"/>
        <v>1.3111759071786769E-5</v>
      </c>
      <c r="G36" s="182">
        <f t="shared" si="1"/>
        <v>6838709107309.8428</v>
      </c>
      <c r="H36" s="51">
        <f t="shared" si="2"/>
        <v>3.613743797050107E-2</v>
      </c>
      <c r="I36" s="51">
        <f t="shared" si="3"/>
        <v>3240353.9424437727</v>
      </c>
      <c r="J36" s="51">
        <f t="shared" si="4"/>
        <v>5.3807343128986787E-12</v>
      </c>
      <c r="K36" s="63">
        <v>9.4400000000000002E-12</v>
      </c>
    </row>
    <row r="37" spans="1:11" ht="15" thickBot="1" x14ac:dyDescent="0.35">
      <c r="B37" s="26">
        <f t="shared" si="5"/>
        <v>2100</v>
      </c>
      <c r="C37" s="55">
        <f>'NH3'!I171</f>
        <v>8201435595226.1426</v>
      </c>
      <c r="D37" s="55">
        <f>H!I171</f>
        <v>10465884.418952722</v>
      </c>
      <c r="E37" s="55">
        <f>TS!I171</f>
        <v>1128198855576416.5</v>
      </c>
      <c r="F37" s="55">
        <f t="shared" si="0"/>
        <v>1.3143766699285253E-5</v>
      </c>
      <c r="G37" s="194">
        <f t="shared" si="1"/>
        <v>7539676790809.1025</v>
      </c>
      <c r="H37" s="55">
        <f t="shared" si="2"/>
        <v>4.2327835079249053E-2</v>
      </c>
      <c r="I37" s="55">
        <f t="shared" si="3"/>
        <v>4194677.9897978688</v>
      </c>
      <c r="J37" s="55">
        <f t="shared" si="4"/>
        <v>6.9654266762736193E-12</v>
      </c>
      <c r="K37" s="65">
        <v>1.23E-11</v>
      </c>
    </row>
    <row r="42" spans="1:11" ht="18" x14ac:dyDescent="0.3">
      <c r="A42" s="180" t="s">
        <v>140</v>
      </c>
    </row>
    <row r="45" spans="1:11" ht="18" x14ac:dyDescent="0.3">
      <c r="A45" s="82" t="s">
        <v>134</v>
      </c>
      <c r="I45" s="5" t="s">
        <v>135</v>
      </c>
    </row>
    <row r="49" spans="1:12" ht="18" x14ac:dyDescent="0.3">
      <c r="B49" s="181" t="s">
        <v>159</v>
      </c>
      <c r="C49" s="181" t="s">
        <v>170</v>
      </c>
      <c r="D49" s="181" t="s">
        <v>171</v>
      </c>
      <c r="E49" s="181" t="s">
        <v>172</v>
      </c>
      <c r="F49" s="181" t="s">
        <v>163</v>
      </c>
      <c r="G49" s="181" t="s">
        <v>158</v>
      </c>
    </row>
    <row r="50" spans="1:12" x14ac:dyDescent="0.3">
      <c r="B50" s="182">
        <f>TS!B134</f>
        <v>-2.4852591935396686E-16</v>
      </c>
      <c r="C50" s="182">
        <f>'NH2'!B134</f>
        <v>-2.435330370547694E-16</v>
      </c>
      <c r="D50" s="182">
        <f>'H2'!B134</f>
        <v>-5.0931432675027207E-18</v>
      </c>
      <c r="E50" s="88">
        <f>B50-(C50+D50)</f>
        <v>1.0026096830525896E-19</v>
      </c>
      <c r="F50" s="195">
        <f>E50*229400000000000000</f>
        <v>2.2999866129226405E-2</v>
      </c>
      <c r="G50" s="137">
        <f>TS!J132 - ('NH2'!J132 + 'H2'!J132 )</f>
        <v>-12.04858640304883</v>
      </c>
    </row>
    <row r="52" spans="1:12" ht="15" thickBot="1" x14ac:dyDescent="0.35"/>
    <row r="53" spans="1:12" ht="15" thickBot="1" x14ac:dyDescent="0.35">
      <c r="I53" s="80"/>
      <c r="K53" s="23"/>
    </row>
    <row r="54" spans="1:12" ht="18" x14ac:dyDescent="0.3">
      <c r="A54" s="82" t="s">
        <v>136</v>
      </c>
      <c r="I54" s="80"/>
    </row>
    <row r="55" spans="1:12" x14ac:dyDescent="0.3">
      <c r="A55" s="5" t="s">
        <v>137</v>
      </c>
    </row>
    <row r="58" spans="1:12" ht="15" thickBot="1" x14ac:dyDescent="0.35"/>
    <row r="59" spans="1:12" ht="16.2" x14ac:dyDescent="0.3">
      <c r="B59" s="17" t="s">
        <v>52</v>
      </c>
      <c r="C59" s="18" t="s">
        <v>143</v>
      </c>
      <c r="D59" s="18" t="s">
        <v>141</v>
      </c>
      <c r="E59" s="18" t="s">
        <v>139</v>
      </c>
      <c r="F59" s="18" t="s">
        <v>164</v>
      </c>
      <c r="G59" s="18" t="s">
        <v>165</v>
      </c>
      <c r="H59" s="18" t="s">
        <v>166</v>
      </c>
      <c r="I59" s="18" t="s">
        <v>167</v>
      </c>
      <c r="J59" s="18" t="s">
        <v>168</v>
      </c>
      <c r="K59" s="19" t="s">
        <v>169</v>
      </c>
    </row>
    <row r="60" spans="1:12" x14ac:dyDescent="0.3">
      <c r="B60" s="35">
        <v>298.14999999999998</v>
      </c>
      <c r="C60" s="51">
        <f>'NH2'!I153</f>
        <v>268217988.24914557</v>
      </c>
      <c r="D60" s="51">
        <f>'H2'!I153</f>
        <v>192090.43025413383</v>
      </c>
      <c r="E60" s="51">
        <f>TS!I153</f>
        <v>4949360053.3320332</v>
      </c>
      <c r="F60" s="51">
        <f>E60/(C60*D60)</f>
        <v>9.6062839274259292E-5</v>
      </c>
      <c r="G60" s="182">
        <f>$M$3*($I$3*B60)^2 /($N$3*$K$3)</f>
        <v>151979064507.67291</v>
      </c>
      <c r="H60" s="51">
        <f>EXP(-$E$50/($I$3*B60))</f>
        <v>2.6409330469773952E-11</v>
      </c>
      <c r="I60" s="51">
        <f>H60*F60*G60</f>
        <v>3.8556408836776869E-4</v>
      </c>
      <c r="J60" s="51">
        <f>I60*(100^3)/$M$3</f>
        <v>6.4024423163394922E-22</v>
      </c>
      <c r="K60" s="63" t="s">
        <v>173</v>
      </c>
      <c r="L60"/>
    </row>
    <row r="61" spans="1:12" x14ac:dyDescent="0.3">
      <c r="B61" s="35">
        <v>400</v>
      </c>
      <c r="C61" s="51">
        <f>'NH2'!I154</f>
        <v>872068608.58087039</v>
      </c>
      <c r="D61" s="51">
        <f>'H2'!I154</f>
        <v>537271.61540511006</v>
      </c>
      <c r="E61" s="51">
        <f>TS!I154</f>
        <v>18379255229.080627</v>
      </c>
      <c r="F61" s="51">
        <f t="shared" ref="F61:F78" si="6">E61/(C61*D61)</f>
        <v>3.9226843077553794E-5</v>
      </c>
      <c r="G61" s="182">
        <f t="shared" ref="G61:G78" si="7">$M$3*($I$3*B61)^2 /($N$3*$K$3)</f>
        <v>273548364292.39368</v>
      </c>
      <c r="H61" s="51">
        <f t="shared" ref="H61:H78" si="8">EXP(-$E$50/($I$3*B61))</f>
        <v>1.3038943858230678E-8</v>
      </c>
      <c r="I61" s="51">
        <f t="shared" ref="I61:I78" si="9">H61*F61*G61</f>
        <v>0.13991358856868116</v>
      </c>
      <c r="J61" s="51">
        <f t="shared" ref="J61:J78" si="10">I61*(100^3)/$M$3</f>
        <v>2.3233197984678319E-19</v>
      </c>
      <c r="K61" s="63" t="s">
        <v>174</v>
      </c>
    </row>
    <row r="62" spans="1:12" x14ac:dyDescent="0.3">
      <c r="B62" s="35">
        <f>B61+100</f>
        <v>500</v>
      </c>
      <c r="C62" s="51">
        <f>'NH2'!I155</f>
        <v>2147395484.6164701</v>
      </c>
      <c r="D62" s="51">
        <f>'H2'!I155</f>
        <v>1173221.5740756115</v>
      </c>
      <c r="E62" s="51">
        <f>TS!I155</f>
        <v>54120572082.655106</v>
      </c>
      <c r="F62" s="51">
        <f t="shared" si="6"/>
        <v>2.1481781880856145E-5</v>
      </c>
      <c r="G62" s="182">
        <f t="shared" si="7"/>
        <v>427419319206.86517</v>
      </c>
      <c r="H62" s="51">
        <f t="shared" si="8"/>
        <v>4.9225930286036291E-7</v>
      </c>
      <c r="I62" s="51">
        <f t="shared" si="9"/>
        <v>4.519791313223676</v>
      </c>
      <c r="J62" s="51">
        <f t="shared" si="10"/>
        <v>7.5052900510808975E-18</v>
      </c>
      <c r="K62" s="63" t="s">
        <v>175</v>
      </c>
    </row>
    <row r="63" spans="1:12" x14ac:dyDescent="0.3">
      <c r="B63" s="35">
        <f t="shared" ref="B63:B78" si="11">B62+100</f>
        <v>600</v>
      </c>
      <c r="C63" s="51">
        <f>'NH2'!I156</f>
        <v>4516839596.3076</v>
      </c>
      <c r="D63" s="51">
        <f>'H2'!I156</f>
        <v>2220869.2610728405</v>
      </c>
      <c r="E63" s="51">
        <f>TS!I156</f>
        <v>140543748005.67328</v>
      </c>
      <c r="F63" s="51">
        <f t="shared" si="6"/>
        <v>1.4010507597760416E-5</v>
      </c>
      <c r="G63" s="182">
        <f t="shared" si="7"/>
        <v>615483819657.88574</v>
      </c>
      <c r="H63" s="51">
        <f t="shared" si="8"/>
        <v>5.5398109400621927E-6</v>
      </c>
      <c r="I63" s="51">
        <f t="shared" si="9"/>
        <v>47.771123343792958</v>
      </c>
      <c r="J63" s="51">
        <f t="shared" si="10"/>
        <v>7.9325816595148735E-17</v>
      </c>
      <c r="K63" s="63" t="s">
        <v>176</v>
      </c>
    </row>
    <row r="64" spans="1:12" x14ac:dyDescent="0.3">
      <c r="B64" s="35">
        <f t="shared" si="11"/>
        <v>700</v>
      </c>
      <c r="C64" s="51">
        <f>'NH2'!I157</f>
        <v>8535221198.7838478</v>
      </c>
      <c r="D64" s="51">
        <f>'H2'!I157</f>
        <v>3809534.8942225822</v>
      </c>
      <c r="E64" s="51">
        <f>TS!I157</f>
        <v>334316770428.27747</v>
      </c>
      <c r="F64" s="51">
        <f t="shared" si="6"/>
        <v>1.02818538432069E-5</v>
      </c>
      <c r="G64" s="182">
        <f t="shared" si="7"/>
        <v>837741865645.45544</v>
      </c>
      <c r="H64" s="51">
        <f t="shared" si="8"/>
        <v>3.1219377369510478E-5</v>
      </c>
      <c r="I64" s="51">
        <f t="shared" si="9"/>
        <v>268.90933766829568</v>
      </c>
      <c r="J64" s="51">
        <f t="shared" si="10"/>
        <v>4.4653446072604871E-16</v>
      </c>
      <c r="K64" s="63" t="s">
        <v>177</v>
      </c>
    </row>
    <row r="65" spans="1:11" ht="18" x14ac:dyDescent="0.3">
      <c r="A65" s="183"/>
      <c r="B65" s="35">
        <f t="shared" si="11"/>
        <v>800</v>
      </c>
      <c r="C65" s="51">
        <f>'NH2'!I158</f>
        <v>14926545029.917982</v>
      </c>
      <c r="D65" s="51">
        <f>'H2'!I158</f>
        <v>6080514.7222203501</v>
      </c>
      <c r="E65" s="51">
        <f>TS!I158</f>
        <v>743845028651.28381</v>
      </c>
      <c r="F65" s="51">
        <f t="shared" si="6"/>
        <v>8.1956390869928586E-6</v>
      </c>
      <c r="G65" s="182">
        <f t="shared" si="7"/>
        <v>1094193457169.5747</v>
      </c>
      <c r="H65" s="51">
        <f t="shared" si="8"/>
        <v>1.1418819491624639E-4</v>
      </c>
      <c r="I65" s="51">
        <f t="shared" si="9"/>
        <v>1023.9957314504891</v>
      </c>
      <c r="J65" s="51">
        <f t="shared" si="10"/>
        <v>1.7003849166927958E-15</v>
      </c>
      <c r="K65" s="63" t="s">
        <v>178</v>
      </c>
    </row>
    <row r="66" spans="1:11" ht="18" x14ac:dyDescent="0.3">
      <c r="A66" s="183"/>
      <c r="B66" s="35">
        <f t="shared" si="11"/>
        <v>900</v>
      </c>
      <c r="C66" s="51">
        <f>'NH2'!I159</f>
        <v>24620353365.777691</v>
      </c>
      <c r="D66" s="51">
        <f>'H2'!I159</f>
        <v>9187092.2275676895</v>
      </c>
      <c r="E66" s="51">
        <f>TS!I159</f>
        <v>1568237441319.3638</v>
      </c>
      <c r="F66" s="51">
        <f t="shared" si="6"/>
        <v>6.9332915061356545E-6</v>
      </c>
      <c r="G66" s="182">
        <f t="shared" si="7"/>
        <v>1384838594230.2429</v>
      </c>
      <c r="H66" s="51">
        <f t="shared" si="8"/>
        <v>3.13085745991494E-4</v>
      </c>
      <c r="I66" s="51">
        <f t="shared" si="9"/>
        <v>3006.0895536902567</v>
      </c>
      <c r="J66" s="51">
        <f t="shared" si="10"/>
        <v>4.9917291433258641E-15</v>
      </c>
      <c r="K66" s="63" t="s">
        <v>179</v>
      </c>
    </row>
    <row r="67" spans="1:11" ht="18" x14ac:dyDescent="0.3">
      <c r="A67" s="183"/>
      <c r="B67" s="35">
        <f t="shared" si="11"/>
        <v>1000</v>
      </c>
      <c r="C67" s="51">
        <f>'NH2'!I160</f>
        <v>38794162336.487152</v>
      </c>
      <c r="D67" s="51">
        <f>'H2'!I160</f>
        <v>13295030.94301302</v>
      </c>
      <c r="E67" s="51">
        <f>TS!I160</f>
        <v>3160553613587.5249</v>
      </c>
      <c r="F67" s="51">
        <f t="shared" si="6"/>
        <v>6.1278401887286767E-6</v>
      </c>
      <c r="G67" s="182">
        <f t="shared" si="7"/>
        <v>1709677276827.4607</v>
      </c>
      <c r="H67" s="51">
        <f t="shared" si="8"/>
        <v>7.0161193181156984E-4</v>
      </c>
      <c r="I67" s="51">
        <f t="shared" si="9"/>
        <v>7350.5280004570086</v>
      </c>
      <c r="J67" s="51">
        <f t="shared" si="10"/>
        <v>1.2205838909114121E-14</v>
      </c>
      <c r="K67" s="63" t="s">
        <v>180</v>
      </c>
    </row>
    <row r="68" spans="1:11" ht="18" x14ac:dyDescent="0.3">
      <c r="A68" s="183"/>
      <c r="B68" s="35">
        <f t="shared" si="11"/>
        <v>1100</v>
      </c>
      <c r="C68" s="51">
        <f>'NH2'!I161</f>
        <v>58921796011.859634</v>
      </c>
      <c r="D68" s="51">
        <f>'H2'!I161</f>
        <v>18583353.053805284</v>
      </c>
      <c r="E68" s="51">
        <f>TS!I161</f>
        <v>6127771824418.0273</v>
      </c>
      <c r="F68" s="51">
        <f t="shared" si="6"/>
        <v>5.5963198921812539E-6</v>
      </c>
      <c r="G68" s="182">
        <f t="shared" si="7"/>
        <v>2068709504961.2268</v>
      </c>
      <c r="H68" s="51">
        <f t="shared" si="8"/>
        <v>1.3577362826917565E-3</v>
      </c>
      <c r="I68" s="51">
        <f t="shared" si="9"/>
        <v>15718.730391291798</v>
      </c>
      <c r="J68" s="51">
        <f t="shared" si="10"/>
        <v>2.6101565901112877E-14</v>
      </c>
      <c r="K68" s="63" t="s">
        <v>181</v>
      </c>
    </row>
    <row r="69" spans="1:11" ht="18" x14ac:dyDescent="0.3">
      <c r="A69" s="183"/>
      <c r="B69" s="35">
        <f t="shared" si="11"/>
        <v>1200</v>
      </c>
      <c r="C69" s="51">
        <f>'NH2'!I162</f>
        <v>86827570316.742126</v>
      </c>
      <c r="D69" s="51">
        <f>'H2'!I162</f>
        <v>25245230.797357205</v>
      </c>
      <c r="E69" s="51">
        <f>TS!I162</f>
        <v>11485071413431.021</v>
      </c>
      <c r="F69" s="51">
        <f t="shared" si="6"/>
        <v>5.2395827793387201E-6</v>
      </c>
      <c r="G69" s="182">
        <f t="shared" si="7"/>
        <v>2461935278631.543</v>
      </c>
      <c r="H69" s="51">
        <f t="shared" si="8"/>
        <v>2.3536802969099675E-3</v>
      </c>
      <c r="I69" s="51">
        <f t="shared" si="9"/>
        <v>30361.331211318644</v>
      </c>
      <c r="J69" s="51">
        <f t="shared" si="10"/>
        <v>5.0416176607799261E-14</v>
      </c>
      <c r="K69" s="63" t="s">
        <v>182</v>
      </c>
    </row>
    <row r="70" spans="1:11" ht="18" x14ac:dyDescent="0.3">
      <c r="A70" s="183"/>
      <c r="B70" s="35">
        <f t="shared" si="11"/>
        <v>1300</v>
      </c>
      <c r="C70" s="51">
        <f>'NH2'!I163</f>
        <v>124746466690.28874</v>
      </c>
      <c r="D70" s="51">
        <f>'H2'!I163</f>
        <v>33488875.032326974</v>
      </c>
      <c r="E70" s="51">
        <f>TS!I163</f>
        <v>20888864787176.25</v>
      </c>
      <c r="F70" s="51">
        <f t="shared" si="6"/>
        <v>5.0001844635975251E-6</v>
      </c>
      <c r="G70" s="182">
        <f t="shared" si="7"/>
        <v>2889354597838.4082</v>
      </c>
      <c r="H70" s="51">
        <f t="shared" si="8"/>
        <v>3.7490457759123308E-3</v>
      </c>
      <c r="I70" s="51">
        <f t="shared" si="9"/>
        <v>54163.611419900371</v>
      </c>
      <c r="J70" s="51">
        <f t="shared" si="10"/>
        <v>8.9940792781968068E-14</v>
      </c>
      <c r="K70" s="63" t="s">
        <v>183</v>
      </c>
    </row>
    <row r="71" spans="1:11" ht="18" x14ac:dyDescent="0.3">
      <c r="A71" s="183"/>
      <c r="B71" s="35">
        <f t="shared" si="11"/>
        <v>1400</v>
      </c>
      <c r="C71" s="51">
        <f>'NH2'!I164</f>
        <v>175390561454.12671</v>
      </c>
      <c r="D71" s="51">
        <f>'H2'!I164</f>
        <v>43538361.00832732</v>
      </c>
      <c r="E71" s="51">
        <f>TS!I164</f>
        <v>36981963338690.344</v>
      </c>
      <c r="F71" s="51">
        <f t="shared" si="6"/>
        <v>4.8429687788959289E-6</v>
      </c>
      <c r="G71" s="182">
        <f t="shared" si="7"/>
        <v>3350967462581.8218</v>
      </c>
      <c r="H71" s="51">
        <f t="shared" si="8"/>
        <v>5.5874303010874753E-3</v>
      </c>
      <c r="I71" s="51">
        <f t="shared" si="9"/>
        <v>90676.343479203992</v>
      </c>
      <c r="J71" s="51">
        <f t="shared" si="10"/>
        <v>1.5057161081569271E-13</v>
      </c>
      <c r="K71" s="63" t="s">
        <v>184</v>
      </c>
    </row>
    <row r="72" spans="1:11" ht="18" x14ac:dyDescent="0.3">
      <c r="A72" s="183"/>
      <c r="B72" s="35">
        <f t="shared" si="11"/>
        <v>1500</v>
      </c>
      <c r="C72" s="51">
        <f>'NH2'!I165</f>
        <v>242022038417.1279</v>
      </c>
      <c r="D72" s="51">
        <f>'H2'!I165</f>
        <v>55634370.316710562</v>
      </c>
      <c r="E72" s="51">
        <f>TS!I165</f>
        <v>63895812302641.852</v>
      </c>
      <c r="F72" s="51">
        <f t="shared" si="6"/>
        <v>4.7454161533498669E-6</v>
      </c>
      <c r="G72" s="182">
        <f t="shared" si="7"/>
        <v>3846773872861.7852</v>
      </c>
      <c r="H72" s="51">
        <f t="shared" si="8"/>
        <v>7.895833421416221E-3</v>
      </c>
      <c r="I72" s="51">
        <f t="shared" si="9"/>
        <v>144134.82972164627</v>
      </c>
      <c r="J72" s="51">
        <f t="shared" si="10"/>
        <v>2.3934151569324375E-13</v>
      </c>
      <c r="K72" s="63" t="s">
        <v>185</v>
      </c>
    </row>
    <row r="73" spans="1:11" ht="18" x14ac:dyDescent="0.3">
      <c r="A73" s="183"/>
      <c r="B73" s="35">
        <f t="shared" si="11"/>
        <v>1600</v>
      </c>
      <c r="C73" s="51">
        <f>'NH2'!I166</f>
        <v>328533134170.90942</v>
      </c>
      <c r="D73" s="51">
        <f>'H2'!I166</f>
        <v>70034849.904638514</v>
      </c>
      <c r="E73" s="51">
        <f>TS!I166</f>
        <v>107969459276405.88</v>
      </c>
      <c r="F73" s="51">
        <f t="shared" si="6"/>
        <v>4.6925352892532078E-6</v>
      </c>
      <c r="G73" s="182">
        <f t="shared" si="7"/>
        <v>4376773828678.2988</v>
      </c>
      <c r="H73" s="51">
        <f t="shared" si="8"/>
        <v>1.0685887652237712E-2</v>
      </c>
      <c r="I73" s="51">
        <f t="shared" si="9"/>
        <v>219468.5306564651</v>
      </c>
      <c r="J73" s="51">
        <f t="shared" si="10"/>
        <v>3.6443606917030132E-13</v>
      </c>
      <c r="K73" s="63" t="s">
        <v>186</v>
      </c>
    </row>
    <row r="74" spans="1:11" ht="18" x14ac:dyDescent="0.3">
      <c r="A74" s="183"/>
      <c r="B74" s="35">
        <f t="shared" si="11"/>
        <v>1700</v>
      </c>
      <c r="C74" s="51">
        <f>'NH2'!I167</f>
        <v>439533368607.35492</v>
      </c>
      <c r="D74" s="51">
        <f>'H2'!I167</f>
        <v>87015598.811938196</v>
      </c>
      <c r="E74" s="51">
        <f>TS!I167</f>
        <v>178763499111123.91</v>
      </c>
      <c r="F74" s="51">
        <f t="shared" si="6"/>
        <v>4.6740126364317134E-6</v>
      </c>
      <c r="G74" s="182">
        <f t="shared" si="7"/>
        <v>4940967330031.3604</v>
      </c>
      <c r="H74" s="51">
        <f t="shared" si="8"/>
        <v>1.3956063000317046E-2</v>
      </c>
      <c r="I74" s="51">
        <f t="shared" si="9"/>
        <v>322303.32492863957</v>
      </c>
      <c r="J74" s="51">
        <f t="shared" si="10"/>
        <v>5.3519726252403238E-13</v>
      </c>
      <c r="K74" s="63" t="s">
        <v>187</v>
      </c>
    </row>
    <row r="75" spans="1:11" ht="18" x14ac:dyDescent="0.3">
      <c r="A75" s="183"/>
      <c r="B75" s="35">
        <f t="shared" si="11"/>
        <v>1800</v>
      </c>
      <c r="C75" s="51">
        <f>'NH2'!I168</f>
        <v>580444409261.24902</v>
      </c>
      <c r="D75" s="51">
        <f>'H2'!I168</f>
        <v>106870796.01621579</v>
      </c>
      <c r="E75" s="51">
        <f>TS!I168</f>
        <v>290470434686482.5</v>
      </c>
      <c r="F75" s="51">
        <f t="shared" si="6"/>
        <v>4.6825482155089657E-6</v>
      </c>
      <c r="G75" s="182">
        <f t="shared" si="7"/>
        <v>5539354376920.9717</v>
      </c>
      <c r="H75" s="51">
        <f t="shared" si="8"/>
        <v>1.7694229172006731E-2</v>
      </c>
      <c r="I75" s="51">
        <f t="shared" si="9"/>
        <v>458958.11753035843</v>
      </c>
      <c r="J75" s="51">
        <f t="shared" si="10"/>
        <v>7.6211788435572612E-13</v>
      </c>
      <c r="K75" s="63" t="s">
        <v>188</v>
      </c>
    </row>
    <row r="76" spans="1:11" ht="18" x14ac:dyDescent="0.3">
      <c r="A76" s="183"/>
      <c r="B76" s="35">
        <f t="shared" si="11"/>
        <v>1900</v>
      </c>
      <c r="C76" s="51">
        <f>'NH2'!I169</f>
        <v>757602912636.20532</v>
      </c>
      <c r="D76" s="51">
        <f>'H2'!I169</f>
        <v>129913482.0526872</v>
      </c>
      <c r="E76" s="51">
        <f>TS!I169</f>
        <v>463851590366766</v>
      </c>
      <c r="F76" s="51">
        <f t="shared" si="6"/>
        <v>4.7128453742391729E-6</v>
      </c>
      <c r="G76" s="182">
        <f t="shared" si="7"/>
        <v>6171934969347.1318</v>
      </c>
      <c r="H76" s="51">
        <f t="shared" si="8"/>
        <v>2.1880187273286434E-2</v>
      </c>
      <c r="I76" s="51">
        <f t="shared" si="9"/>
        <v>636437.2160165325</v>
      </c>
      <c r="J76" s="51">
        <f t="shared" si="10"/>
        <v>1.0568288609988128E-12</v>
      </c>
      <c r="K76" s="63" t="s">
        <v>189</v>
      </c>
    </row>
    <row r="77" spans="1:11" ht="18" x14ac:dyDescent="0.3">
      <c r="A77" s="183"/>
      <c r="B77" s="35">
        <f t="shared" si="11"/>
        <v>2000</v>
      </c>
      <c r="C77" s="51">
        <f>'NH2'!I170</f>
        <v>978371680795.18555</v>
      </c>
      <c r="D77" s="51">
        <f>'H2'!I170</f>
        <v>156476005.03733525</v>
      </c>
      <c r="E77" s="51">
        <f>TS!I170</f>
        <v>728865915644255.5</v>
      </c>
      <c r="F77" s="51">
        <f t="shared" si="6"/>
        <v>4.7609762872980377E-6</v>
      </c>
      <c r="G77" s="182">
        <f t="shared" si="7"/>
        <v>6838709107309.8428</v>
      </c>
      <c r="H77" s="51">
        <f t="shared" si="8"/>
        <v>2.6487958241653318E-2</v>
      </c>
      <c r="I77" s="51">
        <f t="shared" si="9"/>
        <v>862419.6284443161</v>
      </c>
      <c r="J77" s="51">
        <f t="shared" si="10"/>
        <v>1.4320814853293401E-12</v>
      </c>
      <c r="K77" s="63" t="s">
        <v>190</v>
      </c>
    </row>
    <row r="78" spans="1:11" ht="18.600000000000001" thickBot="1" x14ac:dyDescent="0.35">
      <c r="A78" s="183"/>
      <c r="B78" s="26">
        <f t="shared" si="11"/>
        <v>2100</v>
      </c>
      <c r="C78" s="55">
        <f>'NH2'!I171</f>
        <v>1251259467731.0491</v>
      </c>
      <c r="D78" s="55">
        <f>'H2'!I171</f>
        <v>186910439.45074171</v>
      </c>
      <c r="E78" s="55">
        <f>TS!I171</f>
        <v>1128198855576416.5</v>
      </c>
      <c r="F78" s="55">
        <f t="shared" si="6"/>
        <v>4.8239713481912064E-6</v>
      </c>
      <c r="G78" s="194">
        <f t="shared" si="7"/>
        <v>7539676790809.1025</v>
      </c>
      <c r="H78" s="55">
        <f t="shared" si="8"/>
        <v>3.1487734325736642E-2</v>
      </c>
      <c r="I78" s="55">
        <f t="shared" si="9"/>
        <v>1145246.2045192935</v>
      </c>
      <c r="J78" s="55">
        <f t="shared" si="10"/>
        <v>1.9017260641368559E-12</v>
      </c>
      <c r="K78" s="65" t="s">
        <v>191</v>
      </c>
    </row>
    <row r="79" spans="1:11" ht="18" x14ac:dyDescent="0.3">
      <c r="A79" s="183"/>
      <c r="B79" s="184"/>
    </row>
    <row r="80" spans="1:11" ht="18" x14ac:dyDescent="0.3">
      <c r="A80" s="183"/>
      <c r="B80" s="184"/>
    </row>
    <row r="81" spans="1:16" ht="126" customHeight="1" x14ac:dyDescent="0.3">
      <c r="A81" s="186" t="s">
        <v>144</v>
      </c>
      <c r="B81" s="211" t="s">
        <v>145</v>
      </c>
      <c r="C81" s="211"/>
      <c r="D81" s="211"/>
      <c r="E81" s="211"/>
      <c r="F81" s="211"/>
      <c r="G81" s="211"/>
      <c r="H81" s="211"/>
      <c r="I81" s="211"/>
      <c r="J81" s="211"/>
    </row>
    <row r="82" spans="1:16" ht="18" x14ac:dyDescent="0.3">
      <c r="A82" s="183"/>
      <c r="B82" s="184"/>
    </row>
    <row r="83" spans="1:16" ht="36" customHeight="1" x14ac:dyDescent="0.3">
      <c r="A83" s="212" t="s">
        <v>146</v>
      </c>
      <c r="B83" s="212"/>
      <c r="C83" s="212"/>
      <c r="D83" s="212"/>
      <c r="E83" s="212"/>
      <c r="F83" s="212"/>
    </row>
    <row r="85" spans="1:16" ht="18" x14ac:dyDescent="0.3">
      <c r="A85" s="213" t="s">
        <v>147</v>
      </c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188"/>
    </row>
    <row r="86" spans="1:16" ht="18" x14ac:dyDescent="0.3">
      <c r="A86" s="183"/>
      <c r="B86" s="183"/>
    </row>
    <row r="87" spans="1:16" ht="18" x14ac:dyDescent="0.3">
      <c r="A87" s="185" t="s">
        <v>148</v>
      </c>
      <c r="B87" s="183"/>
    </row>
    <row r="88" spans="1:16" ht="18" x14ac:dyDescent="0.3">
      <c r="A88" s="183"/>
      <c r="B88" s="187"/>
    </row>
    <row r="89" spans="1:16" ht="18" x14ac:dyDescent="0.3">
      <c r="A89" s="183"/>
      <c r="B89" s="183"/>
    </row>
    <row r="90" spans="1:16" ht="18" x14ac:dyDescent="0.3">
      <c r="A90" s="183"/>
      <c r="B90" s="183"/>
    </row>
    <row r="91" spans="1:16" ht="36" x14ac:dyDescent="0.3">
      <c r="A91" s="185" t="s">
        <v>149</v>
      </c>
      <c r="B91" s="183"/>
    </row>
    <row r="92" spans="1:16" ht="18" x14ac:dyDescent="0.3">
      <c r="A92" s="183"/>
      <c r="B92" s="184"/>
    </row>
    <row r="94" spans="1:16" ht="16.2" x14ac:dyDescent="0.3">
      <c r="A94" s="5" t="s">
        <v>150</v>
      </c>
      <c r="B94" s="147">
        <v>1204.4952000000001</v>
      </c>
      <c r="C94" s="146" t="s">
        <v>122</v>
      </c>
      <c r="D94" s="5" t="s">
        <v>153</v>
      </c>
    </row>
    <row r="95" spans="1:16" x14ac:dyDescent="0.3">
      <c r="B95" s="188">
        <f>B94*'NH3'!I2</f>
        <v>36109922949360</v>
      </c>
      <c r="C95" s="124" t="s">
        <v>151</v>
      </c>
    </row>
    <row r="99" spans="1:10" ht="18" x14ac:dyDescent="0.3">
      <c r="A99" s="180" t="s">
        <v>133</v>
      </c>
    </row>
    <row r="101" spans="1:10" ht="15" thickBot="1" x14ac:dyDescent="0.35"/>
    <row r="102" spans="1:10" ht="16.2" x14ac:dyDescent="0.3">
      <c r="B102" s="17" t="s">
        <v>52</v>
      </c>
      <c r="C102" s="18" t="s">
        <v>142</v>
      </c>
      <c r="D102" s="18" t="s">
        <v>138</v>
      </c>
      <c r="E102" s="18" t="s">
        <v>139</v>
      </c>
      <c r="F102" s="18" t="s">
        <v>168</v>
      </c>
      <c r="G102" s="18" t="s">
        <v>152</v>
      </c>
      <c r="H102" s="19" t="s">
        <v>192</v>
      </c>
      <c r="I102"/>
    </row>
    <row r="103" spans="1:10" x14ac:dyDescent="0.3">
      <c r="B103" s="35">
        <v>298.14999999999998</v>
      </c>
      <c r="C103" s="51">
        <f>'NH3'!I153</f>
        <v>592176293.04253221</v>
      </c>
      <c r="D103" s="51">
        <f>H!I153</f>
        <v>79490.409012995253</v>
      </c>
      <c r="E103" s="51">
        <f>TS!I153</f>
        <v>4949360053.3320332</v>
      </c>
      <c r="F103" s="51">
        <v>5.6299999999999997E-21</v>
      </c>
      <c r="G103" s="51">
        <f>1+(1/24)*(($K$3 * $B$95) /($I$3 * B103) )^2</f>
        <v>2.4078237689498865</v>
      </c>
      <c r="H103" s="63">
        <f>G103*F103</f>
        <v>1.3556047819187861E-20</v>
      </c>
    </row>
    <row r="104" spans="1:10" x14ac:dyDescent="0.3">
      <c r="B104" s="35">
        <v>400</v>
      </c>
      <c r="C104" s="51">
        <f>'NH3'!I154</f>
        <v>1965105036.0922651</v>
      </c>
      <c r="D104" s="51">
        <f>H!I154</f>
        <v>165721.04978558532</v>
      </c>
      <c r="E104" s="51">
        <f>TS!I154</f>
        <v>18379255229.080627</v>
      </c>
      <c r="F104" s="51">
        <v>1.5800000000000001E-18</v>
      </c>
      <c r="G104" s="51">
        <f t="shared" ref="G104:G121" si="12">1+(1/24)*(($K$3 * $B$95) /($I$3 * B104) )^2</f>
        <v>1.782164206867529</v>
      </c>
      <c r="H104" s="63">
        <f t="shared" ref="H104:H121" si="13">G104*F104</f>
        <v>2.8158194468506958E-18</v>
      </c>
    </row>
    <row r="105" spans="1:10" x14ac:dyDescent="0.3">
      <c r="B105" s="35">
        <f>B104+100</f>
        <v>500</v>
      </c>
      <c r="C105" s="51">
        <f>'NH3'!I155</f>
        <v>5001727726.9358778</v>
      </c>
      <c r="D105" s="51">
        <f>H!I155</f>
        <v>289502.75986187335</v>
      </c>
      <c r="E105" s="51">
        <f>TS!I155</f>
        <v>54120572082.655106</v>
      </c>
      <c r="F105" s="51">
        <v>4.52E-17</v>
      </c>
      <c r="G105" s="51">
        <f t="shared" si="12"/>
        <v>1.5005850923952186</v>
      </c>
      <c r="H105" s="63">
        <f t="shared" si="13"/>
        <v>6.7826446176263885E-17</v>
      </c>
      <c r="J105"/>
    </row>
    <row r="106" spans="1:10" x14ac:dyDescent="0.3">
      <c r="B106" s="35">
        <f t="shared" ref="B106:B121" si="14">B105+100</f>
        <v>600</v>
      </c>
      <c r="C106" s="51">
        <f>'NH3'!I156</f>
        <v>10992075417.307772</v>
      </c>
      <c r="D106" s="51">
        <f>H!I156</f>
        <v>456673.51306468679</v>
      </c>
      <c r="E106" s="51">
        <f>TS!I156</f>
        <v>140543748005.67328</v>
      </c>
      <c r="F106" s="51">
        <v>4.4600000000000005E-16</v>
      </c>
      <c r="G106" s="51">
        <f t="shared" si="12"/>
        <v>1.3476285363855687</v>
      </c>
      <c r="H106" s="63">
        <f t="shared" si="13"/>
        <v>6.0104232722796366E-16</v>
      </c>
    </row>
    <row r="107" spans="1:10" x14ac:dyDescent="0.3">
      <c r="B107" s="35">
        <f t="shared" si="14"/>
        <v>700</v>
      </c>
      <c r="C107" s="51">
        <f>'NH3'!I157</f>
        <v>21880373908.033001</v>
      </c>
      <c r="D107" s="51">
        <f>H!I157</f>
        <v>671386.79850998719</v>
      </c>
      <c r="E107" s="51">
        <f>TS!I157</f>
        <v>334316770428.27747</v>
      </c>
      <c r="F107" s="51">
        <v>2.3999999999999999E-15</v>
      </c>
      <c r="G107" s="51">
        <f t="shared" si="12"/>
        <v>1.2554005573444993</v>
      </c>
      <c r="H107" s="63">
        <f t="shared" si="13"/>
        <v>3.0129613376267981E-15</v>
      </c>
    </row>
    <row r="108" spans="1:10" x14ac:dyDescent="0.3">
      <c r="B108" s="35">
        <f t="shared" si="14"/>
        <v>800</v>
      </c>
      <c r="C108" s="51">
        <f>'NH3'!I158</f>
        <v>40550047192.346367</v>
      </c>
      <c r="D108" s="51">
        <f>H!I158</f>
        <v>937459.82470992941</v>
      </c>
      <c r="E108" s="51">
        <f>TS!I158</f>
        <v>743845028651.28381</v>
      </c>
      <c r="F108" s="51">
        <v>8.8300000000000003E-15</v>
      </c>
      <c r="G108" s="51">
        <f t="shared" si="12"/>
        <v>1.1955410517168823</v>
      </c>
      <c r="H108" s="63">
        <f t="shared" si="13"/>
        <v>1.0556627486660071E-14</v>
      </c>
    </row>
    <row r="109" spans="1:10" x14ac:dyDescent="0.3">
      <c r="B109" s="35">
        <f t="shared" si="14"/>
        <v>900</v>
      </c>
      <c r="C109" s="51">
        <f>'NH3'!I159</f>
        <v>71181277647.982895</v>
      </c>
      <c r="D109" s="51">
        <f>H!I159</f>
        <v>1258444.2218093083</v>
      </c>
      <c r="E109" s="51">
        <f>TS!I159</f>
        <v>1568237441319.3638</v>
      </c>
      <c r="F109" s="51">
        <v>2.5099999999999998E-14</v>
      </c>
      <c r="G109" s="51">
        <f t="shared" si="12"/>
        <v>1.1545015717269194</v>
      </c>
      <c r="H109" s="63">
        <f t="shared" si="13"/>
        <v>2.8977989450345673E-14</v>
      </c>
    </row>
    <row r="110" spans="1:10" x14ac:dyDescent="0.3">
      <c r="B110" s="35">
        <f t="shared" si="14"/>
        <v>1000</v>
      </c>
      <c r="C110" s="51">
        <f>'NH3'!I160</f>
        <v>119719144134.23174</v>
      </c>
      <c r="D110" s="51">
        <f>H!I160</f>
        <v>1637674.917364415</v>
      </c>
      <c r="E110" s="51">
        <f>TS!I160</f>
        <v>3160553613587.5249</v>
      </c>
      <c r="F110" s="51">
        <v>5.9799999999999995E-14</v>
      </c>
      <c r="G110" s="51">
        <f t="shared" si="12"/>
        <v>1.1251462730988047</v>
      </c>
      <c r="H110" s="63">
        <f t="shared" si="13"/>
        <v>6.7283747131308516E-14</v>
      </c>
    </row>
    <row r="111" spans="1:10" x14ac:dyDescent="0.3">
      <c r="B111" s="35">
        <f t="shared" si="14"/>
        <v>1100</v>
      </c>
      <c r="C111" s="51">
        <f>'NH3'!I161</f>
        <v>194477881196.82651</v>
      </c>
      <c r="D111" s="51">
        <f>H!I161</f>
        <v>2078305.6119473386</v>
      </c>
      <c r="E111" s="51">
        <f>TS!I161</f>
        <v>6127771824418.0273</v>
      </c>
      <c r="F111" s="51">
        <v>1.24E-13</v>
      </c>
      <c r="G111" s="51">
        <f t="shared" si="12"/>
        <v>1.1034266719824832</v>
      </c>
      <c r="H111" s="63">
        <f t="shared" si="13"/>
        <v>1.3682490732582793E-13</v>
      </c>
    </row>
    <row r="112" spans="1:10" x14ac:dyDescent="0.3">
      <c r="B112" s="35">
        <f t="shared" si="14"/>
        <v>1200</v>
      </c>
      <c r="C112" s="51">
        <f>'NH3'!I162</f>
        <v>306910610472.92828</v>
      </c>
      <c r="D112" s="51">
        <f>H!I162</f>
        <v>2583335.5030105943</v>
      </c>
      <c r="E112" s="51">
        <f>TS!I162</f>
        <v>11485071413431.021</v>
      </c>
      <c r="F112" s="51">
        <v>2.3400000000000001E-13</v>
      </c>
      <c r="G112" s="51">
        <f t="shared" si="12"/>
        <v>1.0869071340963921</v>
      </c>
      <c r="H112" s="63">
        <f t="shared" si="13"/>
        <v>2.5433626937855576E-13</v>
      </c>
    </row>
    <row r="113" spans="1:9" x14ac:dyDescent="0.3">
      <c r="B113" s="35">
        <f t="shared" si="14"/>
        <v>1300</v>
      </c>
      <c r="C113" s="51">
        <f>'NH3'!I163</f>
        <v>472578635868.66119</v>
      </c>
      <c r="D113" s="51">
        <f>H!I163</f>
        <v>3155630.0146854925</v>
      </c>
      <c r="E113" s="51">
        <f>TS!I163</f>
        <v>20888864787176.25</v>
      </c>
      <c r="F113" s="51">
        <v>4.0599999999999999E-13</v>
      </c>
      <c r="G113" s="51">
        <f t="shared" si="12"/>
        <v>1.0740510491708903</v>
      </c>
      <c r="H113" s="63">
        <f t="shared" si="13"/>
        <v>4.3606472596338149E-13</v>
      </c>
    </row>
    <row r="114" spans="1:9" x14ac:dyDescent="0.3">
      <c r="B114" s="35">
        <f t="shared" si="14"/>
        <v>1400</v>
      </c>
      <c r="C114" s="51">
        <f>'NH3'!I164</f>
        <v>712359738539.73596</v>
      </c>
      <c r="D114" s="51">
        <f>H!I164</f>
        <v>3797937.2642043158</v>
      </c>
      <c r="E114" s="51">
        <f>TS!I164</f>
        <v>36981963338690.344</v>
      </c>
      <c r="F114" s="51">
        <v>6.6200000000000001E-13</v>
      </c>
      <c r="G114" s="51">
        <f t="shared" si="12"/>
        <v>1.0638501393361248</v>
      </c>
      <c r="H114" s="63">
        <f t="shared" si="13"/>
        <v>7.0426879224051463E-13</v>
      </c>
    </row>
    <row r="115" spans="1:9" x14ac:dyDescent="0.3">
      <c r="B115" s="35">
        <f t="shared" si="14"/>
        <v>1500</v>
      </c>
      <c r="C115" s="51">
        <f>'NH3'!I165</f>
        <v>1053940737776.9463</v>
      </c>
      <c r="D115" s="51">
        <f>H!I165</f>
        <v>4512901.4011096358</v>
      </c>
      <c r="E115" s="51">
        <f>TS!I165</f>
        <v>63895812302641.852</v>
      </c>
      <c r="F115" s="51">
        <v>1.0300000000000001E-12</v>
      </c>
      <c r="G115" s="51">
        <f t="shared" si="12"/>
        <v>1.0556205658216911</v>
      </c>
      <c r="H115" s="63">
        <f t="shared" si="13"/>
        <v>1.0872891827963419E-12</v>
      </c>
    </row>
    <row r="116" spans="1:9" x14ac:dyDescent="0.3">
      <c r="B116" s="35">
        <f t="shared" si="14"/>
        <v>1600</v>
      </c>
      <c r="C116" s="51">
        <f>'NH3'!I166</f>
        <v>1533645896084.7407</v>
      </c>
      <c r="D116" s="51">
        <f>H!I166</f>
        <v>5303073.5931387609</v>
      </c>
      <c r="E116" s="51">
        <f>TS!I166</f>
        <v>107969459276405.88</v>
      </c>
      <c r="F116" s="51">
        <v>1.52E-12</v>
      </c>
      <c r="G116" s="51">
        <f t="shared" si="12"/>
        <v>1.0488852629292205</v>
      </c>
      <c r="H116" s="63">
        <f t="shared" si="13"/>
        <v>1.5943055996524151E-12</v>
      </c>
    </row>
    <row r="117" spans="1:9" x14ac:dyDescent="0.3">
      <c r="B117" s="35">
        <f t="shared" si="14"/>
        <v>1700</v>
      </c>
      <c r="C117" s="51">
        <f>'NH3'!I167</f>
        <v>2198659574906.0544</v>
      </c>
      <c r="D117" s="51">
        <f>H!I167</f>
        <v>6170921.2024084236</v>
      </c>
      <c r="E117" s="51">
        <f>TS!I167</f>
        <v>178763499111123.91</v>
      </c>
      <c r="F117" s="51">
        <v>2.1699999999999998E-12</v>
      </c>
      <c r="G117" s="51">
        <f t="shared" si="12"/>
        <v>1.0433032086847076</v>
      </c>
      <c r="H117" s="63">
        <f t="shared" si="13"/>
        <v>2.2639679628458153E-12</v>
      </c>
    </row>
    <row r="118" spans="1:9" x14ac:dyDescent="0.3">
      <c r="B118" s="35">
        <f t="shared" si="14"/>
        <v>1800</v>
      </c>
      <c r="C118" s="51">
        <f>'NH3'!I168</f>
        <v>3109708930135.4043</v>
      </c>
      <c r="D118" s="51">
        <f>H!I168</f>
        <v>7118835.5438910369</v>
      </c>
      <c r="E118" s="51">
        <f>TS!I168</f>
        <v>290470434686482.5</v>
      </c>
      <c r="F118" s="51">
        <v>3.0200000000000001E-12</v>
      </c>
      <c r="G118" s="51">
        <f t="shared" si="12"/>
        <v>1.0386253929317297</v>
      </c>
      <c r="H118" s="63">
        <f t="shared" si="13"/>
        <v>3.1366486866538237E-12</v>
      </c>
    </row>
    <row r="119" spans="1:9" x14ac:dyDescent="0.3">
      <c r="B119" s="35">
        <f t="shared" si="14"/>
        <v>1900</v>
      </c>
      <c r="C119" s="51">
        <f>'NH3'!I169</f>
        <v>4344280408163.4028</v>
      </c>
      <c r="D119" s="51">
        <f>H!I169</f>
        <v>8149138.5152705293</v>
      </c>
      <c r="E119" s="51">
        <f>TS!I169</f>
        <v>463851590366766</v>
      </c>
      <c r="F119" s="51">
        <v>4.0700000000000002E-12</v>
      </c>
      <c r="G119" s="51">
        <f t="shared" si="12"/>
        <v>1.0346665576450982</v>
      </c>
      <c r="H119" s="63">
        <f t="shared" si="13"/>
        <v>4.2110928896155496E-12</v>
      </c>
    </row>
    <row r="120" spans="1:9" x14ac:dyDescent="0.3">
      <c r="B120" s="35">
        <f t="shared" si="14"/>
        <v>2000</v>
      </c>
      <c r="C120" s="51">
        <f>'NH3'!I170</f>
        <v>6000452393543.3838</v>
      </c>
      <c r="D120" s="51">
        <f>H!I170</f>
        <v>9264088.3155799992</v>
      </c>
      <c r="E120" s="51">
        <f>TS!I170</f>
        <v>728865915644255.5</v>
      </c>
      <c r="F120" s="51">
        <v>5.3800000000000001E-12</v>
      </c>
      <c r="G120" s="51">
        <f t="shared" si="12"/>
        <v>1.0312865682747012</v>
      </c>
      <c r="H120" s="63">
        <f t="shared" si="13"/>
        <v>5.5483217373178924E-12</v>
      </c>
    </row>
    <row r="121" spans="1:9" ht="15" thickBot="1" x14ac:dyDescent="0.35">
      <c r="B121" s="26">
        <f t="shared" si="14"/>
        <v>2100</v>
      </c>
      <c r="C121" s="55">
        <f>'NH3'!I171</f>
        <v>8201435595226.1426</v>
      </c>
      <c r="D121" s="55">
        <f>H!I171</f>
        <v>10465884.418952722</v>
      </c>
      <c r="E121" s="55">
        <f>TS!I171</f>
        <v>1128198855576416.5</v>
      </c>
      <c r="F121" s="55">
        <v>6.9700000000000004E-12</v>
      </c>
      <c r="G121" s="55">
        <f t="shared" si="12"/>
        <v>1.0283778397049443</v>
      </c>
      <c r="H121" s="65">
        <f t="shared" si="13"/>
        <v>7.1677935427434625E-12</v>
      </c>
    </row>
    <row r="125" spans="1:9" ht="18" x14ac:dyDescent="0.3">
      <c r="A125" s="180" t="s">
        <v>154</v>
      </c>
    </row>
    <row r="127" spans="1:9" ht="15" thickBot="1" x14ac:dyDescent="0.35"/>
    <row r="128" spans="1:9" ht="16.2" x14ac:dyDescent="0.3">
      <c r="B128" s="17" t="s">
        <v>52</v>
      </c>
      <c r="C128" s="18" t="s">
        <v>143</v>
      </c>
      <c r="D128" s="18" t="s">
        <v>141</v>
      </c>
      <c r="E128" s="18" t="s">
        <v>139</v>
      </c>
      <c r="F128" s="18" t="s">
        <v>168</v>
      </c>
      <c r="G128" s="18" t="s">
        <v>152</v>
      </c>
      <c r="H128" s="19" t="s">
        <v>192</v>
      </c>
      <c r="I128"/>
    </row>
    <row r="129" spans="2:8" x14ac:dyDescent="0.3">
      <c r="B129" s="35">
        <v>298.14999999999998</v>
      </c>
      <c r="C129" s="215">
        <f>'NH2'!I153</f>
        <v>268217988.24914557</v>
      </c>
      <c r="D129" s="215">
        <f>'H2'!I153</f>
        <v>192090.43025413383</v>
      </c>
      <c r="E129" s="215">
        <f>TS!I153</f>
        <v>4949360053.3320332</v>
      </c>
      <c r="F129" s="215">
        <v>6.3999999999999997E-22</v>
      </c>
      <c r="G129" s="215">
        <f>1+(1/24)*(($K$3 * $B$95) /($I$3 * B129) )^2</f>
        <v>2.4078237689498865</v>
      </c>
      <c r="H129" s="63">
        <f>G129*F129</f>
        <v>1.5410072121279273E-21</v>
      </c>
    </row>
    <row r="130" spans="2:8" x14ac:dyDescent="0.3">
      <c r="B130" s="35">
        <v>400</v>
      </c>
      <c r="C130" s="215">
        <f>'NH2'!I154</f>
        <v>872068608.58087039</v>
      </c>
      <c r="D130" s="215">
        <f>'H2'!I154</f>
        <v>537271.61540511006</v>
      </c>
      <c r="E130" s="215">
        <f>TS!I154</f>
        <v>18379255229.080627</v>
      </c>
      <c r="F130" s="215">
        <v>2.32E-19</v>
      </c>
      <c r="G130" s="215">
        <f t="shared" ref="G130:G147" si="15">1+(1/24)*(($K$3 * $B$95) /($I$3 * B130) )^2</f>
        <v>1.782164206867529</v>
      </c>
      <c r="H130" s="63">
        <f t="shared" ref="H130:H147" si="16">G130*F130</f>
        <v>4.1346209599326669E-19</v>
      </c>
    </row>
    <row r="131" spans="2:8" x14ac:dyDescent="0.3">
      <c r="B131" s="35">
        <f>B130+100</f>
        <v>500</v>
      </c>
      <c r="C131" s="215">
        <f>'NH2'!I155</f>
        <v>2147395484.6164701</v>
      </c>
      <c r="D131" s="215">
        <f>'H2'!I155</f>
        <v>1173221.5740756115</v>
      </c>
      <c r="E131" s="215">
        <f>TS!I155</f>
        <v>54120572082.655106</v>
      </c>
      <c r="F131" s="215">
        <v>7.5099999999999993E-18</v>
      </c>
      <c r="G131" s="215">
        <f t="shared" si="15"/>
        <v>1.5005850923952186</v>
      </c>
      <c r="H131" s="63">
        <f t="shared" si="16"/>
        <v>1.1269394043888091E-17</v>
      </c>
    </row>
    <row r="132" spans="2:8" x14ac:dyDescent="0.3">
      <c r="B132" s="35">
        <f t="shared" ref="B132:B147" si="17">B131+100</f>
        <v>600</v>
      </c>
      <c r="C132" s="215">
        <f>'NH2'!I156</f>
        <v>4516839596.3076</v>
      </c>
      <c r="D132" s="215">
        <f>'H2'!I156</f>
        <v>2220869.2610728405</v>
      </c>
      <c r="E132" s="215">
        <f>TS!I156</f>
        <v>140543748005.67328</v>
      </c>
      <c r="F132" s="215">
        <v>7.9300000000000002E-17</v>
      </c>
      <c r="G132" s="215">
        <f t="shared" si="15"/>
        <v>1.3476285363855687</v>
      </c>
      <c r="H132" s="63">
        <f t="shared" si="16"/>
        <v>1.0686694293537559E-16</v>
      </c>
    </row>
    <row r="133" spans="2:8" x14ac:dyDescent="0.3">
      <c r="B133" s="35">
        <f t="shared" si="17"/>
        <v>700</v>
      </c>
      <c r="C133" s="215">
        <f>'NH2'!I157</f>
        <v>8535221198.7838478</v>
      </c>
      <c r="D133" s="215">
        <f>'H2'!I157</f>
        <v>3809534.8942225822</v>
      </c>
      <c r="E133" s="215">
        <f>TS!I157</f>
        <v>334316770428.27747</v>
      </c>
      <c r="F133" s="215">
        <v>4.4699999999999997E-16</v>
      </c>
      <c r="G133" s="215">
        <f t="shared" si="15"/>
        <v>1.2554005573444993</v>
      </c>
      <c r="H133" s="63">
        <f t="shared" si="16"/>
        <v>5.6116404913299117E-16</v>
      </c>
    </row>
    <row r="134" spans="2:8" x14ac:dyDescent="0.3">
      <c r="B134" s="35">
        <f t="shared" si="17"/>
        <v>800</v>
      </c>
      <c r="C134" s="215">
        <f>'NH2'!I158</f>
        <v>14926545029.917982</v>
      </c>
      <c r="D134" s="215">
        <f>'H2'!I158</f>
        <v>6080514.7222203501</v>
      </c>
      <c r="E134" s="215">
        <f>TS!I158</f>
        <v>743845028651.28381</v>
      </c>
      <c r="F134" s="215">
        <v>1.7E-15</v>
      </c>
      <c r="G134" s="215">
        <f t="shared" si="15"/>
        <v>1.1955410517168823</v>
      </c>
      <c r="H134" s="63">
        <f t="shared" si="16"/>
        <v>2.0324197879186998E-15</v>
      </c>
    </row>
    <row r="135" spans="2:8" x14ac:dyDescent="0.3">
      <c r="B135" s="35">
        <f t="shared" si="17"/>
        <v>900</v>
      </c>
      <c r="C135" s="215">
        <f>'NH2'!I159</f>
        <v>24620353365.777691</v>
      </c>
      <c r="D135" s="215">
        <f>'H2'!I159</f>
        <v>9187092.2275676895</v>
      </c>
      <c r="E135" s="215">
        <f>TS!I159</f>
        <v>1568237441319.3638</v>
      </c>
      <c r="F135" s="215">
        <v>4.9900000000000002E-15</v>
      </c>
      <c r="G135" s="215">
        <f t="shared" si="15"/>
        <v>1.1545015717269194</v>
      </c>
      <c r="H135" s="63">
        <f t="shared" si="16"/>
        <v>5.7609628429173282E-15</v>
      </c>
    </row>
    <row r="136" spans="2:8" x14ac:dyDescent="0.3">
      <c r="B136" s="35">
        <f t="shared" si="17"/>
        <v>1000</v>
      </c>
      <c r="C136" s="215">
        <f>'NH2'!I160</f>
        <v>38794162336.487152</v>
      </c>
      <c r="D136" s="215">
        <f>'H2'!I160</f>
        <v>13295030.94301302</v>
      </c>
      <c r="E136" s="215">
        <f>TS!I160</f>
        <v>3160553613587.5249</v>
      </c>
      <c r="F136" s="215">
        <v>1.2199999999999999E-14</v>
      </c>
      <c r="G136" s="215">
        <f t="shared" si="15"/>
        <v>1.1251462730988047</v>
      </c>
      <c r="H136" s="63">
        <f t="shared" si="16"/>
        <v>1.3726784531805416E-14</v>
      </c>
    </row>
    <row r="137" spans="2:8" x14ac:dyDescent="0.3">
      <c r="B137" s="35">
        <f t="shared" si="17"/>
        <v>1100</v>
      </c>
      <c r="C137" s="215">
        <f>'NH2'!I161</f>
        <v>58921796011.859634</v>
      </c>
      <c r="D137" s="215">
        <f>'H2'!I161</f>
        <v>18583353.053805284</v>
      </c>
      <c r="E137" s="215">
        <f>TS!I161</f>
        <v>6127771824418.0273</v>
      </c>
      <c r="F137" s="215">
        <v>2.61E-14</v>
      </c>
      <c r="G137" s="215">
        <f t="shared" si="15"/>
        <v>1.1034266719824832</v>
      </c>
      <c r="H137" s="63">
        <f t="shared" si="16"/>
        <v>2.8799436138742813E-14</v>
      </c>
    </row>
    <row r="138" spans="2:8" x14ac:dyDescent="0.3">
      <c r="B138" s="35">
        <f t="shared" si="17"/>
        <v>1200</v>
      </c>
      <c r="C138" s="215">
        <f>'NH2'!I162</f>
        <v>86827570316.742126</v>
      </c>
      <c r="D138" s="215">
        <f>'H2'!I162</f>
        <v>25245230.797357205</v>
      </c>
      <c r="E138" s="215">
        <f>TS!I162</f>
        <v>11485071413431.021</v>
      </c>
      <c r="F138" s="215">
        <v>5.0399999999999999E-14</v>
      </c>
      <c r="G138" s="215">
        <f t="shared" si="15"/>
        <v>1.0869071340963921</v>
      </c>
      <c r="H138" s="63">
        <f t="shared" si="16"/>
        <v>5.478011955845816E-14</v>
      </c>
    </row>
    <row r="139" spans="2:8" x14ac:dyDescent="0.3">
      <c r="B139" s="35">
        <f t="shared" si="17"/>
        <v>1300</v>
      </c>
      <c r="C139" s="215">
        <f>'NH2'!I163</f>
        <v>124746466690.28874</v>
      </c>
      <c r="D139" s="215">
        <f>'H2'!I163</f>
        <v>33488875.032326974</v>
      </c>
      <c r="E139" s="215">
        <f>TS!I163</f>
        <v>20888864787176.25</v>
      </c>
      <c r="F139" s="215">
        <v>8.9900000000000001E-14</v>
      </c>
      <c r="G139" s="215">
        <f t="shared" si="15"/>
        <v>1.0740510491708903</v>
      </c>
      <c r="H139" s="63">
        <f t="shared" si="16"/>
        <v>9.6557189320463044E-14</v>
      </c>
    </row>
    <row r="140" spans="2:8" x14ac:dyDescent="0.3">
      <c r="B140" s="35">
        <f t="shared" si="17"/>
        <v>1400</v>
      </c>
      <c r="C140" s="215">
        <f>'NH2'!I164</f>
        <v>175390561454.12671</v>
      </c>
      <c r="D140" s="215">
        <f>'H2'!I164</f>
        <v>43538361.00832732</v>
      </c>
      <c r="E140" s="215">
        <f>TS!I164</f>
        <v>36981963338690.344</v>
      </c>
      <c r="F140" s="215">
        <v>1.5099999999999999E-13</v>
      </c>
      <c r="G140" s="215">
        <f t="shared" si="15"/>
        <v>1.0638501393361248</v>
      </c>
      <c r="H140" s="63">
        <f t="shared" si="16"/>
        <v>1.6064137103975483E-13</v>
      </c>
    </row>
    <row r="141" spans="2:8" x14ac:dyDescent="0.3">
      <c r="B141" s="35">
        <f t="shared" si="17"/>
        <v>1500</v>
      </c>
      <c r="C141" s="215">
        <f>'NH2'!I165</f>
        <v>242022038417.1279</v>
      </c>
      <c r="D141" s="215">
        <f>'H2'!I165</f>
        <v>55634370.316710562</v>
      </c>
      <c r="E141" s="215">
        <f>TS!I165</f>
        <v>63895812302641.852</v>
      </c>
      <c r="F141" s="215">
        <v>2.3899999999999999E-13</v>
      </c>
      <c r="G141" s="215">
        <f t="shared" si="15"/>
        <v>1.0556205658216911</v>
      </c>
      <c r="H141" s="63">
        <f t="shared" si="16"/>
        <v>2.5229331523138413E-13</v>
      </c>
    </row>
    <row r="142" spans="2:8" x14ac:dyDescent="0.3">
      <c r="B142" s="35">
        <f t="shared" si="17"/>
        <v>1600</v>
      </c>
      <c r="C142" s="215">
        <f>'NH2'!I166</f>
        <v>328533134170.90942</v>
      </c>
      <c r="D142" s="215">
        <f>'H2'!I166</f>
        <v>70034849.904638514</v>
      </c>
      <c r="E142" s="215">
        <f>TS!I166</f>
        <v>107969459276405.88</v>
      </c>
      <c r="F142" s="215">
        <v>3.6400000000000001E-13</v>
      </c>
      <c r="G142" s="215">
        <f t="shared" si="15"/>
        <v>1.0488852629292205</v>
      </c>
      <c r="H142" s="63">
        <f t="shared" si="16"/>
        <v>3.8179423570623628E-13</v>
      </c>
    </row>
    <row r="143" spans="2:8" x14ac:dyDescent="0.3">
      <c r="B143" s="35">
        <f t="shared" si="17"/>
        <v>1700</v>
      </c>
      <c r="C143" s="215">
        <f>'NH2'!I167</f>
        <v>439533368607.35492</v>
      </c>
      <c r="D143" s="215">
        <f>'H2'!I167</f>
        <v>87015598.811938196</v>
      </c>
      <c r="E143" s="215">
        <f>TS!I167</f>
        <v>178763499111123.91</v>
      </c>
      <c r="F143" s="215">
        <v>5.3500000000000004E-13</v>
      </c>
      <c r="G143" s="215">
        <f t="shared" si="15"/>
        <v>1.0433032086847076</v>
      </c>
      <c r="H143" s="63">
        <f t="shared" si="16"/>
        <v>5.5816721664631859E-13</v>
      </c>
    </row>
    <row r="144" spans="2:8" x14ac:dyDescent="0.3">
      <c r="B144" s="35">
        <f t="shared" si="17"/>
        <v>1800</v>
      </c>
      <c r="C144" s="215">
        <f>'NH2'!I168</f>
        <v>580444409261.24902</v>
      </c>
      <c r="D144" s="215">
        <f>'H2'!I168</f>
        <v>106870796.01621579</v>
      </c>
      <c r="E144" s="215">
        <f>TS!I168</f>
        <v>290470434686482.5</v>
      </c>
      <c r="F144" s="215">
        <v>7.6199999999999998E-13</v>
      </c>
      <c r="G144" s="215">
        <f t="shared" si="15"/>
        <v>1.0386253929317297</v>
      </c>
      <c r="H144" s="63">
        <f t="shared" si="16"/>
        <v>7.9143254941397803E-13</v>
      </c>
    </row>
    <row r="145" spans="2:8" x14ac:dyDescent="0.3">
      <c r="B145" s="35">
        <f t="shared" si="17"/>
        <v>1900</v>
      </c>
      <c r="C145" s="215">
        <f>'NH2'!I169</f>
        <v>757602912636.20532</v>
      </c>
      <c r="D145" s="215">
        <f>'H2'!I169</f>
        <v>129913482.0526872</v>
      </c>
      <c r="E145" s="215">
        <f>TS!I169</f>
        <v>463851590366766</v>
      </c>
      <c r="F145" s="215">
        <v>1.0599999999999999E-12</v>
      </c>
      <c r="G145" s="215">
        <f t="shared" si="15"/>
        <v>1.0346665576450982</v>
      </c>
      <c r="H145" s="63">
        <f t="shared" si="16"/>
        <v>1.096746551103804E-12</v>
      </c>
    </row>
    <row r="146" spans="2:8" x14ac:dyDescent="0.3">
      <c r="B146" s="35">
        <f t="shared" si="17"/>
        <v>2000</v>
      </c>
      <c r="C146" s="215">
        <f>'NH2'!I170</f>
        <v>978371680795.18555</v>
      </c>
      <c r="D146" s="215">
        <f>'H2'!I170</f>
        <v>156476005.03733525</v>
      </c>
      <c r="E146" s="215">
        <f>TS!I170</f>
        <v>728865915644255.5</v>
      </c>
      <c r="F146" s="215">
        <v>1.43E-12</v>
      </c>
      <c r="G146" s="215">
        <f t="shared" si="15"/>
        <v>1.0312865682747012</v>
      </c>
      <c r="H146" s="63">
        <f t="shared" si="16"/>
        <v>1.4747397926328226E-12</v>
      </c>
    </row>
    <row r="147" spans="2:8" ht="15" thickBot="1" x14ac:dyDescent="0.35">
      <c r="B147" s="26">
        <f t="shared" si="17"/>
        <v>2100</v>
      </c>
      <c r="C147" s="55">
        <f>'NH2'!I171</f>
        <v>1251259467731.0491</v>
      </c>
      <c r="D147" s="55">
        <f>'H2'!I171</f>
        <v>186910439.45074171</v>
      </c>
      <c r="E147" s="55">
        <f>TS!I171</f>
        <v>1128198855576416.5</v>
      </c>
      <c r="F147" s="55">
        <v>1.9E-12</v>
      </c>
      <c r="G147" s="55">
        <f t="shared" si="15"/>
        <v>1.0283778397049443</v>
      </c>
      <c r="H147" s="65">
        <f t="shared" si="16"/>
        <v>1.953917895439394E-12</v>
      </c>
    </row>
  </sheetData>
  <mergeCells count="4">
    <mergeCell ref="B81:J81"/>
    <mergeCell ref="A83:F83"/>
    <mergeCell ref="A85:O85"/>
    <mergeCell ref="A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NH3</vt:lpstr>
      <vt:lpstr>NH2</vt:lpstr>
      <vt:lpstr>H</vt:lpstr>
      <vt:lpstr>H2</vt:lpstr>
      <vt:lpstr>NH3+H -&gt; NH2+H2</vt:lpstr>
      <vt:lpstr>TS</vt:lpstr>
      <vt:lpstr>Velocità di reazione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broggini</dc:creator>
  <cp:lastModifiedBy>Emanuele Broggini</cp:lastModifiedBy>
  <dcterms:created xsi:type="dcterms:W3CDTF">2015-06-05T18:17:20Z</dcterms:created>
  <dcterms:modified xsi:type="dcterms:W3CDTF">2024-07-03T06:11:48Z</dcterms:modified>
</cp:coreProperties>
</file>