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7.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8" codeName="{E5D1E7B1-6628-F0F0-D09B-76B25B5F3CD3}"/>
  <workbookPr codeName="ThisWorkbook" defaultThemeVersion="166925"/>
  <mc:AlternateContent xmlns:mc="http://schemas.openxmlformats.org/markup-compatibility/2006">
    <mc:Choice Requires="x15">
      <x15ac:absPath xmlns:x15ac="http://schemas.microsoft.com/office/spreadsheetml/2010/11/ac" url="https://windmargroup.sharepoint.com/sites/WindmarCommercial/Shared Documents/Herramientas/Modelos Financieros/Calculadora Comercial/Calculadora Comercial/Versiones en desarrollo/"/>
    </mc:Choice>
  </mc:AlternateContent>
  <xr:revisionPtr revIDLastSave="192" documentId="8_{FE1B4CF7-A54D-B642-8B6E-90FDD014E3DA}" xr6:coauthVersionLast="47" xr6:coauthVersionMax="47" xr10:uidLastSave="{B60AD87B-1114-644E-80D7-8A2C76F15C9B}"/>
  <bookViews>
    <workbookView xWindow="29160" yWindow="-4600" windowWidth="33320" windowHeight="19560" tabRatio="778" activeTab="1" xr2:uid="{EFBBA907-71E6-3C46-9845-47138A983219}"/>
  </bookViews>
  <sheets>
    <sheet name="Panel de Informacion" sheetId="1" r:id="rId1"/>
    <sheet name="Variables" sheetId="3" r:id="rId2"/>
    <sheet name="Lista de Facturas" sheetId="2" r:id="rId3"/>
    <sheet name="Lista de Sistemas" sheetId="12" r:id="rId4"/>
    <sheet name="e-mail al Cliente" sheetId="7" r:id="rId5"/>
    <sheet name="e-mail al vendedor" sheetId="8" r:id="rId6"/>
    <sheet name="Lista de Baterias (custom)" sheetId="21" r:id="rId7"/>
    <sheet name="Cotización Baterias (custom)" sheetId="22" r:id="rId8"/>
    <sheet name="Calculo ATR" sheetId="18" state="hidden" r:id="rId9"/>
    <sheet name="Notas" sheetId="10" state="hidden" r:id="rId10"/>
    <sheet name="Tabla de Precios" sheetId="11" state="hidden" r:id="rId11"/>
    <sheet name="ROI Calculations" sheetId="15" state="hidden" r:id="rId12"/>
    <sheet name="Cash Flows" sheetId="17" state="hidden" r:id="rId13"/>
    <sheet name="ROI Dashboard" sheetId="13" state="hidden" r:id="rId14"/>
    <sheet name="Scratch pad" sheetId="23" state="hidden" r:id="rId15"/>
  </sheets>
  <externalReferences>
    <externalReference r:id="rId16"/>
  </externalReferences>
  <definedNames>
    <definedName name="_xleta.N" hidden="1" xlm="1">#NAME?</definedName>
    <definedName name="abono_1">Notas!$B$3</definedName>
    <definedName name="abono_2">Notas!$B$4</definedName>
    <definedName name="ac_dc_conv">Variables!$B$7</definedName>
    <definedName name="c_cont_slack">Variables!$B$8</definedName>
    <definedName name="c_demanda_dist">Variables!$L$6</definedName>
    <definedName name="c_demanda_prim">Variables!$L$5</definedName>
    <definedName name="c_demanda_trans">Variables!$L$7</definedName>
    <definedName name="c_ex_demanda_dist">Variables!$M$6</definedName>
    <definedName name="c_ex_demanda_prim">Variables!$M$5</definedName>
    <definedName name="c_ex_demanda_trans">Variables!$M$7</definedName>
    <definedName name="carta_vendedor_body">Notas!$B$14</definedName>
    <definedName name="como_llenar_contrato">Notas!$B$14</definedName>
    <definedName name="cons_diar_prom">'Panel de Informacion'!$C$38</definedName>
    <definedName name="days_year">Variables!$E$9</definedName>
    <definedName name="default_sp_yield">Variables!$B$3</definedName>
    <definedName name="Entidad_Financiera">'Panel de Informacion'!$C$20</definedName>
    <definedName name="Equip_markup">Variables!$G$11</definedName>
    <definedName name="hours_day">Variables!$E$10</definedName>
    <definedName name="hours_dayu">Variables!$E$10</definedName>
    <definedName name="maint">'ROI Dashboard'!$B$16</definedName>
    <definedName name="maint_markup">Variables!$G$13</definedName>
    <definedName name="maint_start">'ROI Dashboard'!$B$17</definedName>
    <definedName name="max_demanda">'Lista de Facturas'!$K$128</definedName>
    <definedName name="Net_sys_price">'ROI Dashboard'!$B$25</definedName>
    <definedName name="No_factura_cliente">Notas!$B$16</definedName>
    <definedName name="No_info">Notas!$B$15</definedName>
    <definedName name="No_PPA_PW">Notas!$B$11</definedName>
    <definedName name="Nota_proyecto">Notas!$B$12</definedName>
    <definedName name="PowerWall1">Notas!$B$6</definedName>
    <definedName name="Production">'Panel de Informacion'!$C$53</definedName>
    <definedName name="PW_1">Notas!$B$5</definedName>
    <definedName name="PW_2">Notas!$B$6</definedName>
    <definedName name="PW_3">Notas!$B$7</definedName>
    <definedName name="PW_end">Notas!$B$8</definedName>
    <definedName name="PW_fin">Notas!$B$9</definedName>
    <definedName name="PW_fin_end">Notas!$B$10</definedName>
    <definedName name="REAP_CAP">Variables!$J$35</definedName>
    <definedName name="REAP_level">'Panel de Informacion'!$C$25</definedName>
    <definedName name="service_markup">Variables!$G$12</definedName>
    <definedName name="specific_yield">'[1]Cost assumptions'!$B$13</definedName>
    <definedName name="sys_price">'Panel de Informacion'!$C$14</definedName>
    <definedName name="sys_size">'Panel de Informacion'!$C$52</definedName>
    <definedName name="Tarifa_1">'Lista de Facturas'!$F$10</definedName>
    <definedName name="Tariff">'ROI Dashboard'!$B$7</definedName>
    <definedName name="Term">'ROI Dashboard'!$B$4</definedName>
    <definedName name="Total_storage">'Panel de Informacion'!$C$19</definedName>
    <definedName name="Tx_slack">Variables!$B$9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 l="1"/>
  <c r="D5" i="2" l="1"/>
  <c r="E5" i="2" s="1"/>
  <c r="F5" i="2" s="1"/>
  <c r="G5" i="2" s="1"/>
  <c r="H5" i="2" s="1"/>
  <c r="I5" i="2" s="1"/>
  <c r="J5" i="2" s="1"/>
  <c r="K5" i="2" s="1"/>
  <c r="L5" i="2" s="1"/>
  <c r="M5" i="2" s="1"/>
  <c r="N5" i="2" s="1"/>
  <c r="O5" i="2" s="1"/>
  <c r="A63" i="1"/>
  <c r="B16" i="13"/>
  <c r="B40" i="15" s="1"/>
  <c r="B36" i="7"/>
  <c r="J13" i="11" l="1"/>
  <c r="N20" i="11"/>
  <c r="B9" i="18"/>
  <c r="B8" i="18"/>
  <c r="B7" i="18"/>
  <c r="B6" i="18"/>
  <c r="C2" i="18"/>
  <c r="E2" i="18"/>
  <c r="D2" i="18"/>
  <c r="B2" i="18"/>
  <c r="F13" i="11"/>
  <c r="C57" i="7"/>
  <c r="C59" i="7"/>
  <c r="B57" i="7"/>
  <c r="B4" i="3"/>
  <c r="B29" i="21"/>
  <c r="B24" i="21"/>
  <c r="B18" i="21"/>
  <c r="I4" i="12" l="1"/>
  <c r="I3" i="12"/>
  <c r="I2" i="12"/>
  <c r="C60" i="7"/>
  <c r="C58" i="7"/>
  <c r="C25" i="7"/>
  <c r="B30" i="3"/>
  <c r="C28" i="1"/>
  <c r="C24" i="1"/>
  <c r="C23" i="1"/>
  <c r="C22" i="1"/>
  <c r="C22" i="3"/>
  <c r="B33" i="3"/>
  <c r="C115" i="3" l="1"/>
  <c r="C107" i="3"/>
  <c r="K14" i="3"/>
  <c r="K7" i="3"/>
  <c r="K6" i="3"/>
  <c r="K5" i="3"/>
  <c r="K4" i="3"/>
  <c r="B104" i="3"/>
  <c r="C104" i="3" s="1"/>
  <c r="H26" i="3" s="1"/>
  <c r="B97" i="3"/>
  <c r="C97" i="3" s="1"/>
  <c r="B88" i="3"/>
  <c r="C88" i="3" s="1"/>
  <c r="B71" i="3"/>
  <c r="C71" i="3" s="1"/>
  <c r="B55" i="3"/>
  <c r="C55" i="3" s="1"/>
  <c r="B52" i="3"/>
  <c r="C52" i="3" s="1"/>
  <c r="B50" i="3"/>
  <c r="C50" i="3" s="1"/>
  <c r="B38" i="3"/>
  <c r="C38" i="3" s="1"/>
  <c r="B39" i="3"/>
  <c r="B37" i="3"/>
  <c r="C37" i="3" s="1"/>
  <c r="B117" i="3"/>
  <c r="C117" i="3" s="1"/>
  <c r="B116" i="3"/>
  <c r="C116" i="3" s="1"/>
  <c r="B115" i="3"/>
  <c r="B114" i="3"/>
  <c r="C114" i="3" s="1"/>
  <c r="B113" i="3"/>
  <c r="C113" i="3" s="1"/>
  <c r="B112" i="3"/>
  <c r="C112" i="3" s="1"/>
  <c r="B111" i="3"/>
  <c r="C111" i="3" s="1"/>
  <c r="B110" i="3"/>
  <c r="C110" i="3" s="1"/>
  <c r="B109" i="3"/>
  <c r="C109" i="3" s="1"/>
  <c r="B108" i="3"/>
  <c r="C108" i="3" s="1"/>
  <c r="B107" i="3"/>
  <c r="B106" i="3"/>
  <c r="C106" i="3" s="1"/>
  <c r="B105" i="3"/>
  <c r="C105" i="3" s="1"/>
  <c r="B103" i="3"/>
  <c r="C103" i="3" s="1"/>
  <c r="B102" i="3"/>
  <c r="C102" i="3" s="1"/>
  <c r="B101" i="3"/>
  <c r="C101" i="3" s="1"/>
  <c r="B100" i="3"/>
  <c r="C100" i="3" s="1"/>
  <c r="B99" i="3"/>
  <c r="C99" i="3" s="1"/>
  <c r="B98" i="3"/>
  <c r="C98" i="3" s="1"/>
  <c r="B96" i="3"/>
  <c r="C96" i="3" s="1"/>
  <c r="B95" i="3"/>
  <c r="C95" i="3" s="1"/>
  <c r="B94" i="3"/>
  <c r="C94" i="3" s="1"/>
  <c r="B93" i="3"/>
  <c r="C93" i="3" s="1"/>
  <c r="B92" i="3"/>
  <c r="C92" i="3" s="1"/>
  <c r="B91" i="3"/>
  <c r="C91" i="3" s="1"/>
  <c r="B90" i="3"/>
  <c r="C90" i="3" s="1"/>
  <c r="B89" i="3"/>
  <c r="C89" i="3" s="1"/>
  <c r="B87" i="3"/>
  <c r="C87" i="3" s="1"/>
  <c r="B86" i="3"/>
  <c r="C86" i="3" s="1"/>
  <c r="B85" i="3"/>
  <c r="C85" i="3" s="1"/>
  <c r="B84" i="3"/>
  <c r="C84" i="3" s="1"/>
  <c r="B83" i="3"/>
  <c r="C83" i="3" s="1"/>
  <c r="B82" i="3"/>
  <c r="C82" i="3" s="1"/>
  <c r="B81" i="3"/>
  <c r="C81" i="3" s="1"/>
  <c r="B80" i="3"/>
  <c r="C80" i="3" s="1"/>
  <c r="B79" i="3"/>
  <c r="C79" i="3" s="1"/>
  <c r="B78" i="3"/>
  <c r="C78" i="3" s="1"/>
  <c r="B77" i="3"/>
  <c r="C77" i="3" s="1"/>
  <c r="B76" i="3"/>
  <c r="C76" i="3" s="1"/>
  <c r="B75" i="3"/>
  <c r="C75" i="3" s="1"/>
  <c r="B74" i="3"/>
  <c r="C74" i="3" s="1"/>
  <c r="B73" i="3"/>
  <c r="C73" i="3" s="1"/>
  <c r="B72" i="3"/>
  <c r="C72" i="3" s="1"/>
  <c r="B70" i="3"/>
  <c r="C70" i="3" s="1"/>
  <c r="B69" i="3"/>
  <c r="C69" i="3" s="1"/>
  <c r="B68" i="3"/>
  <c r="C68" i="3" s="1"/>
  <c r="B67" i="3"/>
  <c r="C67" i="3" s="1"/>
  <c r="B66" i="3"/>
  <c r="C66" i="3" s="1"/>
  <c r="B65" i="3"/>
  <c r="C65" i="3" s="1"/>
  <c r="B64" i="3"/>
  <c r="C64" i="3" s="1"/>
  <c r="B63" i="3"/>
  <c r="C63" i="3" s="1"/>
  <c r="B62" i="3"/>
  <c r="C62" i="3" s="1"/>
  <c r="B61" i="3"/>
  <c r="C61" i="3" s="1"/>
  <c r="B60" i="3"/>
  <c r="C60" i="3" s="1"/>
  <c r="B59" i="3"/>
  <c r="C59" i="3" s="1"/>
  <c r="B58" i="3"/>
  <c r="C58" i="3" s="1"/>
  <c r="B57" i="3"/>
  <c r="C57" i="3" s="1"/>
  <c r="B56" i="3"/>
  <c r="C56" i="3" s="1"/>
  <c r="B54" i="3"/>
  <c r="C54" i="3" s="1"/>
  <c r="B53" i="3"/>
  <c r="C53" i="3" s="1"/>
  <c r="B51" i="3"/>
  <c r="C51" i="3" s="1"/>
  <c r="B49" i="3"/>
  <c r="C49" i="3" s="1"/>
  <c r="B48" i="3"/>
  <c r="C48" i="3" s="1"/>
  <c r="B47" i="3"/>
  <c r="C47" i="3" s="1"/>
  <c r="B46" i="3"/>
  <c r="C46" i="3" s="1"/>
  <c r="B45" i="3"/>
  <c r="C45" i="3" s="1"/>
  <c r="B44" i="3"/>
  <c r="C44" i="3" s="1"/>
  <c r="B43" i="3"/>
  <c r="C43" i="3" s="1"/>
  <c r="B42" i="3"/>
  <c r="C42" i="3" s="1"/>
  <c r="B41" i="3"/>
  <c r="C41" i="3" s="1"/>
  <c r="B40" i="3"/>
  <c r="C40" i="3" s="1"/>
  <c r="B36" i="3"/>
  <c r="C36" i="3" s="1"/>
  <c r="R23" i="11"/>
  <c r="K127" i="2"/>
  <c r="K126" i="2"/>
  <c r="D30" i="11"/>
  <c r="D31" i="11"/>
  <c r="D32" i="11"/>
  <c r="D33" i="11"/>
  <c r="D34" i="11"/>
  <c r="D35" i="11"/>
  <c r="D36" i="11"/>
  <c r="D37" i="11"/>
  <c r="D38" i="11"/>
  <c r="D40" i="11"/>
  <c r="D45" i="11"/>
  <c r="D46" i="11"/>
  <c r="D48" i="11"/>
  <c r="D53" i="11"/>
  <c r="D54" i="11"/>
  <c r="D56" i="11"/>
  <c r="B22" i="11"/>
  <c r="B23" i="11"/>
  <c r="F22" i="11"/>
  <c r="E23" i="11"/>
  <c r="E24" i="11" s="1"/>
  <c r="D24" i="11" s="1"/>
  <c r="C23" i="11"/>
  <c r="C24" i="11" s="1"/>
  <c r="C25" i="11" s="1"/>
  <c r="B25" i="11" s="1"/>
  <c r="E47" i="11"/>
  <c r="E48" i="11" s="1"/>
  <c r="E49" i="11" s="1"/>
  <c r="E50" i="11" s="1"/>
  <c r="E51" i="11" s="1"/>
  <c r="E52" i="11" s="1"/>
  <c r="E53" i="11" s="1"/>
  <c r="E54" i="11" s="1"/>
  <c r="E55" i="11" s="1"/>
  <c r="E56" i="11" s="1"/>
  <c r="E38" i="11"/>
  <c r="E39" i="11" s="1"/>
  <c r="E40" i="11" s="1"/>
  <c r="E41" i="11" s="1"/>
  <c r="E42" i="11" s="1"/>
  <c r="E43" i="11" s="1"/>
  <c r="E44" i="11" s="1"/>
  <c r="E45" i="11" s="1"/>
  <c r="C39" i="3" l="1"/>
  <c r="K128" i="2"/>
  <c r="F2" i="21" s="1"/>
  <c r="P23" i="11" s="1"/>
  <c r="Q26" i="11" s="1"/>
  <c r="B24" i="11"/>
  <c r="D52" i="11"/>
  <c r="D44" i="11"/>
  <c r="F23" i="11"/>
  <c r="D51" i="11"/>
  <c r="D43" i="11"/>
  <c r="D50" i="11"/>
  <c r="D42" i="11"/>
  <c r="D23" i="11"/>
  <c r="D49" i="11"/>
  <c r="D41" i="11"/>
  <c r="D55" i="11"/>
  <c r="D47" i="11"/>
  <c r="D39" i="11"/>
  <c r="F24" i="11"/>
  <c r="E25" i="11"/>
  <c r="C26" i="11"/>
  <c r="B26" i="11" l="1"/>
  <c r="E26" i="11"/>
  <c r="D25" i="11"/>
  <c r="F25" i="11"/>
  <c r="C27" i="11"/>
  <c r="F5" i="12"/>
  <c r="J3" i="12"/>
  <c r="J4" i="12"/>
  <c r="J2" i="12"/>
  <c r="O120" i="2"/>
  <c r="O119" i="2"/>
  <c r="O108" i="2"/>
  <c r="O107" i="2"/>
  <c r="O96" i="2"/>
  <c r="O95" i="2"/>
  <c r="O84" i="2"/>
  <c r="O83" i="2"/>
  <c r="O72" i="2"/>
  <c r="O71" i="2"/>
  <c r="O60" i="2"/>
  <c r="O59" i="2"/>
  <c r="O48" i="2"/>
  <c r="O47" i="2"/>
  <c r="O36" i="2"/>
  <c r="O35" i="2"/>
  <c r="O24" i="2"/>
  <c r="O23" i="2"/>
  <c r="O12" i="2"/>
  <c r="O11" i="2"/>
  <c r="K8" i="3"/>
  <c r="J10" i="12"/>
  <c r="J16" i="12"/>
  <c r="J22" i="12"/>
  <c r="J28" i="12"/>
  <c r="J34" i="12"/>
  <c r="J40" i="12"/>
  <c r="J46" i="12"/>
  <c r="J52" i="12"/>
  <c r="J58" i="12"/>
  <c r="F64" i="12"/>
  <c r="J9" i="12"/>
  <c r="J15" i="12"/>
  <c r="J21" i="12"/>
  <c r="J27" i="12"/>
  <c r="J33" i="12"/>
  <c r="J39" i="12"/>
  <c r="J45" i="12"/>
  <c r="J51" i="12"/>
  <c r="J57" i="12"/>
  <c r="F63" i="12"/>
  <c r="J8" i="12"/>
  <c r="J14" i="12"/>
  <c r="J20" i="12"/>
  <c r="J26" i="12"/>
  <c r="J32" i="12"/>
  <c r="J38" i="12"/>
  <c r="J44" i="12"/>
  <c r="J50" i="12"/>
  <c r="J56" i="12"/>
  <c r="F62" i="12"/>
  <c r="F59" i="12"/>
  <c r="F53" i="12"/>
  <c r="F47" i="12"/>
  <c r="F41" i="12"/>
  <c r="F35" i="12"/>
  <c r="F29" i="12"/>
  <c r="F23" i="12"/>
  <c r="F17" i="12"/>
  <c r="F11" i="12"/>
  <c r="B53" i="7"/>
  <c r="B54" i="7"/>
  <c r="B6" i="7"/>
  <c r="B13" i="13"/>
  <c r="C10" i="22"/>
  <c r="C77" i="12" s="1"/>
  <c r="C73" i="12"/>
  <c r="C74" i="12" s="1"/>
  <c r="G36" i="3"/>
  <c r="C18" i="22"/>
  <c r="C19" i="22"/>
  <c r="C26" i="22"/>
  <c r="C27" i="22" s="1"/>
  <c r="B40" i="22"/>
  <c r="B3" i="22"/>
  <c r="B26" i="22"/>
  <c r="H25" i="3"/>
  <c r="I35" i="3" s="1"/>
  <c r="H27" i="3"/>
  <c r="H28" i="3"/>
  <c r="H29" i="3"/>
  <c r="B29" i="3"/>
  <c r="B28" i="3"/>
  <c r="B27" i="3"/>
  <c r="B25" i="3"/>
  <c r="E149" i="3"/>
  <c r="F149" i="3" s="1" a="1"/>
  <c r="F149" i="3" s="1"/>
  <c r="B25" i="22"/>
  <c r="B23" i="22"/>
  <c r="B22" i="22"/>
  <c r="C29" i="22"/>
  <c r="C37" i="22"/>
  <c r="C36" i="22"/>
  <c r="C35" i="22"/>
  <c r="B32" i="22"/>
  <c r="B19" i="22"/>
  <c r="B18" i="22"/>
  <c r="C13" i="22"/>
  <c r="C14" i="22"/>
  <c r="C12" i="22"/>
  <c r="C11" i="22"/>
  <c r="B7" i="22"/>
  <c r="K12" i="2"/>
  <c r="L5" i="12" s="1"/>
  <c r="K24" i="2"/>
  <c r="L11" i="12" s="1"/>
  <c r="K36" i="2"/>
  <c r="L17" i="12" s="1"/>
  <c r="K48" i="2"/>
  <c r="L23" i="12" s="1"/>
  <c r="K60" i="2"/>
  <c r="L29" i="12" s="1"/>
  <c r="K72" i="2"/>
  <c r="L35" i="12" s="1"/>
  <c r="K84" i="2"/>
  <c r="L41" i="12" s="1"/>
  <c r="K96" i="2"/>
  <c r="L47" i="12" s="1"/>
  <c r="K108" i="2"/>
  <c r="L53" i="12" s="1"/>
  <c r="K120" i="2"/>
  <c r="L59" i="12" s="1"/>
  <c r="C13" i="8"/>
  <c r="E18" i="3"/>
  <c r="C27" i="7"/>
  <c r="B11" i="13"/>
  <c r="F6" i="11"/>
  <c r="E7" i="11"/>
  <c r="F7" i="11"/>
  <c r="E8" i="11"/>
  <c r="F8" i="11"/>
  <c r="E9" i="11"/>
  <c r="C6" i="2"/>
  <c r="C18" i="2"/>
  <c r="C20" i="2" s="1"/>
  <c r="C30" i="2"/>
  <c r="C32" i="2" s="1"/>
  <c r="C42" i="2"/>
  <c r="C44" i="2" s="1"/>
  <c r="C54" i="2"/>
  <c r="C56" i="2" s="1"/>
  <c r="C66" i="2"/>
  <c r="C68" i="2" s="1"/>
  <c r="C78" i="2"/>
  <c r="C80" i="2" s="1"/>
  <c r="C90" i="2"/>
  <c r="C92" i="2" s="1"/>
  <c r="C102" i="2"/>
  <c r="C104" i="2" s="1"/>
  <c r="C114" i="2"/>
  <c r="C116" i="2" s="1"/>
  <c r="D6" i="2"/>
  <c r="D18" i="2"/>
  <c r="D20" i="2" s="1"/>
  <c r="D30" i="2"/>
  <c r="D32" i="2" s="1"/>
  <c r="D42" i="2"/>
  <c r="D44" i="2" s="1"/>
  <c r="D54" i="2"/>
  <c r="D56" i="2" s="1"/>
  <c r="D66" i="2"/>
  <c r="D68" i="2" s="1"/>
  <c r="D78" i="2"/>
  <c r="D80" i="2" s="1"/>
  <c r="D90" i="2"/>
  <c r="D92" i="2" s="1"/>
  <c r="D102" i="2"/>
  <c r="D104" i="2" s="1"/>
  <c r="D114" i="2"/>
  <c r="D116" i="2" s="1"/>
  <c r="E6" i="2"/>
  <c r="E18" i="2"/>
  <c r="E20" i="2" s="1"/>
  <c r="E30" i="2"/>
  <c r="E32" i="2" s="1"/>
  <c r="E42" i="2"/>
  <c r="E44" i="2" s="1"/>
  <c r="E54" i="2"/>
  <c r="E56" i="2" s="1"/>
  <c r="E66" i="2"/>
  <c r="E68" i="2" s="1"/>
  <c r="E78" i="2"/>
  <c r="E80" i="2" s="1"/>
  <c r="E90" i="2"/>
  <c r="E92" i="2" s="1"/>
  <c r="E102" i="2"/>
  <c r="E104" i="2" s="1"/>
  <c r="E114" i="2"/>
  <c r="E116" i="2" s="1"/>
  <c r="F6" i="2"/>
  <c r="F18" i="2"/>
  <c r="F20" i="2" s="1"/>
  <c r="F30" i="2"/>
  <c r="F32" i="2" s="1"/>
  <c r="F42" i="2"/>
  <c r="F44" i="2" s="1"/>
  <c r="F54" i="2"/>
  <c r="F56" i="2" s="1"/>
  <c r="F66" i="2"/>
  <c r="F68" i="2" s="1"/>
  <c r="F78" i="2"/>
  <c r="F80" i="2" s="1"/>
  <c r="F90" i="2"/>
  <c r="F92" i="2" s="1"/>
  <c r="F102" i="2"/>
  <c r="F104" i="2" s="1"/>
  <c r="F114" i="2"/>
  <c r="F116" i="2" s="1"/>
  <c r="G6" i="2"/>
  <c r="G18" i="2"/>
  <c r="G20" i="2" s="1"/>
  <c r="G30" i="2"/>
  <c r="G32" i="2" s="1"/>
  <c r="G42" i="2"/>
  <c r="G44" i="2" s="1"/>
  <c r="G54" i="2"/>
  <c r="G56" i="2" s="1"/>
  <c r="G66" i="2"/>
  <c r="G68" i="2" s="1"/>
  <c r="G78" i="2"/>
  <c r="G80" i="2" s="1"/>
  <c r="G90" i="2"/>
  <c r="G92" i="2" s="1"/>
  <c r="G102" i="2"/>
  <c r="G104" i="2" s="1"/>
  <c r="G114" i="2"/>
  <c r="G116" i="2" s="1"/>
  <c r="H6" i="2"/>
  <c r="H18" i="2"/>
  <c r="H20" i="2" s="1"/>
  <c r="H30" i="2"/>
  <c r="H32" i="2" s="1"/>
  <c r="H42" i="2"/>
  <c r="H44" i="2" s="1"/>
  <c r="H54" i="2"/>
  <c r="H56" i="2" s="1"/>
  <c r="H66" i="2"/>
  <c r="H68" i="2" s="1"/>
  <c r="H78" i="2"/>
  <c r="H80" i="2" s="1"/>
  <c r="H90" i="2"/>
  <c r="H92" i="2" s="1"/>
  <c r="H102" i="2"/>
  <c r="H104" i="2" s="1"/>
  <c r="H114" i="2"/>
  <c r="H116" i="2" s="1"/>
  <c r="I6" i="2"/>
  <c r="I18" i="2"/>
  <c r="I20" i="2" s="1"/>
  <c r="I30" i="2"/>
  <c r="I32" i="2" s="1"/>
  <c r="I42" i="2"/>
  <c r="I44" i="2" s="1"/>
  <c r="I54" i="2"/>
  <c r="I56" i="2" s="1"/>
  <c r="I66" i="2"/>
  <c r="I68" i="2" s="1"/>
  <c r="I78" i="2"/>
  <c r="I80" i="2" s="1"/>
  <c r="I90" i="2"/>
  <c r="I92" i="2" s="1"/>
  <c r="I102" i="2"/>
  <c r="I104" i="2" s="1"/>
  <c r="I114" i="2"/>
  <c r="I116" i="2" s="1"/>
  <c r="J6" i="2"/>
  <c r="J18" i="2"/>
  <c r="J20" i="2" s="1"/>
  <c r="J30" i="2"/>
  <c r="J32" i="2" s="1"/>
  <c r="J42" i="2"/>
  <c r="J44" i="2" s="1"/>
  <c r="J54" i="2"/>
  <c r="J56" i="2" s="1"/>
  <c r="J66" i="2"/>
  <c r="J68" i="2" s="1"/>
  <c r="J78" i="2"/>
  <c r="J80" i="2" s="1"/>
  <c r="J90" i="2"/>
  <c r="J92" i="2" s="1"/>
  <c r="J102" i="2"/>
  <c r="J104" i="2" s="1"/>
  <c r="J114" i="2"/>
  <c r="J116" i="2" s="1"/>
  <c r="K6" i="2"/>
  <c r="K18" i="2"/>
  <c r="K20" i="2" s="1"/>
  <c r="K30" i="2"/>
  <c r="K32" i="2" s="1"/>
  <c r="K42" i="2"/>
  <c r="K44" i="2" s="1"/>
  <c r="K54" i="2"/>
  <c r="K56" i="2" s="1"/>
  <c r="K66" i="2"/>
  <c r="K68" i="2" s="1"/>
  <c r="K78" i="2"/>
  <c r="K80" i="2" s="1"/>
  <c r="K90" i="2"/>
  <c r="K92" i="2" s="1"/>
  <c r="K102" i="2"/>
  <c r="K104" i="2" s="1"/>
  <c r="K114" i="2"/>
  <c r="K116" i="2" s="1"/>
  <c r="L6" i="2"/>
  <c r="L18" i="2"/>
  <c r="L20" i="2" s="1"/>
  <c r="L30" i="2"/>
  <c r="L32" i="2" s="1"/>
  <c r="L42" i="2"/>
  <c r="L44" i="2" s="1"/>
  <c r="L54" i="2"/>
  <c r="L56" i="2" s="1"/>
  <c r="L66" i="2"/>
  <c r="L68" i="2" s="1"/>
  <c r="L78" i="2"/>
  <c r="L80" i="2" s="1"/>
  <c r="L90" i="2"/>
  <c r="L92" i="2" s="1"/>
  <c r="L102" i="2"/>
  <c r="L104" i="2" s="1"/>
  <c r="L114" i="2"/>
  <c r="L116" i="2" s="1"/>
  <c r="M6" i="2"/>
  <c r="M18" i="2"/>
  <c r="M20" i="2" s="1"/>
  <c r="M30" i="2"/>
  <c r="M32" i="2" s="1"/>
  <c r="M42" i="2"/>
  <c r="M44" i="2" s="1"/>
  <c r="M54" i="2"/>
  <c r="M56" i="2" s="1"/>
  <c r="M66" i="2"/>
  <c r="M68" i="2" s="1"/>
  <c r="M78" i="2"/>
  <c r="M80" i="2" s="1"/>
  <c r="M90" i="2"/>
  <c r="M92" i="2" s="1"/>
  <c r="M102" i="2"/>
  <c r="M104" i="2" s="1"/>
  <c r="M114" i="2"/>
  <c r="M116" i="2" s="1"/>
  <c r="N6" i="2"/>
  <c r="N18" i="2"/>
  <c r="N20" i="2" s="1"/>
  <c r="N30" i="2"/>
  <c r="N32" i="2" s="1"/>
  <c r="N42" i="2"/>
  <c r="N44" i="2" s="1"/>
  <c r="N54" i="2"/>
  <c r="N56" i="2" s="1"/>
  <c r="N66" i="2"/>
  <c r="N68" i="2" s="1"/>
  <c r="N78" i="2"/>
  <c r="N80" i="2" s="1"/>
  <c r="N90" i="2"/>
  <c r="N92" i="2" s="1"/>
  <c r="N102" i="2"/>
  <c r="N104" i="2" s="1"/>
  <c r="N114" i="2"/>
  <c r="N116" i="2" s="1"/>
  <c r="O6" i="2"/>
  <c r="O18" i="2"/>
  <c r="O20" i="2" s="1"/>
  <c r="O30" i="2"/>
  <c r="O32" i="2" s="1"/>
  <c r="O42" i="2"/>
  <c r="O44" i="2" s="1"/>
  <c r="O54" i="2"/>
  <c r="O56" i="2" s="1"/>
  <c r="O66" i="2"/>
  <c r="O68" i="2" s="1"/>
  <c r="O78" i="2"/>
  <c r="O80" i="2" s="1"/>
  <c r="O90" i="2"/>
  <c r="O92" i="2" s="1"/>
  <c r="O102" i="2"/>
  <c r="O104" i="2" s="1"/>
  <c r="O114" i="2"/>
  <c r="O116" i="2" s="1"/>
  <c r="P7" i="2"/>
  <c r="C126" i="2"/>
  <c r="C41" i="1" s="1"/>
  <c r="C127" i="2"/>
  <c r="C42" i="1" s="1"/>
  <c r="C128" i="2"/>
  <c r="C43" i="1" s="1"/>
  <c r="C42" i="7" s="1"/>
  <c r="B5" i="22"/>
  <c r="C4" i="22"/>
  <c r="B5" i="8"/>
  <c r="C28" i="8"/>
  <c r="C27" i="8"/>
  <c r="C26" i="8"/>
  <c r="C25" i="8"/>
  <c r="C12" i="8"/>
  <c r="P19" i="2"/>
  <c r="P115" i="2"/>
  <c r="P103" i="2"/>
  <c r="P91" i="2"/>
  <c r="P79" i="2"/>
  <c r="P67" i="2"/>
  <c r="P55" i="2"/>
  <c r="P43" i="2"/>
  <c r="P31" i="2"/>
  <c r="K3" i="3"/>
  <c r="B9" i="13"/>
  <c r="R8" i="13" s="1"/>
  <c r="B4" i="17" s="1"/>
  <c r="Q10" i="13"/>
  <c r="Q11" i="13"/>
  <c r="Q12" i="13"/>
  <c r="Q13" i="13"/>
  <c r="Q14" i="13"/>
  <c r="Q15" i="13"/>
  <c r="Q16" i="13"/>
  <c r="Q17" i="13"/>
  <c r="Q18" i="13"/>
  <c r="Q19" i="13"/>
  <c r="Q20" i="13"/>
  <c r="Q21" i="13"/>
  <c r="Q22" i="13"/>
  <c r="Q23" i="13"/>
  <c r="Q24" i="13"/>
  <c r="Q25" i="13"/>
  <c r="Q26" i="13"/>
  <c r="Q27" i="13"/>
  <c r="Q28" i="13"/>
  <c r="Q29" i="13"/>
  <c r="R10" i="13"/>
  <c r="R11" i="13"/>
  <c r="R12" i="13"/>
  <c r="R13" i="13"/>
  <c r="R14" i="13"/>
  <c r="R15" i="13"/>
  <c r="R16" i="13"/>
  <c r="R17" i="13"/>
  <c r="R18" i="13"/>
  <c r="R19" i="13"/>
  <c r="R20" i="13"/>
  <c r="R21" i="13"/>
  <c r="R22" i="13"/>
  <c r="R23" i="13"/>
  <c r="R24" i="13"/>
  <c r="R25" i="13"/>
  <c r="R26" i="13"/>
  <c r="R27" i="13"/>
  <c r="R28" i="13"/>
  <c r="R29" i="13"/>
  <c r="B3" i="15"/>
  <c r="D22" i="15"/>
  <c r="E22" i="15"/>
  <c r="F22" i="15"/>
  <c r="G22" i="15"/>
  <c r="H22" i="15"/>
  <c r="I22" i="15"/>
  <c r="J22" i="15"/>
  <c r="K22" i="15"/>
  <c r="L22" i="15"/>
  <c r="M22" i="15"/>
  <c r="N22" i="15"/>
  <c r="O22" i="15"/>
  <c r="P22" i="15"/>
  <c r="Q22" i="15"/>
  <c r="R22" i="15"/>
  <c r="S22" i="15"/>
  <c r="T22" i="15"/>
  <c r="U22" i="15"/>
  <c r="V22" i="15"/>
  <c r="W22" i="15"/>
  <c r="X22" i="15"/>
  <c r="Y22" i="15"/>
  <c r="Z22" i="15"/>
  <c r="AA22" i="15"/>
  <c r="AB22" i="15"/>
  <c r="AC22" i="15"/>
  <c r="AD22" i="15"/>
  <c r="AE22" i="15"/>
  <c r="AF22" i="15"/>
  <c r="AG22" i="15"/>
  <c r="AH22" i="15"/>
  <c r="AI22" i="15"/>
  <c r="AJ22" i="15"/>
  <c r="AK22" i="15"/>
  <c r="AL22" i="15"/>
  <c r="AM22" i="15"/>
  <c r="AN22" i="15"/>
  <c r="AO22" i="15"/>
  <c r="C22" i="15"/>
  <c r="B22" i="15"/>
  <c r="C14" i="15"/>
  <c r="D14" i="15"/>
  <c r="E14" i="15"/>
  <c r="F14" i="15"/>
  <c r="G14" i="15"/>
  <c r="H14" i="15"/>
  <c r="I14" i="15"/>
  <c r="J14" i="15"/>
  <c r="K14" i="15"/>
  <c r="L14" i="15"/>
  <c r="M14" i="15"/>
  <c r="N14" i="15"/>
  <c r="O14" i="15"/>
  <c r="P14" i="15"/>
  <c r="Q14" i="15"/>
  <c r="R14" i="15"/>
  <c r="S14" i="15"/>
  <c r="T14" i="15"/>
  <c r="U14" i="15"/>
  <c r="V14" i="15"/>
  <c r="W14" i="15"/>
  <c r="X14" i="15"/>
  <c r="Y14" i="15"/>
  <c r="Z14" i="15"/>
  <c r="AA14" i="15"/>
  <c r="AB14" i="15"/>
  <c r="AC14" i="15"/>
  <c r="AD14" i="15"/>
  <c r="AE14" i="15"/>
  <c r="AF14" i="15"/>
  <c r="AG14" i="15"/>
  <c r="AH14" i="15"/>
  <c r="AI14" i="15"/>
  <c r="AJ14" i="15"/>
  <c r="AK14" i="15"/>
  <c r="AL14" i="15"/>
  <c r="AM14" i="15"/>
  <c r="AN14" i="15"/>
  <c r="AO14" i="15"/>
  <c r="G129" i="3"/>
  <c r="G130" i="3"/>
  <c r="G131" i="3"/>
  <c r="G132" i="3"/>
  <c r="G133" i="3"/>
  <c r="G134" i="3"/>
  <c r="G135" i="3"/>
  <c r="G136" i="3"/>
  <c r="G114" i="3"/>
  <c r="G115" i="3"/>
  <c r="G116" i="3"/>
  <c r="G117" i="3"/>
  <c r="G118" i="3"/>
  <c r="G119" i="3"/>
  <c r="G120" i="3"/>
  <c r="G121" i="3"/>
  <c r="G122" i="3"/>
  <c r="G123" i="3"/>
  <c r="G124" i="3"/>
  <c r="G125" i="3"/>
  <c r="G126" i="3"/>
  <c r="G127" i="3"/>
  <c r="G128" i="3"/>
  <c r="G99" i="3"/>
  <c r="G100" i="3"/>
  <c r="G101" i="3"/>
  <c r="G102" i="3"/>
  <c r="G103" i="3"/>
  <c r="G104" i="3"/>
  <c r="G105" i="3"/>
  <c r="G106" i="3"/>
  <c r="G107" i="3"/>
  <c r="G108" i="3"/>
  <c r="G109" i="3"/>
  <c r="G110" i="3"/>
  <c r="G111" i="3"/>
  <c r="G112" i="3"/>
  <c r="G113" i="3"/>
  <c r="G82" i="3"/>
  <c r="G83" i="3"/>
  <c r="G84" i="3"/>
  <c r="G85" i="3"/>
  <c r="G86" i="3"/>
  <c r="G87" i="3"/>
  <c r="G88" i="3"/>
  <c r="G89" i="3"/>
  <c r="G90" i="3"/>
  <c r="G91" i="3"/>
  <c r="G92" i="3"/>
  <c r="G93" i="3"/>
  <c r="G94" i="3"/>
  <c r="G95" i="3"/>
  <c r="G96" i="3"/>
  <c r="G97" i="3"/>
  <c r="G98" i="3"/>
  <c r="G73" i="3"/>
  <c r="G74" i="3"/>
  <c r="G75" i="3"/>
  <c r="G76" i="3"/>
  <c r="G77" i="3"/>
  <c r="G78" i="3"/>
  <c r="G79" i="3"/>
  <c r="G80" i="3"/>
  <c r="G81" i="3"/>
  <c r="G62" i="3"/>
  <c r="G63" i="3"/>
  <c r="G64" i="3"/>
  <c r="G65" i="3"/>
  <c r="G66" i="3"/>
  <c r="G67" i="3"/>
  <c r="G68" i="3"/>
  <c r="G69" i="3"/>
  <c r="G70" i="3"/>
  <c r="G71" i="3"/>
  <c r="G72" i="3"/>
  <c r="C55" i="12"/>
  <c r="C49" i="12"/>
  <c r="C43" i="12"/>
  <c r="C37" i="12"/>
  <c r="C31" i="12"/>
  <c r="C25" i="12"/>
  <c r="C19" i="12"/>
  <c r="C13" i="12"/>
  <c r="C7" i="12"/>
  <c r="C1" i="12"/>
  <c r="C67" i="12"/>
  <c r="B32" i="15" a="1"/>
  <c r="B32" i="15"/>
  <c r="G38" i="3"/>
  <c r="G39" i="3"/>
  <c r="G40" i="3"/>
  <c r="G41" i="3"/>
  <c r="G42" i="3"/>
  <c r="G43" i="3"/>
  <c r="G44" i="3"/>
  <c r="G45" i="3"/>
  <c r="G46" i="3"/>
  <c r="G47" i="3"/>
  <c r="G48" i="3"/>
  <c r="G49" i="3"/>
  <c r="G50" i="3"/>
  <c r="G51" i="3"/>
  <c r="G52" i="3"/>
  <c r="G53" i="3"/>
  <c r="G54" i="3"/>
  <c r="G55" i="3"/>
  <c r="G56" i="3"/>
  <c r="G57" i="3"/>
  <c r="G58" i="3"/>
  <c r="G59" i="3"/>
  <c r="G60" i="3"/>
  <c r="G61" i="3"/>
  <c r="G37" i="3"/>
  <c r="C9" i="7"/>
  <c r="C3" i="7"/>
  <c r="C2" i="8"/>
  <c r="B8" i="15"/>
  <c r="C8" i="15"/>
  <c r="D8" i="15"/>
  <c r="E8" i="15"/>
  <c r="F8" i="15"/>
  <c r="G8" i="15"/>
  <c r="H8" i="15"/>
  <c r="I8" i="15"/>
  <c r="J8" i="15"/>
  <c r="K8" i="15"/>
  <c r="L8" i="15"/>
  <c r="M8" i="15"/>
  <c r="N8" i="15"/>
  <c r="O8" i="15"/>
  <c r="P8" i="15"/>
  <c r="Q8" i="15"/>
  <c r="R8" i="15"/>
  <c r="S8" i="15"/>
  <c r="T8" i="15"/>
  <c r="U8" i="15"/>
  <c r="V8" i="15"/>
  <c r="W8" i="15"/>
  <c r="X8" i="15"/>
  <c r="Y8" i="15"/>
  <c r="Z8" i="15"/>
  <c r="AA8" i="15"/>
  <c r="AB8" i="15"/>
  <c r="AC8" i="15"/>
  <c r="AD8" i="15"/>
  <c r="AE8" i="15"/>
  <c r="AF8" i="15"/>
  <c r="AG8" i="15"/>
  <c r="AH8" i="15"/>
  <c r="AI8" i="15"/>
  <c r="AJ8" i="15"/>
  <c r="AK8" i="15"/>
  <c r="AL8" i="15"/>
  <c r="AM8" i="15"/>
  <c r="AN8" i="15"/>
  <c r="AO8" i="15"/>
  <c r="B2" i="17"/>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B30" i="8"/>
  <c r="B34" i="8"/>
  <c r="B4" i="7"/>
  <c r="C17" i="8"/>
  <c r="B10" i="8"/>
  <c r="B3" i="8"/>
  <c r="C15" i="8" l="1"/>
  <c r="H65" i="12"/>
  <c r="I59" i="12"/>
  <c r="I53" i="12"/>
  <c r="I47" i="12"/>
  <c r="I41" i="12"/>
  <c r="I35" i="12"/>
  <c r="I29" i="12"/>
  <c r="I23" i="12"/>
  <c r="I17" i="12"/>
  <c r="I11" i="12"/>
  <c r="C62" i="12"/>
  <c r="C71" i="12" s="1"/>
  <c r="J11" i="12"/>
  <c r="G11" i="12" s="1"/>
  <c r="J47" i="12"/>
  <c r="G47" i="12" s="1"/>
  <c r="P23" i="2"/>
  <c r="L8" i="12" s="1"/>
  <c r="M8" i="12" s="1"/>
  <c r="N8" i="12" s="1"/>
  <c r="J23" i="12"/>
  <c r="G23" i="12" s="1"/>
  <c r="J59" i="12"/>
  <c r="G59" i="12" s="1"/>
  <c r="P59" i="2"/>
  <c r="L26" i="12" s="1"/>
  <c r="M26" i="12" s="1"/>
  <c r="N26" i="12" s="1"/>
  <c r="J41" i="12"/>
  <c r="G41" i="12" s="1"/>
  <c r="P119" i="2"/>
  <c r="L56" i="12" s="1"/>
  <c r="M56" i="12" s="1"/>
  <c r="N56" i="12" s="1"/>
  <c r="J53" i="12"/>
  <c r="G53" i="12" s="1"/>
  <c r="J35" i="12"/>
  <c r="G35" i="12" s="1"/>
  <c r="J29" i="12"/>
  <c r="G29" i="12" s="1"/>
  <c r="J5" i="12"/>
  <c r="G5" i="12" s="1"/>
  <c r="P107" i="2"/>
  <c r="L50" i="12" s="1"/>
  <c r="M50" i="12" s="1"/>
  <c r="N50" i="12" s="1"/>
  <c r="P83" i="2"/>
  <c r="L38" i="12" s="1"/>
  <c r="M38" i="12" s="1"/>
  <c r="N38" i="12" s="1"/>
  <c r="P71" i="2"/>
  <c r="L32" i="12" s="1"/>
  <c r="M32" i="12" s="1"/>
  <c r="N32" i="12" s="1"/>
  <c r="C26" i="7"/>
  <c r="C28" i="7" s="1"/>
  <c r="J62" i="12"/>
  <c r="G62" i="12" s="1"/>
  <c r="J64" i="12"/>
  <c r="G64" i="12" s="1"/>
  <c r="J17" i="12"/>
  <c r="G17" i="12" s="1"/>
  <c r="F65" i="12"/>
  <c r="J63" i="12"/>
  <c r="C20" i="22"/>
  <c r="P95" i="2"/>
  <c r="L44" i="12" s="1"/>
  <c r="M44" i="12" s="1"/>
  <c r="N44" i="12" s="1"/>
  <c r="P47" i="2"/>
  <c r="L20" i="12" s="1"/>
  <c r="M20" i="12" s="1"/>
  <c r="N20" i="12" s="1"/>
  <c r="G123" i="2"/>
  <c r="C123" i="2"/>
  <c r="P35" i="2"/>
  <c r="L14" i="12" s="1"/>
  <c r="M14" i="12" s="1"/>
  <c r="N14" i="12" s="1"/>
  <c r="C62" i="1"/>
  <c r="F123" i="2"/>
  <c r="N123" i="2"/>
  <c r="E123" i="2"/>
  <c r="L123" i="2"/>
  <c r="H123" i="2"/>
  <c r="D123" i="2"/>
  <c r="M123" i="2"/>
  <c r="B12" i="13"/>
  <c r="C14" i="8"/>
  <c r="C16" i="1"/>
  <c r="C17" i="1" s="1"/>
  <c r="M8" i="2"/>
  <c r="M122" i="2" s="1"/>
  <c r="C25" i="1"/>
  <c r="P11" i="2"/>
  <c r="L2" i="12" s="1"/>
  <c r="C41" i="7"/>
  <c r="C61" i="1"/>
  <c r="C40" i="7"/>
  <c r="C60" i="1"/>
  <c r="I8" i="2"/>
  <c r="I122" i="2" s="1"/>
  <c r="O8" i="2"/>
  <c r="O122" i="2" s="1"/>
  <c r="K8" i="2"/>
  <c r="K122" i="2" s="1"/>
  <c r="G8" i="2"/>
  <c r="G122" i="2" s="1"/>
  <c r="J8" i="2"/>
  <c r="J122" i="2" s="1"/>
  <c r="J123" i="2"/>
  <c r="O123" i="2"/>
  <c r="L8" i="2"/>
  <c r="L122" i="2" s="1"/>
  <c r="E8" i="2"/>
  <c r="E122" i="2" s="1"/>
  <c r="D8" i="2"/>
  <c r="D122" i="2" s="1"/>
  <c r="H8" i="2"/>
  <c r="H122" i="2" s="1"/>
  <c r="K123" i="2"/>
  <c r="N8" i="2"/>
  <c r="N122" i="2" s="1"/>
  <c r="F8" i="2"/>
  <c r="F122" i="2" s="1"/>
  <c r="I123" i="2"/>
  <c r="C8" i="2"/>
  <c r="C122" i="2" s="1"/>
  <c r="C24" i="22"/>
  <c r="B27" i="11"/>
  <c r="E27" i="11"/>
  <c r="D26" i="11"/>
  <c r="F26" i="11"/>
  <c r="C28" i="11"/>
  <c r="B4" i="15"/>
  <c r="C21" i="7" l="1"/>
  <c r="B47" i="7"/>
  <c r="I65" i="12"/>
  <c r="B3" i="3" s="1"/>
  <c r="C47" i="1" s="1"/>
  <c r="I5" i="12"/>
  <c r="L62" i="12"/>
  <c r="B42" i="7" s="1"/>
  <c r="G124" i="2"/>
  <c r="G63" i="12"/>
  <c r="J65" i="12"/>
  <c r="G65" i="12" s="1"/>
  <c r="C28" i="22"/>
  <c r="C78" i="12" s="1"/>
  <c r="E124" i="2"/>
  <c r="F124" i="2"/>
  <c r="H124" i="2"/>
  <c r="N124" i="2"/>
  <c r="L124" i="2"/>
  <c r="D124" i="2"/>
  <c r="M124" i="2"/>
  <c r="O124" i="2"/>
  <c r="J124" i="2"/>
  <c r="K124" i="2"/>
  <c r="C16" i="8"/>
  <c r="C37" i="1"/>
  <c r="C38" i="1" s="1"/>
  <c r="F3" i="21" s="1"/>
  <c r="Q23" i="11" s="1"/>
  <c r="S23" i="11" s="1"/>
  <c r="C124" i="2"/>
  <c r="C39" i="1"/>
  <c r="I124" i="2"/>
  <c r="C48" i="1"/>
  <c r="E28" i="11"/>
  <c r="D27" i="11"/>
  <c r="F28" i="11"/>
  <c r="B28" i="11"/>
  <c r="F27" i="11"/>
  <c r="C29" i="11"/>
  <c r="B8" i="13" l="1"/>
  <c r="C49" i="1"/>
  <c r="M2" i="12" s="1"/>
  <c r="N2" i="12" s="1"/>
  <c r="N61" i="12" s="1"/>
  <c r="C61" i="12" s="1"/>
  <c r="A2" i="18" s="1"/>
  <c r="R26" i="11"/>
  <c r="B45" i="7"/>
  <c r="C40" i="1"/>
  <c r="B7" i="13" s="1"/>
  <c r="B29" i="11"/>
  <c r="E29" i="11"/>
  <c r="D29" i="11" s="1"/>
  <c r="D28" i="11"/>
  <c r="C30" i="11"/>
  <c r="C52" i="1" l="1"/>
  <c r="C63" i="12"/>
  <c r="C65" i="12"/>
  <c r="C15" i="1" s="1"/>
  <c r="C63" i="1"/>
  <c r="B39" i="15"/>
  <c r="C36" i="7"/>
  <c r="C53" i="1"/>
  <c r="B10" i="15" s="1"/>
  <c r="B7" i="17" s="1"/>
  <c r="C7" i="18"/>
  <c r="F2" i="18"/>
  <c r="C6" i="18"/>
  <c r="C9" i="18"/>
  <c r="C8" i="18"/>
  <c r="Y25" i="15"/>
  <c r="Y13" i="15" s="1"/>
  <c r="AH25" i="15"/>
  <c r="AH13" i="15" s="1"/>
  <c r="F25" i="15"/>
  <c r="F13" i="15" s="1"/>
  <c r="AF25" i="15"/>
  <c r="AF13" i="15" s="1"/>
  <c r="Z25" i="15"/>
  <c r="Z13" i="15" s="1"/>
  <c r="G25" i="15"/>
  <c r="G13" i="15" s="1"/>
  <c r="O25" i="15"/>
  <c r="O13" i="15" s="1"/>
  <c r="U25" i="15"/>
  <c r="U13" i="15" s="1"/>
  <c r="R25" i="15"/>
  <c r="R13" i="15" s="1"/>
  <c r="AA25" i="15"/>
  <c r="AA13" i="15" s="1"/>
  <c r="AM25" i="15"/>
  <c r="AM13" i="15" s="1"/>
  <c r="AD25" i="15"/>
  <c r="AD13" i="15" s="1"/>
  <c r="J25" i="15"/>
  <c r="J13" i="15" s="1"/>
  <c r="P25" i="15"/>
  <c r="P13" i="15" s="1"/>
  <c r="K25" i="15"/>
  <c r="K13" i="15" s="1"/>
  <c r="Q25" i="15"/>
  <c r="Q13" i="15" s="1"/>
  <c r="AO25" i="15"/>
  <c r="AO13" i="15" s="1"/>
  <c r="AK25" i="15"/>
  <c r="AK13" i="15" s="1"/>
  <c r="AE25" i="15"/>
  <c r="AE13" i="15" s="1"/>
  <c r="AN25" i="15"/>
  <c r="AN13" i="15" s="1"/>
  <c r="B25" i="15"/>
  <c r="B13" i="15" s="1"/>
  <c r="C25" i="15"/>
  <c r="C13" i="15" s="1"/>
  <c r="C7" i="8"/>
  <c r="AL25" i="15"/>
  <c r="AL13" i="15" s="1"/>
  <c r="V25" i="15"/>
  <c r="V13" i="15" s="1"/>
  <c r="D25" i="15"/>
  <c r="D13" i="15" s="1"/>
  <c r="X25" i="15"/>
  <c r="X13" i="15" s="1"/>
  <c r="B33" i="15"/>
  <c r="I25" i="15"/>
  <c r="I13" i="15" s="1"/>
  <c r="M25" i="15"/>
  <c r="M13" i="15" s="1"/>
  <c r="L25" i="15"/>
  <c r="L13" i="15" s="1"/>
  <c r="B5" i="13"/>
  <c r="B26" i="13" s="1"/>
  <c r="E25" i="15"/>
  <c r="E13" i="15" s="1"/>
  <c r="AC25" i="15"/>
  <c r="AC13" i="15" s="1"/>
  <c r="N25" i="15"/>
  <c r="N13" i="15" s="1"/>
  <c r="S25" i="15"/>
  <c r="S13" i="15" s="1"/>
  <c r="C56" i="1"/>
  <c r="C64" i="1" s="1"/>
  <c r="C38" i="7" s="1"/>
  <c r="H25" i="15"/>
  <c r="H13" i="15" s="1"/>
  <c r="W25" i="15"/>
  <c r="W13" i="15" s="1"/>
  <c r="T25" i="15"/>
  <c r="T13" i="15" s="1"/>
  <c r="AG25" i="15"/>
  <c r="AG13" i="15" s="1"/>
  <c r="AI25" i="15"/>
  <c r="AI13" i="15" s="1"/>
  <c r="AJ25" i="15"/>
  <c r="AJ13" i="15" s="1"/>
  <c r="C17" i="7"/>
  <c r="B34" i="15"/>
  <c r="AB25" i="15"/>
  <c r="AB13" i="15" s="1"/>
  <c r="C44" i="1"/>
  <c r="B27" i="13"/>
  <c r="B9" i="15"/>
  <c r="B3" i="17"/>
  <c r="F30" i="11"/>
  <c r="B30" i="11"/>
  <c r="F29" i="11"/>
  <c r="C31" i="11"/>
  <c r="B11" i="18" l="1"/>
  <c r="C11" i="18" s="1"/>
  <c r="B10" i="18"/>
  <c r="C10" i="18" s="1"/>
  <c r="B5" i="18"/>
  <c r="C5" i="18" s="1"/>
  <c r="G2" i="18"/>
  <c r="C54" i="1"/>
  <c r="C55" i="1" s="1"/>
  <c r="B19" i="3" s="1"/>
  <c r="B21" i="3" s="1"/>
  <c r="C18" i="7"/>
  <c r="C59" i="1"/>
  <c r="C39" i="7" s="1"/>
  <c r="C37" i="7" s="1"/>
  <c r="B1" i="17"/>
  <c r="C10" i="15"/>
  <c r="D10" i="15" s="1"/>
  <c r="B28" i="13"/>
  <c r="C7" i="17"/>
  <c r="B11" i="15"/>
  <c r="C9" i="15"/>
  <c r="B8" i="7"/>
  <c r="F31" i="11"/>
  <c r="B31" i="11"/>
  <c r="C32" i="11"/>
  <c r="C81" i="12" l="1"/>
  <c r="C18" i="1" s="1"/>
  <c r="C19" i="1" s="1"/>
  <c r="B12" i="18"/>
  <c r="C12" i="18" s="1"/>
  <c r="C82" i="12" s="1"/>
  <c r="C85" i="12" s="1"/>
  <c r="C87" i="12" s="1"/>
  <c r="C14" i="1" s="1"/>
  <c r="C29" i="7" s="1"/>
  <c r="B8" i="17"/>
  <c r="C65" i="1"/>
  <c r="B9" i="17"/>
  <c r="E10" i="15"/>
  <c r="D9" i="15"/>
  <c r="C8" i="17"/>
  <c r="C11" i="15"/>
  <c r="B24" i="15"/>
  <c r="D7" i="17"/>
  <c r="B12" i="15"/>
  <c r="F32" i="11"/>
  <c r="B32" i="11"/>
  <c r="C33" i="11"/>
  <c r="E4" i="13" l="1"/>
  <c r="C19" i="7"/>
  <c r="C8" i="8"/>
  <c r="C27" i="1" a="1"/>
  <c r="C27" i="1" s="1"/>
  <c r="C18" i="8" s="1"/>
  <c r="C29" i="1"/>
  <c r="B6" i="13"/>
  <c r="B23" i="13"/>
  <c r="B25" i="13" s="1"/>
  <c r="B23" i="15" s="1"/>
  <c r="B27" i="15" s="1"/>
  <c r="C20" i="7"/>
  <c r="C22" i="7" s="1"/>
  <c r="B15" i="15"/>
  <c r="B16" i="15" s="1"/>
  <c r="C18" i="3"/>
  <c r="C32" i="1" s="1"/>
  <c r="B10" i="17"/>
  <c r="F10" i="15"/>
  <c r="C24" i="15"/>
  <c r="C27" i="15" s="1"/>
  <c r="D8" i="17"/>
  <c r="C12" i="15"/>
  <c r="C15" i="15" s="1"/>
  <c r="C9" i="17"/>
  <c r="E9" i="15"/>
  <c r="D11" i="15"/>
  <c r="F33" i="11"/>
  <c r="B33" i="11"/>
  <c r="C34" i="11"/>
  <c r="E5" i="13" l="1"/>
  <c r="B18" i="13"/>
  <c r="B19" i="13" s="1"/>
  <c r="B26" i="15" s="1"/>
  <c r="B14" i="15" s="1"/>
  <c r="C30" i="1"/>
  <c r="C20" i="8" s="1"/>
  <c r="C16" i="15"/>
  <c r="C30" i="7"/>
  <c r="C19" i="8"/>
  <c r="C68" i="1"/>
  <c r="B32" i="8"/>
  <c r="B50" i="7"/>
  <c r="G10" i="15"/>
  <c r="B11" i="17"/>
  <c r="D12" i="15"/>
  <c r="D15" i="15" s="1"/>
  <c r="D16" i="15" s="1"/>
  <c r="D24" i="15"/>
  <c r="D27" i="15" s="1"/>
  <c r="D9" i="17"/>
  <c r="F9" i="15"/>
  <c r="C10" i="17"/>
  <c r="E11" i="15"/>
  <c r="F34" i="11"/>
  <c r="B34" i="11"/>
  <c r="C35" i="11"/>
  <c r="B18" i="3" l="1"/>
  <c r="C31" i="1" s="1"/>
  <c r="C66" i="1" s="1"/>
  <c r="C35" i="7" s="1"/>
  <c r="C43" i="7" s="1"/>
  <c r="H10" i="15"/>
  <c r="B12" i="17"/>
  <c r="E24" i="15"/>
  <c r="E27" i="15" s="1"/>
  <c r="E12" i="15"/>
  <c r="E15" i="15" s="1"/>
  <c r="E16" i="15" s="1"/>
  <c r="D10" i="17"/>
  <c r="G9" i="15"/>
  <c r="C11" i="17"/>
  <c r="F11" i="15"/>
  <c r="F35" i="11"/>
  <c r="B35" i="11"/>
  <c r="C36" i="11"/>
  <c r="C67" i="1" l="1"/>
  <c r="C69" i="1" s="1"/>
  <c r="C70" i="1" s="1"/>
  <c r="C22" i="8" s="1"/>
  <c r="B13" i="17"/>
  <c r="I10" i="15"/>
  <c r="F24" i="15"/>
  <c r="F27" i="15" s="1"/>
  <c r="D11" i="17"/>
  <c r="F12" i="15"/>
  <c r="F15" i="15" s="1"/>
  <c r="F16" i="15" s="1"/>
  <c r="H9" i="15"/>
  <c r="C12" i="17"/>
  <c r="G11" i="15"/>
  <c r="F36" i="11"/>
  <c r="B36" i="11"/>
  <c r="C37" i="11"/>
  <c r="C8" i="7" l="1"/>
  <c r="C21" i="8"/>
  <c r="B12" i="7"/>
  <c r="C44" i="7"/>
  <c r="B14" i="17"/>
  <c r="J10" i="15"/>
  <c r="G12" i="15"/>
  <c r="G15" i="15" s="1"/>
  <c r="G16" i="15" s="1"/>
  <c r="G24" i="15"/>
  <c r="G27" i="15" s="1"/>
  <c r="D12" i="17"/>
  <c r="I9" i="15"/>
  <c r="C13" i="17"/>
  <c r="H11" i="15"/>
  <c r="F37" i="11"/>
  <c r="B37" i="11"/>
  <c r="C38" i="11"/>
  <c r="B38" i="11" s="1"/>
  <c r="K10" i="15" l="1"/>
  <c r="B15" i="17"/>
  <c r="H12" i="15"/>
  <c r="H15" i="15" s="1"/>
  <c r="H16" i="15" s="1"/>
  <c r="D13" i="17"/>
  <c r="H24" i="15"/>
  <c r="H27" i="15" s="1"/>
  <c r="J9" i="15"/>
  <c r="C14" i="17"/>
  <c r="I11" i="15"/>
  <c r="F38" i="11"/>
  <c r="C39" i="11"/>
  <c r="B39" i="11" s="1"/>
  <c r="F5" i="21" s="1"/>
  <c r="P29" i="11" l="1"/>
  <c r="B16" i="17"/>
  <c r="L10" i="15"/>
  <c r="I12" i="15"/>
  <c r="I15" i="15" s="1"/>
  <c r="I16" i="15" s="1"/>
  <c r="I24" i="15"/>
  <c r="I27" i="15" s="1"/>
  <c r="D14" i="17"/>
  <c r="C15" i="17"/>
  <c r="K9" i="15"/>
  <c r="J11" i="15"/>
  <c r="F39" i="11"/>
  <c r="C40" i="11"/>
  <c r="Q29" i="11" l="1"/>
  <c r="B17" i="17"/>
  <c r="M10" i="15"/>
  <c r="L9" i="15"/>
  <c r="C16" i="17"/>
  <c r="K11" i="15"/>
  <c r="D15" i="17"/>
  <c r="J12" i="15"/>
  <c r="J15" i="15" s="1"/>
  <c r="J16" i="15" s="1"/>
  <c r="J24" i="15"/>
  <c r="J27" i="15" s="1"/>
  <c r="F40" i="11"/>
  <c r="B40" i="11"/>
  <c r="C41" i="11"/>
  <c r="S26" i="11"/>
  <c r="F6" i="21" l="1"/>
  <c r="N10" i="15"/>
  <c r="B18" i="17"/>
  <c r="K24" i="15"/>
  <c r="K27" i="15" s="1"/>
  <c r="D16" i="17"/>
  <c r="K12" i="15"/>
  <c r="K15" i="15" s="1"/>
  <c r="C17" i="17"/>
  <c r="M9" i="15"/>
  <c r="L11" i="15"/>
  <c r="F41" i="11"/>
  <c r="B41" i="11"/>
  <c r="C42" i="11"/>
  <c r="S29" i="11"/>
  <c r="F7" i="21" l="1"/>
  <c r="F13" i="21" s="1"/>
  <c r="B19" i="17"/>
  <c r="O10" i="15"/>
  <c r="L24" i="15"/>
  <c r="L27" i="15" s="1"/>
  <c r="L12" i="15"/>
  <c r="L15" i="15" s="1"/>
  <c r="L16" i="15" s="1"/>
  <c r="D17" i="17"/>
  <c r="N9" i="15"/>
  <c r="C18" i="17"/>
  <c r="M11" i="15"/>
  <c r="K16" i="15"/>
  <c r="F42" i="11"/>
  <c r="B42" i="11"/>
  <c r="C43" i="11"/>
  <c r="F8" i="21" l="1"/>
  <c r="F10" i="21"/>
  <c r="F9" i="21"/>
  <c r="F12" i="21"/>
  <c r="F11" i="21"/>
  <c r="F14" i="21"/>
  <c r="B20" i="17"/>
  <c r="P10" i="15"/>
  <c r="D18" i="17"/>
  <c r="M12" i="15"/>
  <c r="M15" i="15" s="1"/>
  <c r="M24" i="15"/>
  <c r="M27" i="15" s="1"/>
  <c r="O9" i="15"/>
  <c r="C19" i="17"/>
  <c r="N11" i="15"/>
  <c r="F43" i="11"/>
  <c r="B43" i="11"/>
  <c r="C44" i="11"/>
  <c r="B21" i="17" l="1"/>
  <c r="Q10" i="15"/>
  <c r="P9" i="15"/>
  <c r="C20" i="17"/>
  <c r="O11" i="15"/>
  <c r="M16" i="15"/>
  <c r="B18" i="15" s="1" a="1"/>
  <c r="B18" i="15" s="1"/>
  <c r="B31" i="13" s="1"/>
  <c r="N12" i="15"/>
  <c r="N15" i="15" s="1"/>
  <c r="N16" i="15" s="1"/>
  <c r="N24" i="15"/>
  <c r="N27" i="15" s="1"/>
  <c r="D19" i="17"/>
  <c r="F44" i="11"/>
  <c r="B44" i="11"/>
  <c r="C45" i="11"/>
  <c r="R10" i="15" l="1"/>
  <c r="B22" i="17"/>
  <c r="O24" i="15"/>
  <c r="O27" i="15" s="1"/>
  <c r="D20" i="17"/>
  <c r="O12" i="15"/>
  <c r="O15" i="15" s="1"/>
  <c r="O16" i="15" s="1"/>
  <c r="C21" i="17"/>
  <c r="Q9" i="15"/>
  <c r="P11" i="15"/>
  <c r="F45" i="11"/>
  <c r="B45" i="11"/>
  <c r="C46" i="11"/>
  <c r="S10" i="15" l="1"/>
  <c r="B23" i="17"/>
  <c r="D21" i="17"/>
  <c r="P24" i="15"/>
  <c r="P27" i="15" s="1"/>
  <c r="P12" i="15"/>
  <c r="P15" i="15" s="1"/>
  <c r="P16" i="15" s="1"/>
  <c r="R9" i="15"/>
  <c r="C22" i="17"/>
  <c r="Q11" i="15"/>
  <c r="F46" i="11"/>
  <c r="B46" i="11"/>
  <c r="C47" i="11"/>
  <c r="B24" i="17" l="1"/>
  <c r="T10" i="15"/>
  <c r="S9" i="15"/>
  <c r="C23" i="17"/>
  <c r="R11" i="15"/>
  <c r="Q24" i="15"/>
  <c r="Q27" i="15" s="1"/>
  <c r="Q12" i="15"/>
  <c r="Q15" i="15" s="1"/>
  <c r="Q16" i="15" s="1"/>
  <c r="D22" i="17"/>
  <c r="F47" i="11"/>
  <c r="B47" i="11"/>
  <c r="C48" i="11"/>
  <c r="U10" i="15" l="1"/>
  <c r="B25" i="17"/>
  <c r="D23" i="17"/>
  <c r="R12" i="15"/>
  <c r="R15" i="15" s="1"/>
  <c r="R16" i="15" s="1"/>
  <c r="R24" i="15"/>
  <c r="R27" i="15" s="1"/>
  <c r="C24" i="17"/>
  <c r="T9" i="15"/>
  <c r="S11" i="15"/>
  <c r="F48" i="11"/>
  <c r="B48" i="11"/>
  <c r="C49" i="11"/>
  <c r="B26" i="17" l="1"/>
  <c r="V10" i="15"/>
  <c r="S12" i="15"/>
  <c r="S15" i="15" s="1"/>
  <c r="S16" i="15" s="1"/>
  <c r="S24" i="15"/>
  <c r="S27" i="15" s="1"/>
  <c r="D24" i="17"/>
  <c r="U9" i="15"/>
  <c r="C25" i="17"/>
  <c r="T11" i="15"/>
  <c r="F49" i="11"/>
  <c r="B49" i="11"/>
  <c r="C50" i="11"/>
  <c r="W10" i="15" l="1"/>
  <c r="B27" i="17"/>
  <c r="V9" i="15"/>
  <c r="C26" i="17"/>
  <c r="U11" i="15"/>
  <c r="T24" i="15"/>
  <c r="T27" i="15" s="1"/>
  <c r="D25" i="17"/>
  <c r="T12" i="15"/>
  <c r="T15" i="15" s="1"/>
  <c r="T16" i="15" s="1"/>
  <c r="F50" i="11"/>
  <c r="B50" i="11"/>
  <c r="C51" i="11"/>
  <c r="B28" i="17" l="1"/>
  <c r="X10" i="15"/>
  <c r="D26" i="17"/>
  <c r="U12" i="15"/>
  <c r="U15" i="15" s="1"/>
  <c r="U16" i="15" s="1"/>
  <c r="U24" i="15"/>
  <c r="U27" i="15" s="1"/>
  <c r="C27" i="17"/>
  <c r="W9" i="15"/>
  <c r="V11" i="15"/>
  <c r="F51" i="11"/>
  <c r="B51" i="11"/>
  <c r="C52" i="11"/>
  <c r="Y10" i="15" l="1"/>
  <c r="B29" i="17"/>
  <c r="V12" i="15"/>
  <c r="V15" i="15" s="1"/>
  <c r="V16" i="15" s="1"/>
  <c r="D27" i="17"/>
  <c r="V24" i="15"/>
  <c r="V27" i="15" s="1"/>
  <c r="C28" i="17"/>
  <c r="X9" i="15"/>
  <c r="W11" i="15"/>
  <c r="F52" i="11"/>
  <c r="B52" i="11"/>
  <c r="C53" i="11"/>
  <c r="Z10" i="15" l="1"/>
  <c r="B30" i="17"/>
  <c r="Y9" i="15"/>
  <c r="C29" i="17"/>
  <c r="X11" i="15"/>
  <c r="D28" i="17"/>
  <c r="W12" i="15"/>
  <c r="W15" i="15" s="1"/>
  <c r="W16" i="15" s="1"/>
  <c r="W24" i="15"/>
  <c r="W27" i="15" s="1"/>
  <c r="F53" i="11"/>
  <c r="B53" i="11"/>
  <c r="C54" i="11"/>
  <c r="AA10" i="15" l="1"/>
  <c r="AB10" i="15" s="1"/>
  <c r="AC10" i="15" s="1"/>
  <c r="AD10" i="15" s="1"/>
  <c r="B31" i="17"/>
  <c r="X12" i="15"/>
  <c r="X15" i="15" s="1"/>
  <c r="X16" i="15" s="1"/>
  <c r="D29" i="17"/>
  <c r="X24" i="15"/>
  <c r="X27" i="15" s="1"/>
  <c r="Z9" i="15"/>
  <c r="C30" i="17"/>
  <c r="Y11" i="15"/>
  <c r="F54" i="11"/>
  <c r="B54" i="11"/>
  <c r="C55" i="11"/>
  <c r="D30" i="17" l="1"/>
  <c r="Y12" i="15"/>
  <c r="Y15" i="15" s="1"/>
  <c r="Y16" i="15" s="1"/>
  <c r="Y24" i="15"/>
  <c r="Y27" i="15" s="1"/>
  <c r="AA9" i="15"/>
  <c r="C31" i="17"/>
  <c r="Z11" i="15"/>
  <c r="F55" i="11"/>
  <c r="B55" i="11"/>
  <c r="C56" i="11"/>
  <c r="AE10" i="15"/>
  <c r="AB9" i="15" l="1"/>
  <c r="AA11" i="15"/>
  <c r="D31" i="17"/>
  <c r="D32" i="17" s="1"/>
  <c r="Z24" i="15"/>
  <c r="Z27" i="15" s="1"/>
  <c r="Z12" i="15"/>
  <c r="Z15" i="15" s="1"/>
  <c r="Z16" i="15" s="1"/>
  <c r="F56" i="11"/>
  <c r="B56" i="11"/>
  <c r="AF10" i="15"/>
  <c r="AA12" i="15" l="1"/>
  <c r="AA15" i="15" s="1"/>
  <c r="AA16" i="15" s="1"/>
  <c r="AA24" i="15"/>
  <c r="AA27" i="15" s="1"/>
  <c r="AC9" i="15"/>
  <c r="AB11" i="15"/>
  <c r="AG10" i="15"/>
  <c r="AD9" i="15" l="1"/>
  <c r="AC11" i="15"/>
  <c r="AB24" i="15"/>
  <c r="AB27" i="15" s="1"/>
  <c r="AB12" i="15"/>
  <c r="AB15" i="15" s="1"/>
  <c r="AB16" i="15" s="1"/>
  <c r="AH10" i="15"/>
  <c r="AC12" i="15" l="1"/>
  <c r="AC15" i="15" s="1"/>
  <c r="AC16" i="15" s="1"/>
  <c r="AC24" i="15"/>
  <c r="AC27" i="15" s="1"/>
  <c r="AE9" i="15"/>
  <c r="AD11" i="15"/>
  <c r="AI10" i="15"/>
  <c r="AF9" i="15" l="1"/>
  <c r="AE11" i="15"/>
  <c r="AD24" i="15"/>
  <c r="AD27" i="15" s="1"/>
  <c r="AD12" i="15"/>
  <c r="AD15" i="15" s="1"/>
  <c r="AD16" i="15" s="1"/>
  <c r="AJ10" i="15"/>
  <c r="AE12" i="15" l="1"/>
  <c r="AE15" i="15" s="1"/>
  <c r="AE16" i="15" s="1"/>
  <c r="AE24" i="15"/>
  <c r="AE27" i="15" s="1"/>
  <c r="AG9" i="15"/>
  <c r="AF11" i="15"/>
  <c r="AK10" i="15"/>
  <c r="AF12" i="15" l="1"/>
  <c r="AF15" i="15" s="1"/>
  <c r="AF16" i="15" s="1"/>
  <c r="AF24" i="15"/>
  <c r="AF27" i="15" s="1"/>
  <c r="AH9" i="15"/>
  <c r="AG11" i="15"/>
  <c r="AL10" i="15"/>
  <c r="AI9" i="15" l="1"/>
  <c r="AH11" i="15"/>
  <c r="AG12" i="15"/>
  <c r="AG15" i="15" s="1"/>
  <c r="AG16" i="15" s="1"/>
  <c r="AG24" i="15"/>
  <c r="AG27" i="15" s="1"/>
  <c r="AM10" i="15"/>
  <c r="AH24" i="15" l="1"/>
  <c r="AH27" i="15" s="1"/>
  <c r="AH12" i="15"/>
  <c r="AH15" i="15" s="1"/>
  <c r="AH16" i="15" s="1"/>
  <c r="AJ9" i="15"/>
  <c r="AI11" i="15"/>
  <c r="AN10" i="15"/>
  <c r="AI24" i="15" l="1"/>
  <c r="AI27" i="15" s="1"/>
  <c r="AI12" i="15"/>
  <c r="AI15" i="15" s="1"/>
  <c r="AI16" i="15" s="1"/>
  <c r="AK9" i="15"/>
  <c r="AJ11" i="15"/>
  <c r="AO10" i="15"/>
  <c r="AJ24" i="15" l="1"/>
  <c r="AJ27" i="15" s="1"/>
  <c r="AJ12" i="15"/>
  <c r="AJ15" i="15" s="1"/>
  <c r="AJ16" i="15" s="1"/>
  <c r="AL9" i="15"/>
  <c r="AK11" i="15"/>
  <c r="AM9" i="15" l="1"/>
  <c r="AL11" i="15"/>
  <c r="AK12" i="15"/>
  <c r="AK15" i="15" s="1"/>
  <c r="AK16" i="15" s="1"/>
  <c r="AK24" i="15"/>
  <c r="AK27" i="15" s="1"/>
  <c r="AL12" i="15" l="1"/>
  <c r="AL15" i="15" s="1"/>
  <c r="AL16" i="15" s="1"/>
  <c r="AL24" i="15"/>
  <c r="AL27" i="15" s="1"/>
  <c r="AN9" i="15"/>
  <c r="AM11" i="15"/>
  <c r="AM12" i="15" l="1"/>
  <c r="AM15" i="15" s="1"/>
  <c r="AM16" i="15" s="1"/>
  <c r="AM24" i="15"/>
  <c r="AM27" i="15" s="1"/>
  <c r="AO9" i="15"/>
  <c r="AO11" i="15" s="1"/>
  <c r="AN11" i="15"/>
  <c r="AO24" i="15" l="1"/>
  <c r="AO27" i="15" s="1"/>
  <c r="AN24" i="15"/>
  <c r="AN27" i="15" s="1"/>
  <c r="AN12" i="15"/>
  <c r="AN15" i="15" s="1"/>
  <c r="AN16" i="15" s="1"/>
  <c r="B29" i="15" l="1"/>
  <c r="B32" i="13" s="1"/>
  <c r="E24" i="13" s="1"/>
  <c r="AO12" i="15"/>
  <c r="AO15" i="15" s="1"/>
  <c r="AO16"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<sst xmlns="http://schemas.openxmlformats.org/spreadsheetml/2006/main" count="1106" uniqueCount="606">
  <si>
    <t>10.3.9: 
- No permite cotizar REAP
- Permite seleccionar programa de garantias (Plus/std)
- Genera nueva carta al cliente incluyendo garantia seleccionada</t>
  </si>
  <si>
    <t>Datos de la oportunidad</t>
  </si>
  <si>
    <t>Nombre del vendedor</t>
  </si>
  <si>
    <t>Juan Perez</t>
  </si>
  <si>
    <t>Nombre del cliente</t>
  </si>
  <si>
    <t>Pedro Perez</t>
  </si>
  <si>
    <t>Nombre de la Corporación o Negocio</t>
  </si>
  <si>
    <t>Colmado San Juan</t>
  </si>
  <si>
    <t>Es esta cotización parte de un grupo o "bundle"?</t>
  </si>
  <si>
    <t>NO</t>
  </si>
  <si>
    <t>Cuantos sistemas son parte del grupo?</t>
  </si>
  <si>
    <t>Nombre del grupo</t>
  </si>
  <si>
    <t>Municipio</t>
  </si>
  <si>
    <t>No cualifica</t>
  </si>
  <si>
    <t>Financiamiento</t>
  </si>
  <si>
    <t>Precio Total del sistema cotizado (solar + baterias - $)</t>
  </si>
  <si>
    <t>Precio total del sistema SOLAR SOLAMENTE (sin baterias - $)</t>
  </si>
  <si>
    <t>Número de Tesla PowerWalls (PW) cotizadas</t>
  </si>
  <si>
    <t>Pequeño almacenamiento cotizado (kWh)</t>
  </si>
  <si>
    <t>Gran almacenamiento cotizado - incluyendo ATRs, etc. (kWh)</t>
  </si>
  <si>
    <t>Total almacenamiento cotizado (kWh)</t>
  </si>
  <si>
    <t>Entidad Financiera</t>
  </si>
  <si>
    <t>Sygnus Capital - más de $60K, todo tipo de negocios</t>
  </si>
  <si>
    <t>Tenemos cotización de la Entidad Financiera?</t>
  </si>
  <si>
    <t>Tipo de financiamiento</t>
  </si>
  <si>
    <t>Período de amortización (años)</t>
  </si>
  <si>
    <t>Tasa de interés</t>
  </si>
  <si>
    <t>Incentivo Federal</t>
  </si>
  <si>
    <t>Otro Incentivo?</t>
  </si>
  <si>
    <t>No Aplica</t>
  </si>
  <si>
    <t>Monto del incentivo ($)</t>
  </si>
  <si>
    <t>Pronto Pago (%)</t>
  </si>
  <si>
    <t>Pronto Pago ($) - Aproximado</t>
  </si>
  <si>
    <t>Monto a financiar - Aproximado</t>
  </si>
  <si>
    <t xml:space="preserve">Pago mensual - Aproximado </t>
  </si>
  <si>
    <t>Pago mensual - Aproximado si abona incentivo al balance</t>
  </si>
  <si>
    <t>Pago mensual - Cotizado</t>
  </si>
  <si>
    <t>Plan de Operacion y Mantenimiento</t>
  </si>
  <si>
    <t>STANDARD</t>
  </si>
  <si>
    <t>Factura Eléctrica (actual)</t>
  </si>
  <si>
    <t>Precio exceso energia exportada ($/kWh)</t>
  </si>
  <si>
    <t>Consumo electrico Annual total (kWh / año)</t>
  </si>
  <si>
    <t>Consumo electrico diario promedio (kWh/dia)</t>
  </si>
  <si>
    <t>Factura mensual promedio (solo consumo)</t>
  </si>
  <si>
    <t>Costo eléctrico promedio ($/kWh)</t>
  </si>
  <si>
    <t>Cargo por Cliente -- fijo ($)</t>
  </si>
  <si>
    <t>Cargos por demanda - ultimo recibo ($)</t>
  </si>
  <si>
    <t>Cargos por exceso de demanda - último recibo ($)</t>
  </si>
  <si>
    <t>Factura mensual promedio (aproximado)</t>
  </si>
  <si>
    <t>Sistema Optimo (100% Covertura)</t>
  </si>
  <si>
    <t>Rendimiento especifico (kWh/kWdc)</t>
  </si>
  <si>
    <t>Consumo annual estimado por 12 meses (kWh)</t>
  </si>
  <si>
    <t>Capacidad de generacion óptima (kWdc)</t>
  </si>
  <si>
    <t>Sistema Cotizado</t>
  </si>
  <si>
    <t>Capacidad de Generación (kWdc)</t>
  </si>
  <si>
    <t>Energia generada 1er año (kWh)</t>
  </si>
  <si>
    <t>EPC Calculado</t>
  </si>
  <si>
    <t>EPC Cotizado</t>
  </si>
  <si>
    <t>Cobertura (%)</t>
  </si>
  <si>
    <t>Nueva Factura LUMA (promedios mensuales estimados)</t>
  </si>
  <si>
    <t>Gasto promedio por consumo adeudado a LUMA ($)</t>
  </si>
  <si>
    <t>Cargos por cliente adeudado a LUMA - fijos ($)</t>
  </si>
  <si>
    <t>Cargos por demanda (estimado basado en última factura)</t>
  </si>
  <si>
    <t>Cargos por exceso de demanda (estimado basado en ultima factura)</t>
  </si>
  <si>
    <t>Ingreso por exceso de producción ($)</t>
  </si>
  <si>
    <t>Total nueva factura promedio adeudada a LUMA</t>
  </si>
  <si>
    <t>Pago a entidad financiera ($)</t>
  </si>
  <si>
    <t>Total pago mensual (LUMA + Ent. Financiera)</t>
  </si>
  <si>
    <t>Total pago mensual (si abona incentivo a balance)</t>
  </si>
  <si>
    <t>Ahorro promedio primer pago ($)</t>
  </si>
  <si>
    <t>Ahorro promedio primer pago (%)</t>
  </si>
  <si>
    <t>Ingresar notas al cliente especificas para esta oportunidad en el espacio abajo:</t>
  </si>
  <si>
    <t>]</t>
  </si>
  <si>
    <t>Parametros de diseño (solar)</t>
  </si>
  <si>
    <t>Parametros de diseño (BESS)</t>
  </si>
  <si>
    <t>Fabricante</t>
  </si>
  <si>
    <t>Modelo</t>
  </si>
  <si>
    <t>Modelo (menu dinamico)</t>
  </si>
  <si>
    <t>Tipos de Tarifa</t>
  </si>
  <si>
    <t>Limite</t>
  </si>
  <si>
    <t>Cargo basico por demanda ($/kVA)</t>
  </si>
  <si>
    <t>Cargo por exceso de demanda ($/kVA)</t>
  </si>
  <si>
    <t>Weeks - Year</t>
  </si>
  <si>
    <t>Battery option</t>
  </si>
  <si>
    <t>Rendimiento Especifico (kWh/kW) -- Proveniente de sistemas</t>
  </si>
  <si>
    <t>MegaPack Unit Blocks (kWh)</t>
  </si>
  <si>
    <t>Tesla</t>
  </si>
  <si>
    <t>MegaPack</t>
  </si>
  <si>
    <t>Residencial</t>
  </si>
  <si>
    <t>Incluído</t>
  </si>
  <si>
    <t>Rendimiento Especifico (kWh/kW) -- Sugerido (municipio)</t>
  </si>
  <si>
    <t>MegaPack Base Cost ($)</t>
  </si>
  <si>
    <t>Fortress</t>
  </si>
  <si>
    <t>eSpire Mini</t>
  </si>
  <si>
    <t>Secundaria</t>
  </si>
  <si>
    <t>Opcional</t>
  </si>
  <si>
    <t>System Derate (% annual)</t>
  </si>
  <si>
    <t>MegaPack Block Cost ($/kWh)</t>
  </si>
  <si>
    <t>eSpire 280</t>
  </si>
  <si>
    <t>Primaria</t>
  </si>
  <si>
    <t>Inflacion tarifa electrica (% Annual)</t>
  </si>
  <si>
    <t>MegaPack makup (%)</t>
  </si>
  <si>
    <t>Distribución</t>
  </si>
  <si>
    <t>AC-DC conversion rate</t>
  </si>
  <si>
    <t>Storage to Inverter ratio</t>
  </si>
  <si>
    <t>Transmisión</t>
  </si>
  <si>
    <t>Carga contratada slack</t>
  </si>
  <si>
    <t>MegaPack BASIC term (10 years)</t>
  </si>
  <si>
    <t>Agricola</t>
  </si>
  <si>
    <t>Transformer slack</t>
  </si>
  <si>
    <t>Days in one year</t>
  </si>
  <si>
    <t>Hours in one day</t>
  </si>
  <si>
    <t>Producto o servicio</t>
  </si>
  <si>
    <t>Markup</t>
  </si>
  <si>
    <t>Equipos</t>
  </si>
  <si>
    <t>Modulos</t>
  </si>
  <si>
    <t>Servicios</t>
  </si>
  <si>
    <t>Hanwha Q-Cells Q Peak DUO ML G10+ 410</t>
  </si>
  <si>
    <t>Mantenimiento</t>
  </si>
  <si>
    <t>Cuantas Ubicaciones?</t>
  </si>
  <si>
    <t>Hanwha Q-Cells Q Peak DUO ML G10+ 415</t>
  </si>
  <si>
    <t>Numero de Facturas</t>
  </si>
  <si>
    <t>Hanwha Q-Cells Q Peak DUO ML G10+ 595</t>
  </si>
  <si>
    <t>Financiamientos</t>
  </si>
  <si>
    <t>Pago Mensual (calc)</t>
  </si>
  <si>
    <t>Pago Mensual (calc/abonado)</t>
  </si>
  <si>
    <t>Ajuste</t>
  </si>
  <si>
    <t>Tasa de Interés</t>
  </si>
  <si>
    <t>Garantia de Instalación</t>
  </si>
  <si>
    <t>Garantía de Equipos</t>
  </si>
  <si>
    <t>Operación y Mantenimiento</t>
  </si>
  <si>
    <t>Seguros sobre el Sistema</t>
  </si>
  <si>
    <t>Préstamo (loan)</t>
  </si>
  <si>
    <t>10 años, mano de obra, cubierta por Windmar Home</t>
  </si>
  <si>
    <t>10 - 25 años, cubierta por fabricante (ver cotización)</t>
  </si>
  <si>
    <t>Plan de mantenimiento (opcional, no cotizado)</t>
  </si>
  <si>
    <t>Por cuenta del cliente</t>
  </si>
  <si>
    <t>Arrendamiento (lease)</t>
  </si>
  <si>
    <t>Cubierto por 25 años, incluido, cero costo adicional</t>
  </si>
  <si>
    <t>Efectivo (cash)</t>
  </si>
  <si>
    <t>Compra de energía (PPA)</t>
  </si>
  <si>
    <t>Otro financiamiento Comercial</t>
  </si>
  <si>
    <t>Usar pago cotizado por entidad financiera</t>
  </si>
  <si>
    <t>Ver términos de la entidad financiera</t>
  </si>
  <si>
    <t>Tipo de Financiamiento tipico</t>
  </si>
  <si>
    <t>Periodo tipico de amortización</t>
  </si>
  <si>
    <t>Dealer Fee (%)</t>
  </si>
  <si>
    <t>Puede usar incentivo para re-amortizar?</t>
  </si>
  <si>
    <t>Tasa int. tipica</t>
  </si>
  <si>
    <t>Pronto</t>
  </si>
  <si>
    <t>Entidad Financiera (para carta a clientes)</t>
  </si>
  <si>
    <t>Efectivo (Cash)</t>
  </si>
  <si>
    <t>Ninguna (no aplica)</t>
  </si>
  <si>
    <t>11 años, mano de obra, cubierta por Windmar Home</t>
  </si>
  <si>
    <t>11 - 25 años, cubierta por fabricante (ver cotización)</t>
  </si>
  <si>
    <t>Sygnus Capital - Programa Especial Windmar</t>
  </si>
  <si>
    <t>Oriental sin pronto - negocios, menos de $150K</t>
  </si>
  <si>
    <t>Oriental Bank (expédito)</t>
  </si>
  <si>
    <t>Oriental (SBA 504) - negocios, más de $150K</t>
  </si>
  <si>
    <t>Oriental Bank (SBA)</t>
  </si>
  <si>
    <t>Oriental convencional - caridades, menos de $100K</t>
  </si>
  <si>
    <t>Oriental Bank (Convencional)</t>
  </si>
  <si>
    <t>PPA Comercial - Sol Ecolution</t>
  </si>
  <si>
    <t>PPA Comercial Sol Ecolution</t>
  </si>
  <si>
    <t>Other incentive?</t>
  </si>
  <si>
    <t>REAP Active and level</t>
  </si>
  <si>
    <t>N</t>
  </si>
  <si>
    <t xml:space="preserve">Tesla PowerWall </t>
  </si>
  <si>
    <t>CAP</t>
  </si>
  <si>
    <t xml:space="preserve">Lista de Municipios </t>
  </si>
  <si>
    <t>Candidato REAP?</t>
  </si>
  <si>
    <t>Maximo REAP?</t>
  </si>
  <si>
    <t>Specific Yield (kWh/kWp)</t>
  </si>
  <si>
    <t>Almacenamiento (PW)</t>
  </si>
  <si>
    <t>Precio</t>
  </si>
  <si>
    <t>kWh</t>
  </si>
  <si>
    <t>Incentivo Local</t>
  </si>
  <si>
    <t>MIN</t>
  </si>
  <si>
    <t>MAX</t>
  </si>
  <si>
    <t>%</t>
  </si>
  <si>
    <t>Actividad agrícola</t>
  </si>
  <si>
    <t>Estabilidad Agroenergetica</t>
  </si>
  <si>
    <t>Varios</t>
  </si>
  <si>
    <t>Adjuntas</t>
  </si>
  <si>
    <t>Aguada</t>
  </si>
  <si>
    <t>Aguadilla</t>
  </si>
  <si>
    <t>Aguas Buenas</t>
  </si>
  <si>
    <t>Aibonito</t>
  </si>
  <si>
    <t>Programa de Mantenimiento</t>
  </si>
  <si>
    <t>Costo (Solar) - $/kWp</t>
  </si>
  <si>
    <t>Costo (MegaPack) - $/kWh</t>
  </si>
  <si>
    <t>Añasco</t>
  </si>
  <si>
    <t>TBD</t>
  </si>
  <si>
    <t>Arecibo</t>
  </si>
  <si>
    <t>PLUS</t>
  </si>
  <si>
    <t>Arroyo</t>
  </si>
  <si>
    <t>Barceloneta</t>
  </si>
  <si>
    <t>Barranquitas</t>
  </si>
  <si>
    <t>Bayamón</t>
  </si>
  <si>
    <t>Cabo Rojo</t>
  </si>
  <si>
    <t>Caguas</t>
  </si>
  <si>
    <t>Camuy</t>
  </si>
  <si>
    <t>Canóvanas</t>
  </si>
  <si>
    <t>Carolina</t>
  </si>
  <si>
    <t>Cataño</t>
  </si>
  <si>
    <t>Cayey</t>
  </si>
  <si>
    <t>Ceiba</t>
  </si>
  <si>
    <t>Ciales</t>
  </si>
  <si>
    <t>Cidra</t>
  </si>
  <si>
    <t>Coamo</t>
  </si>
  <si>
    <t>Comerío</t>
  </si>
  <si>
    <t>Corozal</t>
  </si>
  <si>
    <t>Culebra</t>
  </si>
  <si>
    <t>Dorado</t>
  </si>
  <si>
    <t>Fajardo</t>
  </si>
  <si>
    <t>Florida</t>
  </si>
  <si>
    <t>Guánica</t>
  </si>
  <si>
    <t>Guayama</t>
  </si>
  <si>
    <t>Guayanilla</t>
  </si>
  <si>
    <t>Guaynabo</t>
  </si>
  <si>
    <t>Gurabo</t>
  </si>
  <si>
    <t>Hatillo</t>
  </si>
  <si>
    <t>Hormigueros</t>
  </si>
  <si>
    <t>Humacao</t>
  </si>
  <si>
    <t>Isabela</t>
  </si>
  <si>
    <t>Jayuya</t>
  </si>
  <si>
    <t>Juana Díaz</t>
  </si>
  <si>
    <t>Juncos</t>
  </si>
  <si>
    <t>Lajas</t>
  </si>
  <si>
    <t>Lares</t>
  </si>
  <si>
    <t>Loíza</t>
  </si>
  <si>
    <t>Luquillo</t>
  </si>
  <si>
    <t>Manatí</t>
  </si>
  <si>
    <t>Las Marías</t>
  </si>
  <si>
    <t>Maricao</t>
  </si>
  <si>
    <t>Maunabo</t>
  </si>
  <si>
    <t>Mayagüez</t>
  </si>
  <si>
    <t>Moca</t>
  </si>
  <si>
    <t>Morovis</t>
  </si>
  <si>
    <t>Naguabo</t>
  </si>
  <si>
    <t>Naranjito</t>
  </si>
  <si>
    <t>Orocovis</t>
  </si>
  <si>
    <t>Patillas</t>
  </si>
  <si>
    <t>Peñuelas</t>
  </si>
  <si>
    <t>Las Piedras</t>
  </si>
  <si>
    <t>Ponce</t>
  </si>
  <si>
    <t>Quebradillas</t>
  </si>
  <si>
    <t>Rincón</t>
  </si>
  <si>
    <t>Río Grande</t>
  </si>
  <si>
    <t>Sabana Grande</t>
  </si>
  <si>
    <t>Salinas</t>
  </si>
  <si>
    <t>San Germán</t>
  </si>
  <si>
    <t>San Juan</t>
  </si>
  <si>
    <t>San Lorenzo</t>
  </si>
  <si>
    <t>San Sebastián</t>
  </si>
  <si>
    <t>Santa Isabel</t>
  </si>
  <si>
    <t>Toa Alta</t>
  </si>
  <si>
    <t>Toa Baja</t>
  </si>
  <si>
    <t>Trujillo Alto</t>
  </si>
  <si>
    <t>Utuado</t>
  </si>
  <si>
    <t>Vega Alta</t>
  </si>
  <si>
    <t>Vega Baja</t>
  </si>
  <si>
    <t>Vieques</t>
  </si>
  <si>
    <t>Villalba</t>
  </si>
  <si>
    <t>Yabucoa</t>
  </si>
  <si>
    <t>Yauco</t>
  </si>
  <si>
    <t>Custom Batteries</t>
  </si>
  <si>
    <t>Brand</t>
  </si>
  <si>
    <t>Model</t>
  </si>
  <si>
    <t>PowerWall</t>
  </si>
  <si>
    <t>PowerWall 2.0</t>
  </si>
  <si>
    <t>PowerWall 3.0</t>
  </si>
  <si>
    <t>Brand-conditional selection</t>
  </si>
  <si>
    <t>Existe Factura?</t>
  </si>
  <si>
    <t>Si</t>
  </si>
  <si>
    <t>Contador</t>
  </si>
  <si>
    <t>Cálculo Consumo de Energia (usar valores en la factura de LUMA - Seccion: Historial de Consumo - kWh)</t>
  </si>
  <si>
    <t>Mes</t>
  </si>
  <si>
    <t>Sede principal</t>
  </si>
  <si>
    <t>Usar lecturas parciales?</t>
  </si>
  <si>
    <t>No</t>
  </si>
  <si>
    <t>Consumo parcial promediado (kWh)</t>
  </si>
  <si>
    <t>Costo promedio (kW/h)</t>
  </si>
  <si>
    <t>Costo de energia ($/kWh)</t>
  </si>
  <si>
    <t>Costo consumo ($)</t>
  </si>
  <si>
    <t>Cargo por cliente ($)</t>
  </si>
  <si>
    <t>Tarifa</t>
  </si>
  <si>
    <t>Ajuste a valores existentes</t>
  </si>
  <si>
    <t>Demanda facturada</t>
  </si>
  <si>
    <t>Limite AC</t>
  </si>
  <si>
    <t>Criterio de Diseño</t>
  </si>
  <si>
    <t>Cargo por demanda ($)</t>
  </si>
  <si>
    <t>Carga contratada</t>
  </si>
  <si>
    <t>Usar valor existente</t>
  </si>
  <si>
    <t>Exceso de Demanda</t>
  </si>
  <si>
    <t>Cargo por exceso de demanda ($)</t>
  </si>
  <si>
    <t>Transformador</t>
  </si>
  <si>
    <t>Maxima demanda</t>
  </si>
  <si>
    <t>Cargo por Exceso de demanda ($)</t>
  </si>
  <si>
    <t>T</t>
  </si>
  <si>
    <t>Costo Consumo total ($)</t>
  </si>
  <si>
    <t>Consumo total (kWh)</t>
  </si>
  <si>
    <t>Costo promedio ($/kWh)</t>
  </si>
  <si>
    <t>Total Cargo por cliente ($)</t>
  </si>
  <si>
    <t>Total Demanda fact</t>
  </si>
  <si>
    <t>Total Cargo por demanda ($)</t>
  </si>
  <si>
    <t>Total exceso dem.</t>
  </si>
  <si>
    <t>Total Cargo por Exceso de demanda ($)</t>
  </si>
  <si>
    <t>Total Cargo minimo por Exceso de demanda ocasionado por el sistema</t>
  </si>
  <si>
    <t>PENDIENTE</t>
  </si>
  <si>
    <t>Nombre de la sucursal o sistema</t>
  </si>
  <si>
    <t>Detalle Sistema FV</t>
  </si>
  <si>
    <t>kW</t>
  </si>
  <si>
    <t>EPC ($/W)</t>
  </si>
  <si>
    <t>Rend. Espc. (kWh/kWp)</t>
  </si>
  <si>
    <t>Precio ($)</t>
  </si>
  <si>
    <t>Limite de Diseño</t>
  </si>
  <si>
    <t>Validación</t>
  </si>
  <si>
    <t>Generación cotizada (kW)</t>
  </si>
  <si>
    <t>Sistemas en techo</t>
  </si>
  <si>
    <t>Sistemas en piso</t>
  </si>
  <si>
    <t>Precio Cotizado (solar únicamente) ($)</t>
  </si>
  <si>
    <t>Sistemas en carport</t>
  </si>
  <si>
    <t>Sistema puede incrementar cargos por demanda?</t>
  </si>
  <si>
    <t>Precio de servicios o materiales adicionales</t>
  </si>
  <si>
    <t>Total</t>
  </si>
  <si>
    <t>Total Generación (kW)</t>
  </si>
  <si>
    <t>Algún sistema puede incrementar cargos por demanda?</t>
  </si>
  <si>
    <t>Suma de Precios Cotizados (Solar únicamente, todos los sistemas)</t>
  </si>
  <si>
    <t>EPC Recomendado (Solar únicamente, todos los sistemas)</t>
  </si>
  <si>
    <t>EPC Cotizado (Solar únicamente, todos los sistemas)</t>
  </si>
  <si>
    <t>Precio Solar Cotizado (todos los sistemas)</t>
  </si>
  <si>
    <t>OTROS</t>
  </si>
  <si>
    <t>Precio servicios y materiales adicionales recomendado (todos los sistemas)</t>
  </si>
  <si>
    <t>Precio servicios y materiales adicionales (todos los sistemas)</t>
  </si>
  <si>
    <t>MANT.</t>
  </si>
  <si>
    <t>Programa de Mantenimiento para sistema PV</t>
  </si>
  <si>
    <t>Precio primer año</t>
  </si>
  <si>
    <t>Almacenamiento</t>
  </si>
  <si>
    <t>Total Pequeño Almacenamiento (PWs)</t>
  </si>
  <si>
    <t>Precio Almacenamiento recomendado (todos los sistemas)</t>
  </si>
  <si>
    <t>Precio Almacenamiento cotizado (todos los sistemas)</t>
  </si>
  <si>
    <t>Total Gran Almacenamiento (kWh)</t>
  </si>
  <si>
    <t>Precio Almacenamiento recomendado</t>
  </si>
  <si>
    <t>Precio Almacenamiento cotizado</t>
  </si>
  <si>
    <t>Almacenamiento mínimo para cumplir ATRs (kWh)</t>
  </si>
  <si>
    <t>Precio Total Almacenamiento seleccionado</t>
  </si>
  <si>
    <t>TOTAL</t>
  </si>
  <si>
    <t>Precio Total Cotizado (todos los sistemas)</t>
  </si>
  <si>
    <t>SU PAGO SIN SISTEMA SOLAR</t>
  </si>
  <si>
    <t>SU PAGO CON SISTEMA SOLAR</t>
  </si>
  <si>
    <t>*Sujeto a cambios en la tarifa de LUMA</t>
  </si>
  <si>
    <t>SUS AHORROS MENSUALES</t>
  </si>
  <si>
    <t>Página 1</t>
  </si>
  <si>
    <t>CARACTERISTICAS DEL SISTEMA</t>
  </si>
  <si>
    <t>Capacidad de generación (kWdc)</t>
  </si>
  <si>
    <t>Cobertura Energética (%)</t>
  </si>
  <si>
    <t>Capacidad de almacenamiento (kWh)</t>
  </si>
  <si>
    <t>Valor del sistema (cash)</t>
  </si>
  <si>
    <t>Valor del mantenimiento (1er año)</t>
  </si>
  <si>
    <t>Precio total del sistema (cash)</t>
  </si>
  <si>
    <r>
      <rPr>
        <sz val="16"/>
        <color theme="0"/>
        <rFont val="Calibri (Body)"/>
      </rPr>
      <t>TÉRMINOS DE PAGO</t>
    </r>
    <r>
      <rPr>
        <sz val="12"/>
        <color theme="0"/>
        <rFont val="Calibri"/>
        <family val="2"/>
        <scheme val="minor"/>
      </rPr>
      <t xml:space="preserve">
</t>
    </r>
    <r>
      <rPr>
        <sz val="9"/>
        <color theme="0"/>
        <rFont val="Calibri (Body)"/>
      </rPr>
      <t>EN CASO DE FINANCIAMIENTO ESTOS VALORES SON ESTIMADOS. PENDIENTE EVALUACIÓN DE CRÉDITO</t>
    </r>
  </si>
  <si>
    <t>Entidad Financiera (si aplica)</t>
  </si>
  <si>
    <t>Tipo de Financiamiento (si aplica)</t>
  </si>
  <si>
    <t>Período de Amortización (si aplica)</t>
  </si>
  <si>
    <t>Tasa de Interés (si aplica)</t>
  </si>
  <si>
    <t>Pago "balloon" al cabo de 7 años</t>
  </si>
  <si>
    <t>Pronto Pago</t>
  </si>
  <si>
    <t>Nueva Factura</t>
  </si>
  <si>
    <t>Monto adeudado a entidad financiera</t>
  </si>
  <si>
    <t>Monto adeudado a LUMA</t>
  </si>
  <si>
    <t>Ingreso por exceso de producción</t>
  </si>
  <si>
    <t>Cargo por consumo</t>
  </si>
  <si>
    <t>Cargo fijo / por cliente</t>
  </si>
  <si>
    <t>Cargo por demanda (última factura)</t>
  </si>
  <si>
    <t>Total (LUMA + banco + mantenimiento)</t>
  </si>
  <si>
    <t>Ahorros en la Factura (aproximados)</t>
  </si>
  <si>
    <t>Contrato de Mantenimiento</t>
  </si>
  <si>
    <t>Página 2</t>
  </si>
  <si>
    <t>AHORROS ADICIONALES POTENCIALES</t>
  </si>
  <si>
    <t>NOTAS ESPECIFICAS DE ESTE PROYECTO</t>
  </si>
  <si>
    <t>Garantías de Operación y Seguros:</t>
  </si>
  <si>
    <t>Operación &amp; Mantenimiento</t>
  </si>
  <si>
    <t>Página 3</t>
  </si>
  <si>
    <t>Capacidad de generación (kW)</t>
  </si>
  <si>
    <t>ESTOS VALORES SON ESTIMADOS. PENDIENTE EVALUACIÓN DE CRÉDITO</t>
  </si>
  <si>
    <t>Tipo de Financiamiento</t>
  </si>
  <si>
    <t>Período de Amortización</t>
  </si>
  <si>
    <t>Monto del Incentivo</t>
  </si>
  <si>
    <t>Monto a Financiar</t>
  </si>
  <si>
    <t>Nuevo pago mensual (LUMA + entidad financiera.  Aproximado, pendiente aprobación)*</t>
  </si>
  <si>
    <t>Garantias de Operación y Seguros:</t>
  </si>
  <si>
    <t>Garantía de Instalación</t>
  </si>
  <si>
    <t>Tipo de cotizacion</t>
  </si>
  <si>
    <t>FIRME</t>
  </si>
  <si>
    <t>Estimación de baterías Fortress</t>
  </si>
  <si>
    <t>Demanda Maxima (kVA)</t>
  </si>
  <si>
    <t>Consumo diario promedio (kWh)</t>
  </si>
  <si>
    <t>Especificaciones</t>
  </si>
  <si>
    <t>Autonomia deseada (hrs)</t>
  </si>
  <si>
    <t>Pontencia del inversor</t>
  </si>
  <si>
    <t>Potencia del Inversor</t>
  </si>
  <si>
    <t>Capacidad de almacenamiento</t>
  </si>
  <si>
    <t>Controlador de microrred</t>
  </si>
  <si>
    <t>Producto sugerido</t>
  </si>
  <si>
    <t>Ingegración con generador</t>
  </si>
  <si>
    <t>Precio de lista</t>
  </si>
  <si>
    <t>Sistema de monitoreo</t>
  </si>
  <si>
    <t>EMS</t>
  </si>
  <si>
    <t>Tiempos de entrega</t>
  </si>
  <si>
    <t>Comisionamiento</t>
  </si>
  <si>
    <t>Mínimo</t>
  </si>
  <si>
    <t>Repuestos</t>
  </si>
  <si>
    <t>Máximo</t>
  </si>
  <si>
    <t>Shipping</t>
  </si>
  <si>
    <t>Precios del fabricante</t>
  </si>
  <si>
    <t>Instalacion</t>
  </si>
  <si>
    <t>Hardware</t>
  </si>
  <si>
    <t>Sub-total Hardware</t>
  </si>
  <si>
    <t>Servicios de integracion</t>
  </si>
  <si>
    <t>Provistos por el fabricante</t>
  </si>
  <si>
    <t>Sub-total Servicios provistos por el fabricante</t>
  </si>
  <si>
    <t>Provistos por Windmar</t>
  </si>
  <si>
    <t>Sub-total Servicios provistos por Windmar</t>
  </si>
  <si>
    <t>Mantenimiento annual</t>
  </si>
  <si>
    <t>Término (años)</t>
  </si>
  <si>
    <t>Costo (anual)</t>
  </si>
  <si>
    <t>Costo Pre-pagado</t>
  </si>
  <si>
    <t>Garantia</t>
  </si>
  <si>
    <t>Características del Sistema</t>
  </si>
  <si>
    <t>Potencia del inversor (kW)</t>
  </si>
  <si>
    <t>Integracion con generador</t>
  </si>
  <si>
    <t>Precio del Sistema</t>
  </si>
  <si>
    <t>Precio del equipo (hardware)</t>
  </si>
  <si>
    <t>Sub-total equipos (hardware)</t>
  </si>
  <si>
    <t>Precio de servicios de integración (si alguno)</t>
  </si>
  <si>
    <t>Sub-total servicios</t>
  </si>
  <si>
    <t>Sub-total mantenimiento</t>
  </si>
  <si>
    <t>Garantía incluída</t>
  </si>
  <si>
    <t>Tiempo de entrega</t>
  </si>
  <si>
    <t>Garantía de Instalación BÁSICA</t>
  </si>
  <si>
    <t>NOTAS</t>
  </si>
  <si>
    <t>Tamaño del sistema FV (kWdc)</t>
  </si>
  <si>
    <t>Inverter model</t>
  </si>
  <si>
    <t>Inverter Power</t>
  </si>
  <si>
    <t>Recommended BESS</t>
  </si>
  <si>
    <t>BESS Capacity</t>
  </si>
  <si>
    <t>No. Sets</t>
  </si>
  <si>
    <t>Total Capacity</t>
  </si>
  <si>
    <t>Item</t>
  </si>
  <si>
    <t>Cost</t>
  </si>
  <si>
    <t>Recommended price</t>
  </si>
  <si>
    <t>EMS package</t>
  </si>
  <si>
    <t>On-site comissioning</t>
  </si>
  <si>
    <t>Spares</t>
  </si>
  <si>
    <t>Yearly maintenance</t>
  </si>
  <si>
    <t>Installation</t>
  </si>
  <si>
    <t xml:space="preserve">Notas al Cliente </t>
  </si>
  <si>
    <t>Nombre</t>
  </si>
  <si>
    <t>Contenido</t>
  </si>
  <si>
    <t>Abono exceso 1</t>
  </si>
  <si>
    <t>(*) NOTA: Su pago mensual puede llegar hasta $</t>
  </si>
  <si>
    <t>Abono exceso 2</t>
  </si>
  <si>
    <t xml:space="preserve"> aproximadamente si decide abonar el incentivo REAP al balance de la entidad financiera en su totalidad.  Los incentivos de REAP pueden tardar de 1 hasta 3 meses en ser evaluados y aprobados</t>
  </si>
  <si>
    <t>PowerWall 1</t>
  </si>
  <si>
    <r>
      <rPr>
        <b/>
        <sz val="12"/>
        <color theme="1"/>
        <rFont val="Calibri"/>
        <family val="2"/>
        <scheme val="minor"/>
      </rPr>
      <t>NOTA AL CONSULTOR</t>
    </r>
    <r>
      <rPr>
        <sz val="12"/>
        <color theme="1"/>
        <rFont val="Calibri"/>
        <family val="2"/>
        <scheme val="minor"/>
      </rPr>
      <t>: Si el cliente desea incluir baterías (o baterías adicionales), ellas incrementan el costo "cash" del sistema de la siguiente manera: + 1 PowerWall (PW): $</t>
    </r>
  </si>
  <si>
    <t>PowerWall 2</t>
  </si>
  <si>
    <t>, +2 PWs: $</t>
  </si>
  <si>
    <t>Powerwall 3</t>
  </si>
  <si>
    <t>, +3 PWs: $</t>
  </si>
  <si>
    <t>Powerwall end</t>
  </si>
  <si>
    <t>, y así sucesivamente (no siempre podemos colocar más de 3 PWs).</t>
  </si>
  <si>
    <t>PowerWall financing 1</t>
  </si>
  <si>
    <t xml:space="preserve"> Dependiendo del tipo de financiamiento disponible para el cliente su pago mensual podria variar (aumentar o disminuir) </t>
  </si>
  <si>
    <t>Powerwall financing 2</t>
  </si>
  <si>
    <t xml:space="preserve"> con cada PowerWall.</t>
  </si>
  <si>
    <t>No PPA</t>
  </si>
  <si>
    <t>NOTA AL CONSULTOR: La compra de energia, o PPA, no es compatible con sistemas de almacenamiento (baterías o PowerWalls)</t>
  </si>
  <si>
    <t>Notas de proyecto</t>
  </si>
  <si>
    <t xml:space="preserve">NOTAS ESPECIFICAS DE ESTE PROYECTO:  </t>
  </si>
  <si>
    <t>Contrato URL</t>
  </si>
  <si>
    <t>https://powerforms.docusign.net/ae44fed4-1cf6-400b-b7b0-f7c141683068?env=na2&amp;acct=2f87c5c7-0e22-4000-a05c-9988b3721c16&amp;accountId=2f87c5c7-0e22-4000-a05c-9988b3721c16</t>
  </si>
  <si>
    <t>como llenar contrato</t>
  </si>
  <si>
    <r>
      <rPr>
        <b/>
        <sz val="12"/>
        <color theme="1"/>
        <rFont val="Calibri"/>
        <family val="2"/>
        <scheme val="minor"/>
      </rPr>
      <t>(**) Pasos para la firma del contrato</t>
    </r>
    <r>
      <rPr>
        <sz val="12"/>
        <color theme="1"/>
        <rFont val="Calibri"/>
        <family val="2"/>
        <scheme val="minor"/>
      </rPr>
      <t xml:space="preserve"> (DocuSign):  Contacta al equipo comercial y nosotros te ayudaremos a discutir el contrato y llenarlo correctamente con tu cliente.  Tu cliente recibirá un hyperlink, o enlace digital (URL) con un DocuSign por e-mail.  Una vez enviado, te sugerimos contactes a tu cliente para estar seguro que recibió el email, y logró firmarlo.</t>
    </r>
  </si>
  <si>
    <t>No hay factura</t>
  </si>
  <si>
    <t>No hay información</t>
  </si>
  <si>
    <t>No hay factura cliente</t>
  </si>
  <si>
    <t>No existe una factura que nos permita estimarlo</t>
  </si>
  <si>
    <t>SUNNOVA</t>
  </si>
  <si>
    <t>Referencia</t>
  </si>
  <si>
    <t>Ventana</t>
  </si>
  <si>
    <t># PowerWalls</t>
  </si>
  <si>
    <t>PreciosReferenciaSunnova11/15/2023</t>
  </si>
  <si>
    <t>Masde</t>
  </si>
  <si>
    <t>IgualoMenosde</t>
  </si>
  <si>
    <t>EPC($/W)</t>
  </si>
  <si>
    <t>Menoroiguala</t>
  </si>
  <si>
    <t>SunnovaLease(noPW)</t>
  </si>
  <si>
    <t>35kW</t>
  </si>
  <si>
    <t>50kW</t>
  </si>
  <si>
    <t>100kW</t>
  </si>
  <si>
    <t>500kW</t>
  </si>
  <si>
    <t xml:space="preserve">SolArk </t>
  </si>
  <si>
    <t>PV Inverter</t>
  </si>
  <si>
    <t>Inverter Voltage (Vac)</t>
  </si>
  <si>
    <t>Inverter Power (kW)</t>
  </si>
  <si>
    <t>Inverter Model</t>
  </si>
  <si>
    <t>Inverter Price ($)</t>
  </si>
  <si>
    <t>Inv. Price net of PV inv.</t>
  </si>
  <si>
    <t>BESS capacity (kWh)</t>
  </si>
  <si>
    <t>BESS Model</t>
  </si>
  <si>
    <t xml:space="preserve">BESS price </t>
  </si>
  <si>
    <t>Instalation</t>
  </si>
  <si>
    <t>Maintenance</t>
  </si>
  <si>
    <t>Parts</t>
  </si>
  <si>
    <t>Inv. Power(kW)</t>
  </si>
  <si>
    <t>Inverter Brand</t>
  </si>
  <si>
    <t>Inverter Price</t>
  </si>
  <si>
    <t>60K-3P-480V</t>
  </si>
  <si>
    <t>L3-HVR-60KWH</t>
  </si>
  <si>
    <t>SMA</t>
  </si>
  <si>
    <t>SunnovaLease(1PW)</t>
  </si>
  <si>
    <t>Fortress Base Islanding</t>
  </si>
  <si>
    <t>Max Des. Power</t>
  </si>
  <si>
    <t>Min. Des. Stg</t>
  </si>
  <si>
    <t>ESS Storage</t>
  </si>
  <si>
    <t>Product Name</t>
  </si>
  <si>
    <t>Price</t>
  </si>
  <si>
    <t>Comissioning</t>
  </si>
  <si>
    <t>Max. Demand</t>
  </si>
  <si>
    <t>Daily ave. consumption</t>
  </si>
  <si>
    <t>Autonomy (h)</t>
  </si>
  <si>
    <t>Autonomy (kWh)</t>
  </si>
  <si>
    <t>SunnovaLease(2PW)</t>
  </si>
  <si>
    <t>Inv. Power</t>
  </si>
  <si>
    <t>Des. Storage</t>
  </si>
  <si>
    <t>Sug. Storage</t>
  </si>
  <si>
    <t>First Row</t>
  </si>
  <si>
    <t>Last Row</t>
  </si>
  <si>
    <t>Product</t>
  </si>
  <si>
    <t>SunnovaLease(3PW)</t>
  </si>
  <si>
    <t>Variables</t>
  </si>
  <si>
    <t>Year</t>
  </si>
  <si>
    <t>System derate (%/year)</t>
  </si>
  <si>
    <t>Tariff yearly increase (%)</t>
  </si>
  <si>
    <t>Repayment time (simple ROI)</t>
  </si>
  <si>
    <t>Energy rate</t>
  </si>
  <si>
    <t>Production</t>
  </si>
  <si>
    <t>Revenue</t>
  </si>
  <si>
    <t>Sum of Revenues</t>
  </si>
  <si>
    <t>Annual Maintenance (PV)</t>
  </si>
  <si>
    <t>Annual maintenance (Storage)</t>
  </si>
  <si>
    <t>Cummulative Cash Flows</t>
  </si>
  <si>
    <t>Fraction of repayment</t>
  </si>
  <si>
    <t>Repayment time</t>
  </si>
  <si>
    <t>Internal Rate of Return (unlevered)</t>
  </si>
  <si>
    <t>Initial outlay</t>
  </si>
  <si>
    <t>Annual maintenance (PV)</t>
  </si>
  <si>
    <t>Cash flow</t>
  </si>
  <si>
    <t>IRR</t>
  </si>
  <si>
    <t>Initial Production</t>
  </si>
  <si>
    <t>Deg. Rate</t>
  </si>
  <si>
    <t>Energy cost</t>
  </si>
  <si>
    <t>Energy inflation</t>
  </si>
  <si>
    <t>Est. Production</t>
  </si>
  <si>
    <t>Energy Cost</t>
  </si>
  <si>
    <t>Est. savings</t>
  </si>
  <si>
    <t>System Variables</t>
  </si>
  <si>
    <t>General System Information</t>
  </si>
  <si>
    <t>PV</t>
  </si>
  <si>
    <t>MegaPack Configuration</t>
  </si>
  <si>
    <t>Timeframe (years)</t>
  </si>
  <si>
    <t>Total kWh</t>
  </si>
  <si>
    <t>System Size (kWdc)</t>
  </si>
  <si>
    <t>Total kW</t>
  </si>
  <si>
    <t>System price ($/kWdc)</t>
  </si>
  <si>
    <t xml:space="preserve">Electricity tariff </t>
  </si>
  <si>
    <t>Production factor (kWh/kW)</t>
  </si>
  <si>
    <t>Use this Yearly % Increase</t>
  </si>
  <si>
    <t>Default</t>
  </si>
  <si>
    <t>Default Yearly electricity increase (%)</t>
  </si>
  <si>
    <t>Financed Systems only</t>
  </si>
  <si>
    <t>Downpayment (%)</t>
  </si>
  <si>
    <t>Effective interest rate (APR)</t>
  </si>
  <si>
    <t>Dealer Fee</t>
  </si>
  <si>
    <t>Optional -- All Systems</t>
  </si>
  <si>
    <t>PV Maintenance Plan</t>
  </si>
  <si>
    <t>Basico</t>
  </si>
  <si>
    <t>Maintenance rate ($/kWdc)</t>
  </si>
  <si>
    <t xml:space="preserve">Maintenance start year </t>
  </si>
  <si>
    <t>Storage maintenance plan</t>
  </si>
  <si>
    <t>Annual rate ($/kWh)</t>
  </si>
  <si>
    <t>Escalator (%/year)</t>
  </si>
  <si>
    <t>System Outputs (year 1)</t>
  </si>
  <si>
    <t>Analisis de Sensibilidad : IRR vs. aumento annual en la tarifa, vs. vida util</t>
  </si>
  <si>
    <t>System price ($)</t>
  </si>
  <si>
    <t>Aumento anual promedio en la tarifa (%)</t>
  </si>
  <si>
    <t>Subsidies, if any (%)</t>
  </si>
  <si>
    <t>Net System Price ($)</t>
  </si>
  <si>
    <t>Vida util (años)</t>
  </si>
  <si>
    <t>System production year 1 (kWh)</t>
  </si>
  <si>
    <t>Ave. energy rate year 1 ($/kWh)</t>
  </si>
  <si>
    <t>Energy Savings Year 1 ($)</t>
  </si>
  <si>
    <t>Financial Return</t>
  </si>
  <si>
    <t>Payback time (Yrs)</t>
  </si>
  <si>
    <t>Internal Rate of Return (cash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</si>
</sst>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8" formatCode="&quot;$&quot;#,##0.00_);[Red]\(&quot;$&quot;#,##0.00\)"/>
    <numFmt numFmtId="44" formatCode="_(&quot;$&quot;* #,##0.00_);_(&quot;$&quot;* \(#,##0.00\);_(&quot;$&quot;* &quot;-&quot;??_);_(@_)"/>
    <numFmt numFmtId="43" formatCode="_(* #,##0.00_);_(* \(#,##0.00\);_(* &quot;-&quot;??_);_(@_)"/>
    <numFmt numFmtId="164" formatCode="_(&quot;$&quot;* #,##0.0000_);_(&quot;$&quot;* \(#,##0.0000\);_(&quot;$&quot;* &quot;-&quot;??_);_(@_)"/>
    <numFmt numFmtId="165" formatCode="_(* #,##0_);_(* \(#,##0\);_(* &quot;-&quot;??_);_(@_)"/>
    <numFmt numFmtId="166" formatCode="_(* #,##0.000_);_(* \(#,##0.000\);_(* &quot;-&quot;??_);_(@_)"/>
    <numFmt numFmtId="167" formatCode="0.0%"/>
    <numFmt numFmtId="168" formatCode="&quot;$&quot;#,##0.00"/>
    <numFmt numFmtId="169" formatCode="0.0000"/>
    <numFmt numFmtId="170" formatCode="dd\ /\ mm/\ yyyy"/>
    <numFmt numFmtId="171" formatCode="_(&quot;$&quot;* #,##0_);_(&quot;$&quot;* \(#,##0\);_(&quot;$&quot;* &quot;-&quot;??_);_(@_)"/>
    <numFmt numFmtId="172" formatCode="#,##0\ \P\W"/>
    <numFmt numFmtId="173" formatCode="#,##0.00\ \k\W"/>
    <numFmt numFmtId="174" formatCode="0.000"/>
    <numFmt numFmtId="175" formatCode="[$-500A]dddd\,\ dd&quot; de &quot;mmmm&quot; de &quot;yyyy;@"/>
    <numFmt numFmtId="176" formatCode="#,##0\ \k\W\h"/>
    <numFmt numFmtId="177" formatCode="#,##0.00\ \k\W\d\c"/>
    <numFmt numFmtId="178" formatCode="#,##0\ \k\W\h\/\k\W\d\c"/>
    <numFmt numFmtId="179" formatCode="#,##0.00\ \k\W\h"/>
    <numFmt numFmtId="180" formatCode="#,##0\ \k\V\A"/>
    <numFmt numFmtId="181" formatCode="#,##0.0\ \k\V\A"/>
    <numFmt numFmtId="182" formatCode="#,##0.00\ \k\V\A"/>
    <numFmt numFmtId="183" formatCode="0\ \S\e\m\a\n\a\s"/>
    <numFmt numFmtId="184" formatCode="0\ \a\ñ\o\s"/>
    <numFmt numFmtId="185" formatCode="#,##0\ \k\W"/>
    <numFmt numFmtId="186" formatCode="_(&quot;$&quot;* #,##0.00000_);_(&quot;$&quot;* \(#,##0.00000\);_(&quot;$&quot;* &quot;-&quot;??_);_(@_)"/>
    <numFmt numFmtId="187" formatCode="_(&quot;$&quot;* #,##0.000000_);_(&quot;$&quot;* \(#,##0.000000\);_(&quot;$&quot;* &quot;-&quot;??_);_(@_)"/>
    <numFmt numFmtId="188" formatCode="#,##0\ \h"/>
    <numFmt numFmtId="189" formatCode="#,##0.0000\ \k\W\d\c"/>
    <numFmt numFmtId="190" formatCode="#,##0.000\ \k\W"/>
    <numFmt numFmtId="191" formatCode="0\ \V\a\c"/>
  </numFmts>
  <fonts count="35" x14ac:knownFonts="1">
    <font>
      <sz val="12"/>
      <color theme="1"/>
      <name val="Calibri"/>
      <family val="2"/>
      <scheme val="minor"/>
    </font>
    <font>
      <sz val="12"/>
      <color theme="1"/>
      <name val="Calibri"/>
      <family val="2"/>
      <scheme val="minor"/>
    </font>
    <font>
      <b/>
      <sz val="12"/>
      <color theme="0"/>
      <name val="Calibri"/>
      <family val="2"/>
      <scheme val="minor"/>
    </font>
    <font>
      <b/>
      <sz val="12"/>
      <color theme="1"/>
      <name val="Calibri"/>
      <family val="2"/>
      <scheme val="minor"/>
    </font>
    <font>
      <sz val="12"/>
      <name val="Calibri"/>
      <family val="2"/>
      <scheme val="minor"/>
    </font>
    <font>
      <sz val="12"/>
      <color theme="0" tint="-0.14999847407452621"/>
      <name val="Calibri"/>
      <family val="2"/>
      <scheme val="minor"/>
    </font>
    <font>
      <sz val="12"/>
      <color theme="0"/>
      <name val="Calibri"/>
      <family val="2"/>
      <scheme val="minor"/>
    </font>
    <font>
      <b/>
      <sz val="16"/>
      <color theme="0"/>
      <name val="Calibri"/>
      <family val="2"/>
      <scheme val="minor"/>
    </font>
    <font>
      <sz val="12"/>
      <color rgb="FF000000"/>
      <name val="Calibri"/>
      <family val="2"/>
      <scheme val="minor"/>
    </font>
    <font>
      <sz val="16"/>
      <color theme="1"/>
      <name val="Calibri"/>
      <family val="2"/>
      <scheme val="minor"/>
    </font>
    <font>
      <b/>
      <sz val="12"/>
      <color rgb="FFFFFFFF"/>
      <name val="Calibri"/>
      <family val="2"/>
      <scheme val="minor"/>
    </font>
    <font>
      <b/>
      <sz val="20"/>
      <color theme="1"/>
      <name val="Calibri"/>
      <family val="2"/>
      <scheme val="minor"/>
    </font>
    <font>
      <sz val="11"/>
      <color theme="1"/>
      <name val="Calibri"/>
      <family val="2"/>
      <scheme val="minor"/>
    </font>
    <font>
      <sz val="11"/>
      <color rgb="FF000000"/>
      <name val="Calibri"/>
      <family val="2"/>
      <scheme val="minor"/>
    </font>
    <font>
      <sz val="16"/>
      <color theme="0"/>
      <name val="Calibri (Body)"/>
    </font>
    <font>
      <sz val="9"/>
      <color theme="1"/>
      <name val="Calibri"/>
      <family val="2"/>
      <scheme val="minor"/>
    </font>
    <font>
      <sz val="12"/>
      <color rgb="FFFF0000"/>
      <name val="Calibri"/>
      <family val="2"/>
      <scheme val="minor"/>
    </font>
    <font>
      <sz val="48"/>
      <color theme="0"/>
      <name val="Calibri"/>
      <family val="2"/>
      <scheme val="minor"/>
    </font>
    <font>
      <sz val="48"/>
      <color rgb="FFFFFFFF"/>
      <name val="Calibri"/>
      <family val="2"/>
      <scheme val="minor"/>
    </font>
    <font>
      <b/>
      <sz val="16"/>
      <color theme="1"/>
      <name val="Calibri"/>
      <family val="2"/>
      <scheme val="minor"/>
    </font>
    <font>
      <b/>
      <sz val="11"/>
      <color theme="1"/>
      <name val="Calibri"/>
      <family val="2"/>
      <scheme val="minor"/>
    </font>
    <font>
      <sz val="14"/>
      <color theme="1"/>
      <name val="Calibri"/>
      <family val="2"/>
      <scheme val="minor"/>
    </font>
    <font>
      <sz val="8"/>
      <color theme="1"/>
      <name val="Calibri"/>
      <family val="2"/>
      <scheme val="minor"/>
    </font>
    <font>
      <sz val="8"/>
      <name val="Calibri"/>
      <family val="2"/>
      <scheme val="minor"/>
    </font>
    <font>
      <sz val="9"/>
      <color theme="0"/>
      <name val="Calibri (Body)"/>
    </font>
    <font>
      <sz val="22"/>
      <color theme="0"/>
      <name val="Calibri"/>
      <family val="2"/>
      <scheme val="minor"/>
    </font>
    <font>
      <b/>
      <sz val="18"/>
      <color theme="1"/>
      <name val="Calibri"/>
      <family val="2"/>
      <scheme val="minor"/>
    </font>
    <font>
      <b/>
      <sz val="12"/>
      <color theme="2" tint="-0.749992370372631"/>
      <name val="Calibri"/>
      <family val="2"/>
      <scheme val="minor"/>
    </font>
    <font>
      <sz val="14"/>
      <color theme="0"/>
      <name val="Calibri"/>
      <family val="2"/>
      <scheme val="minor"/>
    </font>
    <font>
      <b/>
      <sz val="14"/>
      <color theme="0"/>
      <name val="Calibri"/>
      <family val="2"/>
      <scheme val="minor"/>
    </font>
    <font>
      <b/>
      <sz val="22"/>
      <color theme="0"/>
      <name val="Calibri"/>
      <family val="2"/>
      <scheme val="minor"/>
    </font>
    <font>
      <b/>
      <sz val="14"/>
      <color theme="0"/>
      <name val="Calibri (Body)"/>
    </font>
    <font>
      <b/>
      <sz val="14"/>
      <color theme="1"/>
      <name val="Calibri"/>
      <family val="2"/>
      <scheme val="minor"/>
    </font>
    <font>
      <sz val="12"/>
      <color rgb="FF000000"/>
      <name val="Calibri"/>
      <family val="2"/>
    </font>
    <font>
      <sz val="12"/>
      <color rgb="FF000000"/>
      <name val="Aptos Narrow"/>
    </font>
  </fonts>
  <fills count="23">
    <fill>
      <patternFill patternType="none"/>
    </fill>
    <fill>
      <patternFill patternType="gray125"/>
    </fill>
    <fill>
      <patternFill patternType="solid">
        <fgColor theme="4"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
      <patternFill patternType="solid">
        <fgColor theme="2" tint="-0.249977111117893"/>
        <bgColor indexed="64"/>
      </patternFill>
    </fill>
    <fill>
      <patternFill patternType="solid">
        <fgColor rgb="FFB4C6E7"/>
        <bgColor rgb="FF000000"/>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173A8E"/>
        <bgColor indexed="64"/>
      </patternFill>
    </fill>
    <fill>
      <patternFill patternType="solid">
        <fgColor rgb="FF0038A8"/>
        <bgColor indexed="64"/>
      </patternFill>
    </fill>
    <fill>
      <patternFill patternType="solid">
        <fgColor rgb="FF000000"/>
        <bgColor rgb="FF000000"/>
      </patternFill>
    </fill>
    <fill>
      <patternFill patternType="solid">
        <fgColor rgb="FF92D050"/>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9"/>
        <bgColor indexed="64"/>
      </patternFill>
    </fill>
    <fill>
      <patternFill patternType="solid">
        <fgColor theme="9" tint="0.59999389629810485"/>
        <bgColor indexed="64"/>
      </patternFill>
    </fill>
    <fill>
      <patternFill patternType="solid">
        <fgColor theme="9" tint="0.79998168889431442"/>
        <bgColor indexed="64"/>
      </patternFill>
    </fill>
  </fills>
  <borders count="65">
    <border>
      <left/>
      <right/>
      <top/>
      <bottom/>
      <diagonal/>
    </border>
    <border>
      <left/>
      <right/>
      <top/>
      <bottom style="thin">
        <color indexed="64"/>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499984740745262"/>
      </left>
      <right/>
      <top/>
      <bottom/>
      <diagonal/>
    </border>
    <border>
      <left/>
      <right style="thin">
        <color theme="0" tint="-0.499984740745262"/>
      </right>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diagonal/>
    </border>
    <border>
      <left style="medium">
        <color theme="1"/>
      </left>
      <right style="medium">
        <color theme="1"/>
      </right>
      <top style="medium">
        <color theme="1"/>
      </top>
      <bottom style="thin">
        <color theme="0" tint="-0.499984740745262"/>
      </bottom>
      <diagonal/>
    </border>
    <border>
      <left style="medium">
        <color theme="1"/>
      </left>
      <right style="medium">
        <color theme="1"/>
      </right>
      <top style="thin">
        <color theme="0" tint="-0.499984740745262"/>
      </top>
      <bottom style="thin">
        <color theme="0" tint="-0.499984740745262"/>
      </bottom>
      <diagonal/>
    </border>
    <border>
      <left style="medium">
        <color theme="1"/>
      </left>
      <right style="medium">
        <color theme="1"/>
      </right>
      <top style="thin">
        <color theme="0" tint="-0.499984740745262"/>
      </top>
      <bottom style="medium">
        <color theme="1"/>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498">
    <xf numFmtId="0" fontId="0" fillId="0" borderId="0" xfId="0"/>
    <xf numFmtId="0" fontId="0" fillId="5" borderId="0" xfId="0" applyFill="1"/>
    <xf numFmtId="44" fontId="0" fillId="5" borderId="0" xfId="0" applyNumberFormat="1" applyFill="1"/>
    <xf numFmtId="44" fontId="0" fillId="2" borderId="3" xfId="2" applyFont="1" applyFill="1" applyBorder="1" applyProtection="1">
      <protection locked="0"/>
    </xf>
    <xf numFmtId="0" fontId="2" fillId="3" borderId="0" xfId="0" applyFont="1" applyFill="1" applyAlignment="1">
      <alignment horizontal="center"/>
    </xf>
    <xf numFmtId="44" fontId="0" fillId="4" borderId="3" xfId="2" applyFont="1" applyFill="1" applyBorder="1" applyProtection="1"/>
    <xf numFmtId="9" fontId="0" fillId="0" borderId="0" xfId="3" applyFont="1" applyAlignment="1">
      <alignment horizontal="center"/>
    </xf>
    <xf numFmtId="0" fontId="0" fillId="0" borderId="0" xfId="0" applyAlignment="1">
      <alignment horizontal="center"/>
    </xf>
    <xf numFmtId="44" fontId="0" fillId="0" borderId="0" xfId="2" applyFont="1" applyAlignment="1">
      <alignment horizontal="center"/>
    </xf>
    <xf numFmtId="44" fontId="0" fillId="0" borderId="0" xfId="0" applyNumberFormat="1" applyAlignment="1">
      <alignment horizontal="center"/>
    </xf>
    <xf numFmtId="44" fontId="0" fillId="0" borderId="0" xfId="2" quotePrefix="1" applyFont="1" applyAlignment="1">
      <alignment horizontal="center"/>
    </xf>
    <xf numFmtId="10" fontId="0" fillId="0" borderId="0" xfId="0" applyNumberFormat="1" applyAlignment="1">
      <alignment horizontal="center"/>
    </xf>
    <xf numFmtId="44" fontId="0" fillId="2" borderId="0" xfId="2" applyFont="1" applyFill="1" applyAlignment="1" applyProtection="1">
      <alignment horizontal="center"/>
      <protection locked="0"/>
    </xf>
    <xf numFmtId="0" fontId="0" fillId="2" borderId="0" xfId="0" applyFill="1" applyAlignment="1" applyProtection="1">
      <alignment horizontal="center"/>
      <protection locked="0"/>
    </xf>
    <xf numFmtId="10" fontId="0" fillId="0" borderId="0" xfId="3" applyNumberFormat="1" applyFont="1" applyAlignment="1">
      <alignment horizontal="center"/>
    </xf>
    <xf numFmtId="0" fontId="0" fillId="5" borderId="0" xfId="0" applyFill="1" applyAlignment="1">
      <alignment horizontal="center" wrapText="1"/>
    </xf>
    <xf numFmtId="0" fontId="0" fillId="5" borderId="0" xfId="0" applyFill="1" applyAlignment="1">
      <alignment vertical="top" wrapText="1"/>
    </xf>
    <xf numFmtId="9" fontId="0" fillId="5" borderId="0" xfId="3" applyFont="1" applyFill="1" applyBorder="1" applyAlignment="1">
      <alignment horizontal="left" vertical="top" wrapText="1"/>
    </xf>
    <xf numFmtId="44" fontId="0" fillId="0" borderId="0" xfId="0" applyNumberFormat="1"/>
    <xf numFmtId="0" fontId="0" fillId="0" borderId="0" xfId="0" quotePrefix="1"/>
    <xf numFmtId="165" fontId="0" fillId="0" borderId="0" xfId="1" applyNumberFormat="1" applyFont="1" applyAlignment="1">
      <alignment horizontal="center"/>
    </xf>
    <xf numFmtId="165" fontId="0" fillId="0" borderId="3" xfId="1" applyNumberFormat="1" applyFont="1" applyBorder="1" applyAlignment="1">
      <alignment horizontal="center"/>
    </xf>
    <xf numFmtId="44" fontId="0" fillId="0" borderId="3" xfId="2" applyFont="1" applyBorder="1" applyAlignment="1">
      <alignment horizontal="center"/>
    </xf>
    <xf numFmtId="165" fontId="6" fillId="6" borderId="3" xfId="1" applyNumberFormat="1" applyFont="1" applyFill="1" applyBorder="1" applyAlignment="1">
      <alignment horizontal="center"/>
    </xf>
    <xf numFmtId="164" fontId="0" fillId="0" borderId="3" xfId="2" applyNumberFormat="1" applyFont="1" applyBorder="1" applyAlignment="1">
      <alignment horizontal="center"/>
    </xf>
    <xf numFmtId="164" fontId="0" fillId="0" borderId="3" xfId="0" applyNumberFormat="1" applyBorder="1" applyAlignment="1">
      <alignment horizontal="center"/>
    </xf>
    <xf numFmtId="0" fontId="2" fillId="3" borderId="3" xfId="0" applyFont="1" applyFill="1" applyBorder="1" applyAlignment="1">
      <alignment horizontal="center"/>
    </xf>
    <xf numFmtId="0" fontId="2" fillId="3" borderId="3" xfId="2" applyNumberFormat="1" applyFont="1" applyFill="1" applyBorder="1" applyAlignment="1">
      <alignment horizontal="center"/>
    </xf>
    <xf numFmtId="0" fontId="0" fillId="7" borderId="0" xfId="0" applyFill="1"/>
    <xf numFmtId="44" fontId="2" fillId="3" borderId="3" xfId="2" applyFont="1" applyFill="1" applyBorder="1" applyAlignment="1">
      <alignment horizontal="center"/>
    </xf>
    <xf numFmtId="44" fontId="2" fillId="3" borderId="3" xfId="0" applyNumberFormat="1" applyFont="1" applyFill="1" applyBorder="1" applyAlignment="1">
      <alignment horizontal="center"/>
    </xf>
    <xf numFmtId="0" fontId="2" fillId="3" borderId="0" xfId="0" applyFont="1" applyFill="1"/>
    <xf numFmtId="0" fontId="0" fillId="3" borderId="0" xfId="0" applyFill="1" applyAlignment="1">
      <alignment horizontal="center"/>
    </xf>
    <xf numFmtId="0" fontId="2" fillId="5" borderId="0" xfId="0" applyFont="1" applyFill="1"/>
    <xf numFmtId="10" fontId="0" fillId="5" borderId="0" xfId="3" applyNumberFormat="1" applyFont="1" applyFill="1" applyAlignment="1" applyProtection="1">
      <alignment horizontal="center"/>
    </xf>
    <xf numFmtId="0" fontId="4" fillId="5" borderId="0" xfId="0" applyFont="1" applyFill="1"/>
    <xf numFmtId="0" fontId="0" fillId="4" borderId="0" xfId="0" applyFill="1" applyAlignment="1">
      <alignment horizontal="center"/>
    </xf>
    <xf numFmtId="10" fontId="0" fillId="4" borderId="0" xfId="3" applyNumberFormat="1" applyFont="1" applyFill="1" applyAlignment="1" applyProtection="1">
      <alignment horizontal="center"/>
    </xf>
    <xf numFmtId="44" fontId="0" fillId="4" borderId="0" xfId="0" applyNumberFormat="1" applyFill="1" applyAlignment="1">
      <alignment horizontal="center"/>
    </xf>
    <xf numFmtId="44" fontId="0" fillId="4" borderId="0" xfId="2" applyFont="1" applyFill="1" applyAlignment="1" applyProtection="1">
      <alignment horizontal="center"/>
    </xf>
    <xf numFmtId="0" fontId="0" fillId="0" borderId="0" xfId="0" applyAlignment="1">
      <alignment horizontal="left"/>
    </xf>
    <xf numFmtId="0" fontId="0" fillId="3" borderId="0" xfId="0" applyFill="1"/>
    <xf numFmtId="164" fontId="0" fillId="4" borderId="0" xfId="2" applyNumberFormat="1" applyFont="1" applyFill="1" applyProtection="1"/>
    <xf numFmtId="164" fontId="0" fillId="5" borderId="0" xfId="2" applyNumberFormat="1" applyFont="1" applyFill="1" applyProtection="1"/>
    <xf numFmtId="164" fontId="0" fillId="3" borderId="0" xfId="2" applyNumberFormat="1" applyFont="1" applyFill="1" applyProtection="1"/>
    <xf numFmtId="9" fontId="0" fillId="5" borderId="0" xfId="3" applyFont="1" applyFill="1" applyProtection="1"/>
    <xf numFmtId="43" fontId="0" fillId="5" borderId="0" xfId="0" applyNumberFormat="1" applyFill="1"/>
    <xf numFmtId="44" fontId="0" fillId="4" borderId="0" xfId="0" applyNumberFormat="1" applyFill="1"/>
    <xf numFmtId="44" fontId="0" fillId="4" borderId="2" xfId="0" applyNumberFormat="1" applyFill="1" applyBorder="1"/>
    <xf numFmtId="0" fontId="2" fillId="3" borderId="7" xfId="0" applyFont="1" applyFill="1" applyBorder="1"/>
    <xf numFmtId="0" fontId="2" fillId="3" borderId="9" xfId="0" applyFont="1" applyFill="1" applyBorder="1"/>
    <xf numFmtId="0" fontId="0" fillId="5" borderId="0" xfId="0" applyFill="1" applyAlignment="1">
      <alignment horizontal="left" vertical="top"/>
    </xf>
    <xf numFmtId="164" fontId="0" fillId="4" borderId="0" xfId="2" applyNumberFormat="1" applyFont="1" applyFill="1" applyAlignment="1" applyProtection="1">
      <alignment horizontal="center"/>
    </xf>
    <xf numFmtId="44" fontId="0" fillId="4" borderId="1" xfId="2" applyFont="1" applyFill="1" applyBorder="1" applyAlignment="1" applyProtection="1">
      <alignment horizontal="center"/>
    </xf>
    <xf numFmtId="167" fontId="0" fillId="4" borderId="0" xfId="3" applyNumberFormat="1" applyFont="1" applyFill="1" applyAlignment="1" applyProtection="1">
      <alignment horizontal="center"/>
    </xf>
    <xf numFmtId="43" fontId="0" fillId="0" borderId="0" xfId="1" applyFont="1"/>
    <xf numFmtId="0" fontId="0" fillId="5" borderId="0" xfId="0" applyFill="1" applyAlignment="1">
      <alignment horizontal="center"/>
    </xf>
    <xf numFmtId="44" fontId="8" fillId="8" borderId="3" xfId="2" applyFont="1" applyFill="1" applyBorder="1" applyProtection="1">
      <protection locked="0"/>
    </xf>
    <xf numFmtId="44" fontId="0" fillId="0" borderId="0" xfId="2" applyFont="1"/>
    <xf numFmtId="0" fontId="0" fillId="0" borderId="0" xfId="0" applyAlignment="1">
      <alignment horizontal="right"/>
    </xf>
    <xf numFmtId="8" fontId="0" fillId="0" borderId="0" xfId="2" applyNumberFormat="1" applyFont="1"/>
    <xf numFmtId="0" fontId="0" fillId="5" borderId="0" xfId="0" applyFill="1"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0" fillId="5" borderId="17" xfId="0" applyFill="1" applyBorder="1" applyAlignment="1">
      <alignment vertical="top" wrapText="1"/>
    </xf>
    <xf numFmtId="0" fontId="0" fillId="5" borderId="18" xfId="0" applyFill="1" applyBorder="1" applyAlignment="1">
      <alignment horizontal="center" vertical="top" wrapText="1"/>
    </xf>
    <xf numFmtId="0" fontId="0" fillId="5" borderId="19" xfId="0" applyFill="1" applyBorder="1" applyAlignment="1">
      <alignment vertical="top" wrapText="1"/>
    </xf>
    <xf numFmtId="0" fontId="0" fillId="5" borderId="20" xfId="0" applyFill="1" applyBorder="1" applyAlignment="1">
      <alignment horizontal="center" vertical="top" wrapText="1"/>
    </xf>
    <xf numFmtId="10" fontId="0" fillId="5" borderId="20" xfId="0" applyNumberFormat="1" applyFill="1" applyBorder="1" applyAlignment="1">
      <alignment horizontal="center" vertical="top" wrapText="1"/>
    </xf>
    <xf numFmtId="168" fontId="0" fillId="5" borderId="20" xfId="2" applyNumberFormat="1" applyFont="1" applyFill="1" applyBorder="1" applyAlignment="1">
      <alignment horizontal="right" vertical="top" wrapText="1"/>
    </xf>
    <xf numFmtId="0" fontId="0" fillId="5" borderId="21" xfId="0" applyFill="1" applyBorder="1" applyAlignment="1">
      <alignment vertical="top" wrapText="1"/>
    </xf>
    <xf numFmtId="9" fontId="0" fillId="5" borderId="22" xfId="3" applyFont="1" applyFill="1" applyBorder="1" applyAlignment="1">
      <alignment horizontal="left" vertical="top" wrapText="1"/>
    </xf>
    <xf numFmtId="0" fontId="0" fillId="5" borderId="20" xfId="0" applyFill="1" applyBorder="1" applyAlignment="1">
      <alignment vertical="top" wrapText="1"/>
    </xf>
    <xf numFmtId="170" fontId="0" fillId="5" borderId="0" xfId="0" applyNumberFormat="1" applyFill="1" applyAlignment="1">
      <alignment horizontal="right" indent="1"/>
    </xf>
    <xf numFmtId="0" fontId="0" fillId="5" borderId="3" xfId="0" applyFill="1" applyBorder="1" applyAlignment="1">
      <alignment horizontal="left" vertical="top" wrapText="1"/>
    </xf>
    <xf numFmtId="0" fontId="0" fillId="5" borderId="3" xfId="0" applyFill="1" applyBorder="1" applyAlignment="1">
      <alignment horizontal="right" vertical="top" wrapText="1"/>
    </xf>
    <xf numFmtId="171" fontId="0" fillId="0" borderId="0" xfId="2" applyNumberFormat="1" applyFont="1" applyAlignment="1">
      <alignment horizontal="center"/>
    </xf>
    <xf numFmtId="0" fontId="6" fillId="3" borderId="0" xfId="0" applyFont="1" applyFill="1" applyAlignment="1">
      <alignment horizontal="center"/>
    </xf>
    <xf numFmtId="0" fontId="2" fillId="3" borderId="0" xfId="2" applyNumberFormat="1" applyFont="1" applyFill="1" applyBorder="1" applyAlignment="1">
      <alignment horizontal="center"/>
    </xf>
    <xf numFmtId="0" fontId="6" fillId="3" borderId="0" xfId="0" applyFont="1" applyFill="1"/>
    <xf numFmtId="169" fontId="0" fillId="10" borderId="3" xfId="0" applyNumberFormat="1" applyFill="1" applyBorder="1"/>
    <xf numFmtId="169" fontId="0" fillId="7" borderId="3" xfId="0" applyNumberFormat="1" applyFill="1" applyBorder="1"/>
    <xf numFmtId="43" fontId="0" fillId="2" borderId="3" xfId="1" applyFont="1" applyFill="1" applyBorder="1" applyAlignment="1">
      <alignment horizontal="center"/>
    </xf>
    <xf numFmtId="0" fontId="0" fillId="5" borderId="30" xfId="0" applyFill="1" applyBorder="1"/>
    <xf numFmtId="0" fontId="0" fillId="5" borderId="5" xfId="0" applyFill="1" applyBorder="1" applyAlignment="1">
      <alignment vertical="top" wrapText="1"/>
    </xf>
    <xf numFmtId="0" fontId="0" fillId="5" borderId="34" xfId="0" applyFill="1" applyBorder="1" applyAlignment="1">
      <alignment vertical="top" wrapText="1"/>
    </xf>
    <xf numFmtId="0" fontId="0" fillId="5" borderId="31" xfId="0" applyFill="1" applyBorder="1"/>
    <xf numFmtId="0" fontId="0" fillId="5" borderId="32" xfId="0" applyFill="1" applyBorder="1" applyAlignment="1">
      <alignment vertical="top" wrapText="1"/>
    </xf>
    <xf numFmtId="0" fontId="0" fillId="5" borderId="33" xfId="0" applyFill="1" applyBorder="1" applyAlignment="1">
      <alignment vertical="top" wrapText="1"/>
    </xf>
    <xf numFmtId="0" fontId="3" fillId="0" borderId="0" xfId="0" applyFont="1"/>
    <xf numFmtId="10" fontId="0" fillId="0" borderId="35" xfId="3" applyNumberFormat="1" applyFont="1" applyFill="1" applyBorder="1" applyAlignment="1">
      <alignment horizontal="center"/>
    </xf>
    <xf numFmtId="10" fontId="6" fillId="3" borderId="25" xfId="3" applyNumberFormat="1" applyFont="1" applyFill="1" applyBorder="1" applyAlignment="1">
      <alignment horizontal="center"/>
    </xf>
    <xf numFmtId="0" fontId="0" fillId="0" borderId="0" xfId="0" applyAlignment="1">
      <alignment horizontal="left" indent="1"/>
    </xf>
    <xf numFmtId="0" fontId="0" fillId="0" borderId="3" xfId="0" applyBorder="1"/>
    <xf numFmtId="0" fontId="0" fillId="0" borderId="0" xfId="0" applyAlignment="1">
      <alignment horizontal="left" indent="2"/>
    </xf>
    <xf numFmtId="44" fontId="0" fillId="9" borderId="37" xfId="2" applyFont="1" applyFill="1" applyBorder="1" applyAlignment="1">
      <alignment horizontal="center"/>
    </xf>
    <xf numFmtId="0" fontId="0" fillId="4" borderId="37" xfId="2" applyNumberFormat="1" applyFont="1" applyFill="1" applyBorder="1" applyAlignment="1">
      <alignment horizontal="center"/>
    </xf>
    <xf numFmtId="44" fontId="0" fillId="4" borderId="37" xfId="2" applyFont="1" applyFill="1" applyBorder="1" applyAlignment="1">
      <alignment horizontal="center"/>
    </xf>
    <xf numFmtId="9" fontId="0" fillId="4" borderId="38" xfId="2" applyNumberFormat="1" applyFont="1" applyFill="1" applyBorder="1" applyAlignment="1">
      <alignment horizontal="center"/>
    </xf>
    <xf numFmtId="44" fontId="0" fillId="0" borderId="0" xfId="2" applyFont="1" applyFill="1" applyBorder="1" applyAlignment="1">
      <alignment horizontal="center"/>
    </xf>
    <xf numFmtId="44" fontId="0" fillId="9" borderId="36" xfId="2" applyFont="1" applyFill="1" applyBorder="1"/>
    <xf numFmtId="9" fontId="6" fillId="5" borderId="0" xfId="3" applyFont="1" applyFill="1" applyBorder="1" applyAlignment="1">
      <alignment horizontal="center"/>
    </xf>
    <xf numFmtId="10" fontId="0" fillId="5" borderId="3" xfId="3" applyNumberFormat="1" applyFont="1" applyFill="1" applyBorder="1" applyAlignment="1">
      <alignment horizontal="center"/>
    </xf>
    <xf numFmtId="44" fontId="0" fillId="9" borderId="37" xfId="2" applyFont="1" applyFill="1" applyBorder="1"/>
    <xf numFmtId="0" fontId="0" fillId="5" borderId="24" xfId="0" applyFill="1" applyBorder="1" applyAlignment="1">
      <alignment horizontal="center"/>
    </xf>
    <xf numFmtId="167" fontId="0" fillId="5" borderId="42" xfId="3" applyNumberFormat="1" applyFont="1" applyFill="1" applyBorder="1" applyAlignment="1">
      <alignment horizontal="center"/>
    </xf>
    <xf numFmtId="167" fontId="0" fillId="5" borderId="5" xfId="3" applyNumberFormat="1" applyFont="1" applyFill="1" applyBorder="1" applyAlignment="1">
      <alignment horizontal="center"/>
    </xf>
    <xf numFmtId="167" fontId="0" fillId="5" borderId="43" xfId="3" applyNumberFormat="1" applyFont="1" applyFill="1" applyBorder="1" applyAlignment="1">
      <alignment horizontal="center"/>
    </xf>
    <xf numFmtId="43" fontId="0" fillId="9" borderId="37" xfId="0" applyNumberFormat="1" applyFill="1" applyBorder="1"/>
    <xf numFmtId="0" fontId="0" fillId="5" borderId="20" xfId="0" applyFill="1" applyBorder="1" applyAlignment="1">
      <alignment horizontal="center"/>
    </xf>
    <xf numFmtId="167" fontId="0" fillId="5" borderId="40" xfId="3" applyNumberFormat="1" applyFont="1" applyFill="1" applyBorder="1" applyAlignment="1">
      <alignment horizontal="center"/>
    </xf>
    <xf numFmtId="167" fontId="0" fillId="5" borderId="0" xfId="3" applyNumberFormat="1" applyFont="1" applyFill="1" applyBorder="1" applyAlignment="1">
      <alignment horizontal="center"/>
    </xf>
    <xf numFmtId="167" fontId="0" fillId="5" borderId="41" xfId="3" applyNumberFormat="1" applyFont="1" applyFill="1" applyBorder="1" applyAlignment="1">
      <alignment horizontal="center"/>
    </xf>
    <xf numFmtId="164" fontId="0" fillId="9" borderId="37" xfId="2" applyNumberFormat="1" applyFont="1" applyFill="1" applyBorder="1"/>
    <xf numFmtId="44" fontId="0" fillId="9" borderId="38" xfId="2" applyFont="1" applyFill="1" applyBorder="1"/>
    <xf numFmtId="0" fontId="10" fillId="13" borderId="0" xfId="0" applyFont="1" applyFill="1"/>
    <xf numFmtId="2" fontId="0" fillId="14" borderId="36" xfId="0" applyNumberFormat="1" applyFill="1" applyBorder="1"/>
    <xf numFmtId="0" fontId="0" fillId="5" borderId="22" xfId="0" applyFill="1" applyBorder="1" applyAlignment="1">
      <alignment horizontal="center"/>
    </xf>
    <xf numFmtId="167" fontId="0" fillId="5" borderId="26" xfId="3" applyNumberFormat="1" applyFont="1" applyFill="1" applyBorder="1" applyAlignment="1">
      <alignment horizontal="center"/>
    </xf>
    <xf numFmtId="167" fontId="0" fillId="5" borderId="27" xfId="3" applyNumberFormat="1" applyFont="1" applyFill="1" applyBorder="1" applyAlignment="1">
      <alignment horizontal="center"/>
    </xf>
    <xf numFmtId="167" fontId="0" fillId="5" borderId="28" xfId="3" applyNumberFormat="1" applyFont="1" applyFill="1" applyBorder="1" applyAlignment="1">
      <alignment horizontal="center"/>
    </xf>
    <xf numFmtId="10" fontId="0" fillId="14" borderId="37" xfId="0" applyNumberFormat="1" applyFill="1" applyBorder="1"/>
    <xf numFmtId="174" fontId="0" fillId="0" borderId="0" xfId="0" applyNumberFormat="1"/>
    <xf numFmtId="43" fontId="0" fillId="0" borderId="0" xfId="0" applyNumberFormat="1"/>
    <xf numFmtId="10" fontId="0" fillId="15" borderId="0" xfId="3" applyNumberFormat="1" applyFont="1" applyFill="1"/>
    <xf numFmtId="10" fontId="0" fillId="0" borderId="0" xfId="3" applyNumberFormat="1" applyFont="1"/>
    <xf numFmtId="0" fontId="0" fillId="9" borderId="0" xfId="0" applyFill="1"/>
    <xf numFmtId="10" fontId="0" fillId="9" borderId="0" xfId="3" applyNumberFormat="1" applyFont="1" applyFill="1"/>
    <xf numFmtId="164" fontId="0" fillId="0" borderId="0" xfId="2" applyNumberFormat="1" applyFont="1"/>
    <xf numFmtId="164" fontId="0" fillId="0" borderId="0" xfId="2" applyNumberFormat="1" applyFont="1" applyAlignment="1">
      <alignment horizontal="center"/>
    </xf>
    <xf numFmtId="43" fontId="0" fillId="16" borderId="0" xfId="1" applyFont="1" applyFill="1"/>
    <xf numFmtId="43" fontId="0" fillId="16" borderId="0" xfId="1" applyFont="1" applyFill="1" applyAlignment="1">
      <alignment horizontal="center"/>
    </xf>
    <xf numFmtId="166" fontId="0" fillId="0" borderId="0" xfId="1" applyNumberFormat="1" applyFont="1" applyAlignment="1">
      <alignment horizontal="center"/>
    </xf>
    <xf numFmtId="166" fontId="0" fillId="17" borderId="3" xfId="1" applyNumberFormat="1" applyFont="1" applyFill="1" applyBorder="1" applyAlignment="1"/>
    <xf numFmtId="0" fontId="0" fillId="9" borderId="0" xfId="0" applyFill="1" applyAlignment="1">
      <alignment horizontal="center"/>
    </xf>
    <xf numFmtId="43" fontId="0" fillId="15" borderId="3" xfId="1" applyFont="1" applyFill="1" applyBorder="1"/>
    <xf numFmtId="10" fontId="0" fillId="15" borderId="3" xfId="3" applyNumberFormat="1" applyFont="1" applyFill="1" applyBorder="1"/>
    <xf numFmtId="164" fontId="0" fillId="15" borderId="3" xfId="2" applyNumberFormat="1" applyFont="1" applyFill="1" applyBorder="1"/>
    <xf numFmtId="0" fontId="2" fillId="3" borderId="3" xfId="0" applyFont="1" applyFill="1" applyBorder="1"/>
    <xf numFmtId="0" fontId="0" fillId="0" borderId="3" xfId="0" applyBorder="1" applyAlignment="1">
      <alignment horizontal="center"/>
    </xf>
    <xf numFmtId="165" fontId="0" fillId="0" borderId="3" xfId="1" applyNumberFormat="1" applyFont="1" applyBorder="1"/>
    <xf numFmtId="44" fontId="0" fillId="0" borderId="3" xfId="2" applyFont="1" applyBorder="1"/>
    <xf numFmtId="10" fontId="0" fillId="0" borderId="0" xfId="0" applyNumberFormat="1" applyAlignment="1">
      <alignment horizontal="right"/>
    </xf>
    <xf numFmtId="0" fontId="0" fillId="0" borderId="44" xfId="0" applyBorder="1" applyAlignment="1">
      <alignment horizontal="center"/>
    </xf>
    <xf numFmtId="0" fontId="0" fillId="0" borderId="34" xfId="0" applyBorder="1"/>
    <xf numFmtId="44" fontId="0" fillId="0" borderId="34" xfId="0" applyNumberFormat="1" applyBorder="1"/>
    <xf numFmtId="0" fontId="0" fillId="2" borderId="3" xfId="0" applyFill="1" applyBorder="1" applyAlignment="1" applyProtection="1">
      <alignment horizontal="center"/>
      <protection locked="0"/>
    </xf>
    <xf numFmtId="10" fontId="0" fillId="4" borderId="38" xfId="3" applyNumberFormat="1" applyFont="1" applyFill="1" applyBorder="1" applyAlignment="1">
      <alignment horizontal="center"/>
    </xf>
    <xf numFmtId="164" fontId="0" fillId="4" borderId="37" xfId="2" applyNumberFormat="1" applyFont="1" applyFill="1" applyBorder="1" applyAlignment="1">
      <alignment horizontal="center"/>
    </xf>
    <xf numFmtId="165" fontId="0" fillId="4" borderId="37" xfId="1" applyNumberFormat="1" applyFont="1" applyFill="1" applyBorder="1" applyAlignment="1">
      <alignment horizontal="center"/>
    </xf>
    <xf numFmtId="10" fontId="0" fillId="0" borderId="25" xfId="3" applyNumberFormat="1" applyFont="1" applyFill="1" applyBorder="1" applyAlignment="1">
      <alignment horizontal="center"/>
    </xf>
    <xf numFmtId="10" fontId="0" fillId="0" borderId="27" xfId="3" applyNumberFormat="1" applyFont="1" applyFill="1" applyBorder="1" applyAlignment="1">
      <alignment horizontal="center"/>
    </xf>
    <xf numFmtId="9" fontId="0" fillId="4" borderId="45" xfId="3" applyFont="1" applyFill="1" applyBorder="1" applyAlignment="1">
      <alignment horizontal="center"/>
    </xf>
    <xf numFmtId="10" fontId="0" fillId="4" borderId="46" xfId="3" applyNumberFormat="1" applyFont="1" applyFill="1" applyBorder="1" applyAlignment="1">
      <alignment horizontal="center"/>
    </xf>
    <xf numFmtId="10" fontId="0" fillId="4" borderId="47" xfId="3" applyNumberFormat="1" applyFont="1" applyFill="1" applyBorder="1" applyAlignment="1">
      <alignment horizontal="center"/>
    </xf>
    <xf numFmtId="167" fontId="0" fillId="14" borderId="0" xfId="0" applyNumberFormat="1" applyFill="1" applyAlignment="1">
      <alignment horizontal="center"/>
    </xf>
    <xf numFmtId="0" fontId="6" fillId="3" borderId="10" xfId="0" applyFont="1" applyFill="1" applyBorder="1"/>
    <xf numFmtId="0" fontId="0" fillId="2" borderId="36" xfId="0" applyFill="1" applyBorder="1" applyAlignment="1" applyProtection="1">
      <alignment horizontal="center"/>
      <protection locked="0"/>
    </xf>
    <xf numFmtId="10" fontId="0" fillId="2" borderId="36" xfId="3" applyNumberFormat="1" applyFont="1" applyFill="1" applyBorder="1" applyAlignment="1" applyProtection="1">
      <alignment horizontal="center"/>
      <protection locked="0"/>
    </xf>
    <xf numFmtId="0" fontId="0" fillId="2" borderId="39" xfId="2" applyNumberFormat="1" applyFont="1" applyFill="1" applyBorder="1" applyAlignment="1" applyProtection="1">
      <alignment horizontal="center"/>
      <protection locked="0"/>
    </xf>
    <xf numFmtId="175" fontId="0" fillId="5" borderId="0" xfId="0" applyNumberFormat="1" applyFill="1" applyAlignment="1">
      <alignment horizontal="right"/>
    </xf>
    <xf numFmtId="175" fontId="0" fillId="5" borderId="0" xfId="0" applyNumberFormat="1" applyFill="1" applyAlignment="1">
      <alignment horizontal="right" indent="1"/>
    </xf>
    <xf numFmtId="44" fontId="0" fillId="0" borderId="0" xfId="0" quotePrefix="1" applyNumberFormat="1"/>
    <xf numFmtId="44" fontId="0" fillId="5" borderId="0" xfId="0" applyNumberFormat="1" applyFill="1" applyAlignment="1">
      <alignment horizontal="left" vertical="top" wrapText="1"/>
    </xf>
    <xf numFmtId="10" fontId="9" fillId="5" borderId="0" xfId="3" applyNumberFormat="1" applyFont="1" applyFill="1" applyBorder="1" applyAlignment="1">
      <alignment horizontal="center" vertical="center" wrapText="1"/>
    </xf>
    <xf numFmtId="0" fontId="0" fillId="5" borderId="0" xfId="0" applyFill="1" applyAlignment="1">
      <alignment horizontal="right" vertical="top" wrapText="1"/>
    </xf>
    <xf numFmtId="0" fontId="0" fillId="5" borderId="0" xfId="0" applyFill="1" applyAlignment="1">
      <alignment horizontal="center" vertical="top" wrapText="1"/>
    </xf>
    <xf numFmtId="10" fontId="0" fillId="5" borderId="0" xfId="0" applyNumberFormat="1" applyFill="1" applyAlignment="1">
      <alignment horizontal="center" vertical="top" wrapText="1"/>
    </xf>
    <xf numFmtId="168" fontId="0" fillId="5" borderId="0" xfId="2" applyNumberFormat="1" applyFont="1" applyFill="1" applyBorder="1" applyAlignment="1">
      <alignment horizontal="right" vertical="top" wrapText="1"/>
    </xf>
    <xf numFmtId="0" fontId="0" fillId="5" borderId="29" xfId="0" applyFill="1" applyBorder="1" applyAlignment="1">
      <alignment vertical="top" wrapText="1"/>
    </xf>
    <xf numFmtId="0" fontId="6" fillId="5" borderId="0" xfId="0" applyFont="1" applyFill="1" applyAlignment="1">
      <alignment horizontal="center" vertical="center" wrapText="1"/>
    </xf>
    <xf numFmtId="0" fontId="0" fillId="5" borderId="1" xfId="0" applyFill="1" applyBorder="1" applyAlignment="1">
      <alignment horizontal="left" vertical="top" wrapText="1"/>
    </xf>
    <xf numFmtId="10" fontId="12" fillId="5" borderId="0" xfId="3" applyNumberFormat="1" applyFont="1" applyFill="1" applyBorder="1" applyAlignment="1">
      <alignment horizontal="right" wrapText="1"/>
    </xf>
    <xf numFmtId="10" fontId="13" fillId="18" borderId="0" xfId="0" applyNumberFormat="1" applyFont="1" applyFill="1" applyAlignment="1">
      <alignment horizontal="right" wrapText="1"/>
    </xf>
    <xf numFmtId="44" fontId="0" fillId="5" borderId="3" xfId="2" applyFont="1" applyFill="1" applyBorder="1" applyAlignment="1">
      <alignment horizontal="right" vertical="top" wrapText="1"/>
    </xf>
    <xf numFmtId="10" fontId="0" fillId="5" borderId="0" xfId="0" applyNumberFormat="1" applyFill="1" applyAlignment="1">
      <alignment horizontal="right" vertical="top" wrapText="1"/>
    </xf>
    <xf numFmtId="10" fontId="0" fillId="5" borderId="3" xfId="0" applyNumberFormat="1" applyFill="1" applyBorder="1" applyAlignment="1">
      <alignment horizontal="righ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10" fontId="0" fillId="5" borderId="3" xfId="0" applyNumberFormat="1" applyFill="1" applyBorder="1" applyAlignment="1">
      <alignment horizontal="center" vertical="top" wrapText="1"/>
    </xf>
    <xf numFmtId="168" fontId="0" fillId="5" borderId="3" xfId="2" applyNumberFormat="1" applyFont="1" applyFill="1" applyBorder="1" applyAlignment="1">
      <alignment horizontal="right" vertical="top" wrapText="1"/>
    </xf>
    <xf numFmtId="9" fontId="0" fillId="5" borderId="3" xfId="3" applyFont="1" applyFill="1" applyBorder="1" applyAlignment="1">
      <alignment horizontal="left" vertical="top" wrapText="1"/>
    </xf>
    <xf numFmtId="44" fontId="9" fillId="5" borderId="0" xfId="0" applyNumberFormat="1" applyFont="1" applyFill="1" applyAlignment="1">
      <alignment horizontal="center" vertical="center" wrapText="1"/>
    </xf>
    <xf numFmtId="0" fontId="6" fillId="11" borderId="44" xfId="0" applyFont="1" applyFill="1" applyBorder="1" applyAlignment="1">
      <alignment horizontal="center" vertical="center" wrapText="1"/>
    </xf>
    <xf numFmtId="44" fontId="0" fillId="5" borderId="1" xfId="0" applyNumberFormat="1" applyFill="1" applyBorder="1" applyAlignment="1">
      <alignment horizontal="left" vertical="top" wrapText="1"/>
    </xf>
    <xf numFmtId="44" fontId="15" fillId="5" borderId="48" xfId="0" applyNumberFormat="1" applyFont="1" applyFill="1" applyBorder="1" applyAlignment="1">
      <alignment horizontal="right" vertical="center" wrapText="1"/>
    </xf>
    <xf numFmtId="44" fontId="0" fillId="5" borderId="44" xfId="0" applyNumberFormat="1" applyFill="1" applyBorder="1" applyAlignment="1">
      <alignment horizontal="center" vertical="center" wrapText="1"/>
    </xf>
    <xf numFmtId="44" fontId="0" fillId="5" borderId="6" xfId="0" applyNumberFormat="1" applyFill="1" applyBorder="1" applyAlignment="1">
      <alignment horizontal="center" vertical="center" wrapText="1"/>
    </xf>
    <xf numFmtId="0" fontId="12" fillId="5" borderId="0" xfId="0" applyFont="1" applyFill="1" applyAlignment="1">
      <alignment horizontal="right" wrapText="1"/>
    </xf>
    <xf numFmtId="165" fontId="11" fillId="2" borderId="44" xfId="1" applyNumberFormat="1" applyFont="1" applyFill="1" applyBorder="1" applyAlignment="1" applyProtection="1">
      <alignment horizontal="center" vertical="center"/>
      <protection locked="0"/>
    </xf>
    <xf numFmtId="0" fontId="3" fillId="3" borderId="3" xfId="0" applyFont="1" applyFill="1" applyBorder="1"/>
    <xf numFmtId="0" fontId="6" fillId="0" borderId="0" xfId="0" applyFont="1"/>
    <xf numFmtId="44" fontId="3" fillId="0" borderId="0" xfId="2" applyFont="1" applyFill="1" applyBorder="1" applyProtection="1"/>
    <xf numFmtId="44" fontId="3" fillId="0" borderId="0" xfId="2" applyFont="1" applyFill="1" applyBorder="1" applyProtection="1">
      <protection locked="0"/>
    </xf>
    <xf numFmtId="44" fontId="0" fillId="0" borderId="0" xfId="2" applyFont="1" applyAlignment="1">
      <alignment horizontal="left"/>
    </xf>
    <xf numFmtId="4" fontId="0" fillId="2" borderId="0" xfId="0" applyNumberFormat="1" applyFill="1" applyAlignment="1">
      <alignment horizontal="right"/>
    </xf>
    <xf numFmtId="44" fontId="0" fillId="2" borderId="0" xfId="2" applyFont="1" applyFill="1" applyAlignment="1">
      <alignment horizontal="right"/>
    </xf>
    <xf numFmtId="44" fontId="0" fillId="2" borderId="0" xfId="2" applyFont="1" applyFill="1" applyAlignment="1">
      <alignment horizontal="center"/>
    </xf>
    <xf numFmtId="9" fontId="0" fillId="2" borderId="0" xfId="3" applyFont="1" applyFill="1" applyAlignment="1">
      <alignment horizontal="center"/>
    </xf>
    <xf numFmtId="0" fontId="0" fillId="2" borderId="0" xfId="0" applyFill="1"/>
    <xf numFmtId="0" fontId="6" fillId="3" borderId="3" xfId="0" applyFont="1" applyFill="1" applyBorder="1"/>
    <xf numFmtId="176" fontId="0" fillId="4" borderId="3" xfId="1" applyNumberFormat="1" applyFont="1" applyFill="1" applyBorder="1" applyProtection="1"/>
    <xf numFmtId="176" fontId="0" fillId="2" borderId="3" xfId="1" applyNumberFormat="1" applyFont="1" applyFill="1" applyBorder="1" applyProtection="1">
      <protection locked="0"/>
    </xf>
    <xf numFmtId="176" fontId="0" fillId="4" borderId="0" xfId="2" applyNumberFormat="1" applyFont="1" applyFill="1" applyAlignment="1" applyProtection="1">
      <alignment horizontal="right"/>
    </xf>
    <xf numFmtId="177" fontId="0" fillId="4" borderId="0" xfId="1" applyNumberFormat="1" applyFont="1" applyFill="1" applyAlignment="1" applyProtection="1">
      <alignment horizontal="right"/>
    </xf>
    <xf numFmtId="178" fontId="0" fillId="4" borderId="0" xfId="1" applyNumberFormat="1" applyFont="1" applyFill="1" applyAlignment="1" applyProtection="1">
      <alignment horizontal="right"/>
    </xf>
    <xf numFmtId="179" fontId="0" fillId="0" borderId="0" xfId="0" applyNumberFormat="1"/>
    <xf numFmtId="179" fontId="0" fillId="5" borderId="3" xfId="0" applyNumberFormat="1" applyFill="1" applyBorder="1" applyAlignment="1">
      <alignment horizontal="right" vertical="top" wrapText="1"/>
    </xf>
    <xf numFmtId="0" fontId="6" fillId="3" borderId="3" xfId="0" applyFont="1" applyFill="1" applyBorder="1" applyAlignment="1">
      <alignment horizontal="center"/>
    </xf>
    <xf numFmtId="177" fontId="0" fillId="0" borderId="0" xfId="0" applyNumberFormat="1" applyAlignment="1">
      <alignment horizontal="center"/>
    </xf>
    <xf numFmtId="177" fontId="0" fillId="4" borderId="3" xfId="0" applyNumberFormat="1" applyFill="1" applyBorder="1" applyAlignment="1">
      <alignment horizontal="center"/>
    </xf>
    <xf numFmtId="180" fontId="0" fillId="5" borderId="0" xfId="0" applyNumberFormat="1" applyFill="1"/>
    <xf numFmtId="0" fontId="16" fillId="0" borderId="0" xfId="0" applyFont="1" applyAlignment="1">
      <alignment horizontal="center"/>
    </xf>
    <xf numFmtId="43" fontId="16" fillId="0" borderId="0" xfId="0" applyNumberFormat="1" applyFont="1" applyAlignment="1">
      <alignment horizontal="center"/>
    </xf>
    <xf numFmtId="44" fontId="16" fillId="0" borderId="0" xfId="0" quotePrefix="1" applyNumberFormat="1" applyFont="1" applyAlignment="1">
      <alignment horizontal="center"/>
    </xf>
    <xf numFmtId="44" fontId="16" fillId="0" borderId="0" xfId="0" applyNumberFormat="1" applyFont="1" applyAlignment="1">
      <alignment horizontal="center"/>
    </xf>
    <xf numFmtId="43" fontId="16" fillId="4" borderId="3" xfId="0" applyNumberFormat="1" applyFont="1" applyFill="1" applyBorder="1" applyAlignment="1">
      <alignment horizontal="center"/>
    </xf>
    <xf numFmtId="0" fontId="17" fillId="3" borderId="3" xfId="0" applyFont="1" applyFill="1" applyBorder="1" applyAlignment="1">
      <alignment vertical="center"/>
    </xf>
    <xf numFmtId="0" fontId="0" fillId="3" borderId="3" xfId="0" applyFill="1" applyBorder="1"/>
    <xf numFmtId="0" fontId="2" fillId="3" borderId="1" xfId="0" applyFont="1" applyFill="1" applyBorder="1"/>
    <xf numFmtId="0" fontId="18" fillId="0" borderId="0" xfId="0" applyFont="1" applyAlignment="1">
      <alignment vertical="center"/>
    </xf>
    <xf numFmtId="0" fontId="16" fillId="0" borderId="0" xfId="0" quotePrefix="1" applyFont="1" applyAlignment="1">
      <alignment horizontal="center"/>
    </xf>
    <xf numFmtId="171" fontId="0" fillId="0" borderId="3" xfId="2" applyNumberFormat="1" applyFont="1" applyBorder="1" applyAlignment="1">
      <alignment horizontal="center"/>
    </xf>
    <xf numFmtId="44" fontId="0" fillId="5" borderId="0" xfId="2" applyFont="1" applyFill="1"/>
    <xf numFmtId="181" fontId="0" fillId="5" borderId="0" xfId="0" applyNumberFormat="1" applyFill="1" applyAlignment="1" applyProtection="1">
      <alignment horizontal="center"/>
      <protection locked="0"/>
    </xf>
    <xf numFmtId="0" fontId="0" fillId="4" borderId="3" xfId="0" applyFill="1" applyBorder="1" applyAlignment="1">
      <alignment horizontal="center"/>
    </xf>
    <xf numFmtId="181" fontId="0" fillId="4" borderId="3" xfId="0" applyNumberFormat="1" applyFill="1" applyBorder="1" applyAlignment="1">
      <alignment horizontal="center"/>
    </xf>
    <xf numFmtId="9" fontId="0" fillId="2" borderId="37" xfId="3" applyFont="1" applyFill="1" applyBorder="1" applyAlignment="1" applyProtection="1">
      <alignment horizontal="center"/>
      <protection locked="0"/>
    </xf>
    <xf numFmtId="172" fontId="0" fillId="4" borderId="0" xfId="1" applyNumberFormat="1" applyFont="1" applyFill="1" applyAlignment="1" applyProtection="1">
      <alignment horizontal="center"/>
    </xf>
    <xf numFmtId="176" fontId="0" fillId="4" borderId="0" xfId="1" applyNumberFormat="1" applyFont="1" applyFill="1" applyAlignment="1" applyProtection="1">
      <alignment horizontal="center"/>
    </xf>
    <xf numFmtId="0" fontId="19" fillId="2" borderId="3" xfId="0" applyFont="1" applyFill="1" applyBorder="1" applyAlignment="1" applyProtection="1">
      <alignment horizontal="center" vertical="center"/>
      <protection locked="0"/>
    </xf>
    <xf numFmtId="0" fontId="9" fillId="5" borderId="0" xfId="0" applyFont="1" applyFill="1" applyAlignment="1">
      <alignment horizontal="center" vertical="center"/>
    </xf>
    <xf numFmtId="0" fontId="9" fillId="4" borderId="3" xfId="0" applyFont="1" applyFill="1" applyBorder="1" applyAlignment="1">
      <alignment horizontal="center" vertical="center"/>
    </xf>
    <xf numFmtId="0" fontId="0" fillId="4" borderId="3" xfId="0" applyFill="1" applyBorder="1" applyAlignment="1">
      <alignment horizontal="center" vertical="center"/>
    </xf>
    <xf numFmtId="177" fontId="0" fillId="9" borderId="37" xfId="1" applyNumberFormat="1" applyFont="1" applyFill="1" applyBorder="1" applyAlignment="1">
      <alignment horizontal="center"/>
    </xf>
    <xf numFmtId="9" fontId="0" fillId="0" borderId="0" xfId="3" applyFont="1"/>
    <xf numFmtId="0" fontId="12" fillId="5" borderId="3" xfId="0" applyFont="1" applyFill="1" applyBorder="1" applyAlignment="1">
      <alignment horizontal="left" vertical="top" wrapText="1" indent="1"/>
    </xf>
    <xf numFmtId="0" fontId="20" fillId="5" borderId="3" xfId="0" applyFont="1" applyFill="1" applyBorder="1" applyAlignment="1">
      <alignment horizontal="left" vertical="top" wrapText="1"/>
    </xf>
    <xf numFmtId="0" fontId="6" fillId="3" borderId="8" xfId="0" applyFont="1" applyFill="1" applyBorder="1" applyAlignment="1">
      <alignment vertical="center"/>
    </xf>
    <xf numFmtId="180" fontId="0" fillId="2" borderId="3" xfId="0" applyNumberFormat="1" applyFill="1" applyBorder="1" applyAlignment="1" applyProtection="1">
      <alignment horizontal="center"/>
      <protection locked="0"/>
    </xf>
    <xf numFmtId="168" fontId="0" fillId="5" borderId="3" xfId="2" applyNumberFormat="1" applyFont="1" applyFill="1" applyBorder="1" applyAlignment="1">
      <alignment vertical="top" wrapText="1"/>
    </xf>
    <xf numFmtId="10" fontId="0" fillId="0" borderId="3" xfId="0" applyNumberFormat="1" applyBorder="1" applyAlignment="1">
      <alignment horizontal="center"/>
    </xf>
    <xf numFmtId="10" fontId="0" fillId="0" borderId="3" xfId="3" applyNumberFormat="1" applyFont="1" applyBorder="1" applyAlignment="1">
      <alignment horizontal="center"/>
    </xf>
    <xf numFmtId="0" fontId="21" fillId="5" borderId="0" xfId="0" applyFont="1" applyFill="1" applyAlignment="1">
      <alignment horizontal="right" vertical="center"/>
    </xf>
    <xf numFmtId="0" fontId="21" fillId="5" borderId="0" xfId="0" applyFont="1" applyFill="1" applyAlignment="1">
      <alignment horizontal="right"/>
    </xf>
    <xf numFmtId="0" fontId="21" fillId="5" borderId="0" xfId="0" applyFont="1" applyFill="1" applyAlignment="1">
      <alignment horizontal="center" vertical="center"/>
    </xf>
    <xf numFmtId="0" fontId="21" fillId="5" borderId="0" xfId="0" applyFont="1" applyFill="1" applyAlignment="1">
      <alignment horizontal="center"/>
    </xf>
    <xf numFmtId="182" fontId="21" fillId="5" borderId="0" xfId="0" applyNumberFormat="1" applyFont="1" applyFill="1" applyAlignment="1">
      <alignment horizontal="center" vertical="center"/>
    </xf>
    <xf numFmtId="182" fontId="21" fillId="5" borderId="0" xfId="0" applyNumberFormat="1" applyFont="1" applyFill="1" applyAlignment="1">
      <alignment horizontal="center"/>
    </xf>
    <xf numFmtId="44" fontId="21" fillId="5" borderId="0" xfId="2" applyFont="1" applyFill="1" applyAlignment="1">
      <alignment horizontal="center"/>
    </xf>
    <xf numFmtId="0" fontId="18" fillId="13" borderId="0" xfId="0" applyFont="1" applyFill="1" applyAlignment="1">
      <alignment horizontal="center" vertical="center"/>
    </xf>
    <xf numFmtId="44" fontId="0" fillId="5" borderId="0" xfId="2" applyFont="1" applyFill="1" applyBorder="1"/>
    <xf numFmtId="180" fontId="0" fillId="9" borderId="3" xfId="0" applyNumberFormat="1" applyFill="1" applyBorder="1" applyAlignment="1">
      <alignment horizontal="center"/>
    </xf>
    <xf numFmtId="44" fontId="0" fillId="9" borderId="3" xfId="0" applyNumberFormat="1" applyFill="1" applyBorder="1" applyAlignment="1">
      <alignment horizontal="center"/>
    </xf>
    <xf numFmtId="0" fontId="0" fillId="5" borderId="0" xfId="0" applyFill="1" applyAlignment="1">
      <alignment horizontal="left" indent="1"/>
    </xf>
    <xf numFmtId="9" fontId="0" fillId="2" borderId="28" xfId="3" applyFont="1" applyFill="1" applyBorder="1" applyAlignment="1" applyProtection="1">
      <alignment horizontal="center"/>
      <protection locked="0"/>
    </xf>
    <xf numFmtId="2" fontId="0" fillId="2" borderId="0" xfId="0" applyNumberFormat="1" applyFill="1" applyAlignment="1">
      <alignment horizontal="center"/>
    </xf>
    <xf numFmtId="1" fontId="0" fillId="0" borderId="0" xfId="3" applyNumberFormat="1" applyFont="1" applyAlignment="1">
      <alignment horizontal="center"/>
    </xf>
    <xf numFmtId="8" fontId="0" fillId="5" borderId="0" xfId="0" applyNumberFormat="1" applyFill="1"/>
    <xf numFmtId="0" fontId="0" fillId="4" borderId="44" xfId="0" applyFill="1" applyBorder="1" applyAlignment="1">
      <alignment horizontal="center"/>
    </xf>
    <xf numFmtId="44" fontId="0" fillId="4" borderId="3" xfId="2" applyFont="1" applyFill="1" applyBorder="1" applyAlignment="1">
      <alignment horizontal="center"/>
    </xf>
    <xf numFmtId="0" fontId="0" fillId="4" borderId="48" xfId="0" applyFill="1" applyBorder="1" applyAlignment="1">
      <alignment horizontal="center"/>
    </xf>
    <xf numFmtId="44" fontId="0" fillId="4" borderId="0" xfId="2" applyFont="1" applyFill="1" applyAlignment="1" applyProtection="1">
      <alignment horizontal="center" vertical="center"/>
    </xf>
    <xf numFmtId="168" fontId="12" fillId="5" borderId="3" xfId="2" applyNumberFormat="1" applyFont="1" applyFill="1" applyBorder="1" applyAlignment="1">
      <alignment horizontal="right" vertical="top" wrapText="1"/>
    </xf>
    <xf numFmtId="9" fontId="0" fillId="0" borderId="0" xfId="3" applyFont="1" applyFill="1" applyAlignment="1">
      <alignment horizontal="center"/>
    </xf>
    <xf numFmtId="0" fontId="0" fillId="9" borderId="3" xfId="0" applyFill="1" applyBorder="1"/>
    <xf numFmtId="0" fontId="0" fillId="0" borderId="3" xfId="0" applyBorder="1" applyAlignment="1">
      <alignment horizontal="left" indent="1"/>
    </xf>
    <xf numFmtId="0" fontId="0" fillId="9" borderId="3" xfId="0" applyFill="1" applyBorder="1" applyAlignment="1">
      <alignment horizontal="left"/>
    </xf>
    <xf numFmtId="0" fontId="0" fillId="9" borderId="3" xfId="0" applyFill="1" applyBorder="1" applyAlignment="1">
      <alignment horizontal="left" indent="1"/>
    </xf>
    <xf numFmtId="0" fontId="0" fillId="0" borderId="3" xfId="0" applyBorder="1" applyAlignment="1">
      <alignment horizontal="left" indent="2"/>
    </xf>
    <xf numFmtId="44" fontId="0" fillId="0" borderId="48" xfId="0" applyNumberFormat="1" applyBorder="1"/>
    <xf numFmtId="0" fontId="0" fillId="5" borderId="3" xfId="0" applyFill="1" applyBorder="1" applyAlignment="1">
      <alignment horizontal="left" vertical="top" wrapText="1" indent="1"/>
    </xf>
    <xf numFmtId="44" fontId="0" fillId="5" borderId="3" xfId="0" applyNumberFormat="1" applyFill="1" applyBorder="1" applyAlignment="1">
      <alignment horizontal="left" vertical="top" wrapText="1"/>
    </xf>
    <xf numFmtId="44" fontId="0" fillId="5" borderId="3" xfId="2" applyFont="1" applyFill="1" applyBorder="1" applyAlignment="1">
      <alignment horizontal="center" vertical="top" wrapText="1"/>
    </xf>
    <xf numFmtId="179" fontId="0" fillId="5" borderId="3" xfId="0" applyNumberFormat="1" applyFill="1" applyBorder="1" applyAlignment="1">
      <alignment horizontal="center" vertical="top" wrapText="1"/>
    </xf>
    <xf numFmtId="173" fontId="0" fillId="5" borderId="3" xfId="0" applyNumberFormat="1" applyFill="1" applyBorder="1" applyAlignment="1">
      <alignment horizontal="center" vertical="top" wrapText="1"/>
    </xf>
    <xf numFmtId="184" fontId="0" fillId="5" borderId="3" xfId="0" applyNumberFormat="1" applyFill="1" applyBorder="1" applyAlignment="1">
      <alignment horizontal="center" vertical="top" wrapText="1"/>
    </xf>
    <xf numFmtId="0" fontId="0" fillId="5" borderId="0" xfId="0" applyFill="1" applyAlignment="1">
      <alignment horizontal="right"/>
    </xf>
    <xf numFmtId="0" fontId="0" fillId="9" borderId="3" xfId="0" applyFill="1" applyBorder="1" applyAlignment="1">
      <alignment horizontal="left" indent="2"/>
    </xf>
    <xf numFmtId="0" fontId="0" fillId="5" borderId="0" xfId="0" applyFill="1" applyAlignment="1">
      <alignment horizontal="left" vertical="top" wrapText="1" indent="1"/>
    </xf>
    <xf numFmtId="44" fontId="0" fillId="5" borderId="50" xfId="2" applyFont="1" applyFill="1" applyBorder="1" applyAlignment="1">
      <alignment horizontal="center" vertical="top" wrapText="1"/>
    </xf>
    <xf numFmtId="44" fontId="12" fillId="9" borderId="3" xfId="0" applyNumberFormat="1" applyFont="1" applyFill="1" applyBorder="1" applyAlignment="1">
      <alignment horizontal="center" vertical="top" wrapText="1"/>
    </xf>
    <xf numFmtId="0" fontId="0" fillId="9" borderId="3" xfId="0" applyFill="1" applyBorder="1" applyAlignment="1">
      <alignment vertical="top" wrapText="1"/>
    </xf>
    <xf numFmtId="44" fontId="0" fillId="9" borderId="3" xfId="0" applyNumberFormat="1" applyFill="1" applyBorder="1" applyAlignment="1">
      <alignment horizontal="center" vertical="top" wrapText="1"/>
    </xf>
    <xf numFmtId="44" fontId="0" fillId="9" borderId="3" xfId="0" applyNumberFormat="1" applyFill="1" applyBorder="1" applyAlignment="1">
      <alignment horizontal="left" vertical="top" wrapText="1"/>
    </xf>
    <xf numFmtId="44" fontId="0" fillId="5" borderId="0" xfId="2" applyFont="1" applyFill="1" applyBorder="1" applyAlignment="1">
      <alignment horizontal="right" vertical="top" wrapText="1"/>
    </xf>
    <xf numFmtId="0" fontId="0" fillId="19" borderId="3" xfId="0" applyFill="1" applyBorder="1" applyAlignment="1" applyProtection="1">
      <alignment horizontal="center"/>
      <protection locked="0"/>
    </xf>
    <xf numFmtId="173" fontId="0" fillId="19" borderId="3" xfId="0" applyNumberFormat="1" applyFill="1" applyBorder="1" applyProtection="1">
      <protection locked="0"/>
    </xf>
    <xf numFmtId="176" fontId="0" fillId="19" borderId="3" xfId="0" applyNumberFormat="1" applyFill="1" applyBorder="1" applyProtection="1">
      <protection locked="0"/>
    </xf>
    <xf numFmtId="183" fontId="0" fillId="19" borderId="3" xfId="0" applyNumberFormat="1" applyFill="1" applyBorder="1" applyAlignment="1" applyProtection="1">
      <alignment horizontal="center"/>
      <protection locked="0"/>
    </xf>
    <xf numFmtId="44" fontId="0" fillId="19" borderId="3" xfId="2" applyFont="1" applyFill="1" applyBorder="1" applyProtection="1">
      <protection locked="0"/>
    </xf>
    <xf numFmtId="0" fontId="0" fillId="19" borderId="3" xfId="0" applyFill="1" applyBorder="1" applyAlignment="1" applyProtection="1">
      <alignment horizontal="left" indent="2"/>
      <protection locked="0"/>
    </xf>
    <xf numFmtId="44" fontId="0" fillId="19" borderId="50" xfId="2" applyFont="1" applyFill="1" applyBorder="1" applyProtection="1">
      <protection locked="0"/>
    </xf>
    <xf numFmtId="184" fontId="0" fillId="19" borderId="3" xfId="2" applyNumberFormat="1" applyFont="1" applyFill="1" applyBorder="1" applyAlignment="1" applyProtection="1">
      <alignment horizontal="center"/>
      <protection locked="0"/>
    </xf>
    <xf numFmtId="4" fontId="0" fillId="0" borderId="0" xfId="0" applyNumberFormat="1"/>
    <xf numFmtId="179" fontId="0" fillId="0" borderId="0" xfId="0" applyNumberFormat="1" applyAlignment="1">
      <alignment horizontal="center"/>
    </xf>
    <xf numFmtId="4" fontId="0" fillId="0" borderId="3" xfId="0" applyNumberFormat="1" applyBorder="1" applyAlignment="1">
      <alignment horizontal="center"/>
    </xf>
    <xf numFmtId="44" fontId="0" fillId="0" borderId="3" xfId="2" applyFont="1" applyFill="1" applyBorder="1" applyAlignment="1">
      <alignment horizontal="center"/>
    </xf>
    <xf numFmtId="44" fontId="0" fillId="5" borderId="51" xfId="2" applyFont="1" applyFill="1" applyBorder="1" applyAlignment="1">
      <alignment horizontal="center" vertical="top" wrapText="1"/>
    </xf>
    <xf numFmtId="0" fontId="26" fillId="5" borderId="3" xfId="0" applyFont="1" applyFill="1" applyBorder="1" applyAlignment="1">
      <alignment horizontal="left" vertical="center" wrapText="1"/>
    </xf>
    <xf numFmtId="44" fontId="26" fillId="5" borderId="48" xfId="2" applyFont="1" applyFill="1" applyBorder="1" applyAlignment="1">
      <alignment horizontal="center" vertical="center" wrapText="1"/>
    </xf>
    <xf numFmtId="0" fontId="6" fillId="6" borderId="0" xfId="0" applyFont="1" applyFill="1" applyAlignment="1">
      <alignment horizontal="center"/>
    </xf>
    <xf numFmtId="0" fontId="6" fillId="20" borderId="0" xfId="0" applyFont="1" applyFill="1" applyAlignment="1">
      <alignment horizontal="center"/>
    </xf>
    <xf numFmtId="0" fontId="0" fillId="21" borderId="3" xfId="0" applyFill="1" applyBorder="1" applyAlignment="1">
      <alignment horizontal="center"/>
    </xf>
    <xf numFmtId="185" fontId="0" fillId="21" borderId="3" xfId="0" applyNumberFormat="1" applyFill="1" applyBorder="1" applyAlignment="1">
      <alignment horizontal="center"/>
    </xf>
    <xf numFmtId="176" fontId="0" fillId="21" borderId="3" xfId="0" applyNumberFormat="1" applyFill="1" applyBorder="1" applyAlignment="1">
      <alignment horizontal="center"/>
    </xf>
    <xf numFmtId="171" fontId="0" fillId="21" borderId="3" xfId="2" applyNumberFormat="1" applyFont="1" applyFill="1" applyBorder="1" applyAlignment="1">
      <alignment horizontal="center"/>
    </xf>
    <xf numFmtId="177" fontId="0" fillId="4" borderId="3" xfId="1" applyNumberFormat="1" applyFont="1" applyFill="1" applyBorder="1" applyAlignment="1" applyProtection="1">
      <alignment horizontal="center"/>
    </xf>
    <xf numFmtId="0" fontId="6" fillId="3" borderId="0" xfId="0" applyFont="1" applyFill="1" applyAlignment="1">
      <alignment horizontal="center" vertical="center"/>
    </xf>
    <xf numFmtId="171" fontId="0" fillId="4" borderId="3" xfId="2" applyNumberFormat="1" applyFont="1" applyFill="1" applyBorder="1"/>
    <xf numFmtId="44" fontId="0" fillId="4" borderId="3" xfId="2" applyFont="1" applyFill="1" applyBorder="1"/>
    <xf numFmtId="0" fontId="6" fillId="3" borderId="49" xfId="0" applyFont="1" applyFill="1" applyBorder="1" applyAlignment="1">
      <alignment horizontal="center"/>
    </xf>
    <xf numFmtId="44" fontId="0" fillId="21" borderId="3" xfId="2" applyFont="1" applyFill="1" applyBorder="1"/>
    <xf numFmtId="177" fontId="0" fillId="0" borderId="0" xfId="1" applyNumberFormat="1" applyFont="1" applyFill="1" applyBorder="1" applyAlignment="1" applyProtection="1">
      <alignment horizontal="center"/>
    </xf>
    <xf numFmtId="185" fontId="0" fillId="0" borderId="0" xfId="0" applyNumberFormat="1"/>
    <xf numFmtId="176" fontId="0" fillId="0" borderId="0" xfId="0" applyNumberFormat="1"/>
    <xf numFmtId="171" fontId="0" fillId="0" borderId="0" xfId="2" applyNumberFormat="1" applyFont="1" applyFill="1" applyBorder="1"/>
    <xf numFmtId="44" fontId="0" fillId="0" borderId="0" xfId="2" applyFont="1" applyFill="1" applyBorder="1"/>
    <xf numFmtId="44" fontId="6" fillId="3" borderId="0" xfId="0" applyNumberFormat="1" applyFont="1" applyFill="1" applyAlignment="1">
      <alignment horizontal="center" vertical="center"/>
    </xf>
    <xf numFmtId="0" fontId="0" fillId="4" borderId="3" xfId="0" applyFill="1" applyBorder="1"/>
    <xf numFmtId="0" fontId="6" fillId="3" borderId="3" xfId="0" applyFont="1" applyFill="1" applyBorder="1" applyAlignment="1">
      <alignment horizontal="center" vertical="center"/>
    </xf>
    <xf numFmtId="44" fontId="6" fillId="3" borderId="3" xfId="0" applyNumberFormat="1" applyFont="1" applyFill="1" applyBorder="1" applyAlignment="1">
      <alignment horizontal="center" vertical="center"/>
    </xf>
    <xf numFmtId="44" fontId="0" fillId="4" borderId="3" xfId="0" applyNumberFormat="1" applyFill="1" applyBorder="1" applyAlignment="1">
      <alignment horizontal="center"/>
    </xf>
    <xf numFmtId="171" fontId="0" fillId="4" borderId="48" xfId="2" applyNumberFormat="1" applyFont="1" applyFill="1" applyBorder="1"/>
    <xf numFmtId="44" fontId="0" fillId="4" borderId="48" xfId="2" applyFont="1" applyFill="1" applyBorder="1"/>
    <xf numFmtId="171" fontId="0" fillId="4" borderId="52" xfId="2" applyNumberFormat="1" applyFont="1" applyFill="1" applyBorder="1"/>
    <xf numFmtId="44" fontId="0" fillId="4" borderId="52" xfId="2" applyFont="1" applyFill="1" applyBorder="1"/>
    <xf numFmtId="0" fontId="0" fillId="5" borderId="0" xfId="0" applyFill="1" applyAlignment="1">
      <alignment horizontal="left" indent="2"/>
    </xf>
    <xf numFmtId="0" fontId="6" fillId="0" borderId="3" xfId="0" applyFont="1" applyBorder="1" applyAlignment="1">
      <alignment horizontal="center"/>
    </xf>
    <xf numFmtId="0" fontId="6" fillId="3" borderId="53" xfId="0" applyFont="1" applyFill="1" applyBorder="1" applyAlignment="1">
      <alignment horizontal="center"/>
    </xf>
    <xf numFmtId="0" fontId="6" fillId="3" borderId="11" xfId="0" applyFont="1" applyFill="1" applyBorder="1" applyAlignment="1">
      <alignment horizontal="center"/>
    </xf>
    <xf numFmtId="44" fontId="0" fillId="2" borderId="3" xfId="0" applyNumberFormat="1" applyFill="1" applyBorder="1" applyProtection="1">
      <protection locked="0"/>
    </xf>
    <xf numFmtId="44" fontId="0" fillId="4" borderId="3" xfId="0" applyNumberFormat="1" applyFill="1" applyBorder="1"/>
    <xf numFmtId="177" fontId="0" fillId="4" borderId="3" xfId="0" quotePrefix="1" applyNumberFormat="1" applyFill="1" applyBorder="1"/>
    <xf numFmtId="164" fontId="0" fillId="4" borderId="3" xfId="0" quotePrefix="1" applyNumberFormat="1" applyFill="1" applyBorder="1"/>
    <xf numFmtId="44" fontId="0" fillId="4" borderId="3" xfId="0" quotePrefix="1" applyNumberFormat="1" applyFill="1" applyBorder="1"/>
    <xf numFmtId="177" fontId="0" fillId="4" borderId="3" xfId="0" applyNumberFormat="1" applyFill="1" applyBorder="1"/>
    <xf numFmtId="187" fontId="0" fillId="4" borderId="3" xfId="0" quotePrefix="1" applyNumberFormat="1" applyFill="1" applyBorder="1"/>
    <xf numFmtId="178" fontId="0" fillId="0" borderId="0" xfId="0" applyNumberFormat="1"/>
    <xf numFmtId="0" fontId="28" fillId="3" borderId="0" xfId="0" applyFont="1" applyFill="1" applyAlignment="1">
      <alignment horizontal="center"/>
    </xf>
    <xf numFmtId="44" fontId="0" fillId="21" borderId="3" xfId="2" applyFont="1" applyFill="1" applyBorder="1" applyAlignment="1">
      <alignment horizontal="center"/>
    </xf>
    <xf numFmtId="176" fontId="0" fillId="4" borderId="3" xfId="0" applyNumberFormat="1" applyFill="1" applyBorder="1" applyAlignment="1">
      <alignment horizontal="center"/>
    </xf>
    <xf numFmtId="188" fontId="0" fillId="21" borderId="3" xfId="2" applyNumberFormat="1" applyFont="1" applyFill="1" applyBorder="1" applyAlignment="1">
      <alignment horizontal="center"/>
    </xf>
    <xf numFmtId="185" fontId="0" fillId="22" borderId="3" xfId="0" applyNumberFormat="1" applyFill="1" applyBorder="1" applyAlignment="1">
      <alignment horizontal="center"/>
    </xf>
    <xf numFmtId="176" fontId="0" fillId="22" borderId="3" xfId="0" applyNumberFormat="1" applyFill="1" applyBorder="1" applyAlignment="1">
      <alignment horizontal="center"/>
    </xf>
    <xf numFmtId="185" fontId="0" fillId="4" borderId="3" xfId="0" applyNumberFormat="1" applyFill="1" applyBorder="1" applyAlignment="1">
      <alignment horizontal="center"/>
    </xf>
    <xf numFmtId="1" fontId="0" fillId="4" borderId="3" xfId="0" applyNumberFormat="1" applyFill="1" applyBorder="1" applyAlignment="1">
      <alignment horizontal="center"/>
    </xf>
    <xf numFmtId="172" fontId="0" fillId="9" borderId="24" xfId="1" applyNumberFormat="1" applyFont="1" applyFill="1" applyBorder="1" applyProtection="1"/>
    <xf numFmtId="0" fontId="6" fillId="3" borderId="40" xfId="0" applyFont="1" applyFill="1" applyBorder="1"/>
    <xf numFmtId="44" fontId="0" fillId="9" borderId="20" xfId="2" applyFont="1" applyFill="1" applyBorder="1" applyAlignment="1" applyProtection="1">
      <alignment horizontal="center"/>
    </xf>
    <xf numFmtId="44" fontId="3" fillId="2" borderId="20" xfId="2" applyFont="1" applyFill="1" applyBorder="1" applyProtection="1">
      <protection locked="0"/>
    </xf>
    <xf numFmtId="0" fontId="6" fillId="3" borderId="19" xfId="0" applyFont="1" applyFill="1" applyBorder="1"/>
    <xf numFmtId="176" fontId="0" fillId="9" borderId="20" xfId="1" applyNumberFormat="1" applyFont="1" applyFill="1" applyBorder="1" applyAlignment="1" applyProtection="1">
      <alignment horizontal="center"/>
    </xf>
    <xf numFmtId="44" fontId="0" fillId="9" borderId="20" xfId="2" applyFont="1" applyFill="1" applyBorder="1" applyProtection="1"/>
    <xf numFmtId="44" fontId="3" fillId="9" borderId="22" xfId="2" applyFont="1" applyFill="1" applyBorder="1" applyProtection="1"/>
    <xf numFmtId="0" fontId="29" fillId="3" borderId="21" xfId="0" applyFont="1" applyFill="1" applyBorder="1"/>
    <xf numFmtId="0" fontId="2" fillId="3" borderId="55" xfId="0" applyFont="1" applyFill="1" applyBorder="1"/>
    <xf numFmtId="0" fontId="2" fillId="3" borderId="19" xfId="0" applyFont="1" applyFill="1" applyBorder="1"/>
    <xf numFmtId="44" fontId="3" fillId="3" borderId="41" xfId="2" applyFont="1" applyFill="1" applyBorder="1" applyProtection="1">
      <protection locked="0"/>
    </xf>
    <xf numFmtId="44" fontId="3" fillId="9" borderId="56" xfId="2" applyFont="1" applyFill="1" applyBorder="1" applyProtection="1"/>
    <xf numFmtId="0" fontId="2" fillId="3" borderId="54" xfId="0" applyFont="1" applyFill="1" applyBorder="1" applyAlignment="1">
      <alignment horizontal="center" vertical="center"/>
    </xf>
    <xf numFmtId="0" fontId="29" fillId="3" borderId="12" xfId="0" applyFont="1" applyFill="1" applyBorder="1"/>
    <xf numFmtId="0" fontId="0" fillId="2" borderId="3" xfId="0" applyFill="1" applyBorder="1" applyAlignment="1">
      <alignment horizontal="center"/>
    </xf>
    <xf numFmtId="9" fontId="0" fillId="2" borderId="3" xfId="0" applyNumberFormat="1" applyFill="1" applyBorder="1" applyAlignment="1">
      <alignment horizontal="center"/>
    </xf>
    <xf numFmtId="9" fontId="0" fillId="0" borderId="3" xfId="3" applyFont="1" applyBorder="1" applyAlignment="1">
      <alignment horizontal="center"/>
    </xf>
    <xf numFmtId="189" fontId="0" fillId="2" borderId="3" xfId="0" applyNumberFormat="1" applyFill="1" applyBorder="1" applyProtection="1">
      <protection locked="0"/>
    </xf>
    <xf numFmtId="189" fontId="0" fillId="4" borderId="3" xfId="0" quotePrefix="1" applyNumberFormat="1" applyFill="1" applyBorder="1"/>
    <xf numFmtId="44" fontId="0" fillId="0" borderId="0" xfId="2" applyFont="1" applyFill="1" applyAlignment="1">
      <alignment horizontal="center"/>
    </xf>
    <xf numFmtId="178" fontId="0" fillId="0" borderId="0" xfId="0" applyNumberFormat="1" applyAlignment="1">
      <alignment horizontal="center"/>
    </xf>
    <xf numFmtId="176" fontId="0" fillId="4" borderId="0" xfId="2" applyNumberFormat="1" applyFont="1" applyFill="1" applyAlignment="1" applyProtection="1">
      <alignment horizontal="center"/>
    </xf>
    <xf numFmtId="178" fontId="0" fillId="4" borderId="3" xfId="1" applyNumberFormat="1" applyFont="1" applyFill="1" applyBorder="1" applyProtection="1"/>
    <xf numFmtId="179" fontId="0" fillId="2" borderId="3" xfId="0" applyNumberFormat="1" applyFill="1" applyBorder="1" applyAlignment="1" applyProtection="1">
      <alignment horizontal="center"/>
      <protection locked="0"/>
    </xf>
    <xf numFmtId="179" fontId="0" fillId="9" borderId="3" xfId="0" applyNumberFormat="1" applyFill="1" applyBorder="1" applyAlignment="1" applyProtection="1">
      <alignment horizontal="center"/>
      <protection locked="0"/>
    </xf>
    <xf numFmtId="0" fontId="6" fillId="3" borderId="25" xfId="0" applyFont="1" applyFill="1" applyBorder="1"/>
    <xf numFmtId="44" fontId="3" fillId="9" borderId="24" xfId="2" applyFont="1" applyFill="1" applyBorder="1" applyProtection="1"/>
    <xf numFmtId="0" fontId="6" fillId="3" borderId="27" xfId="0" applyFont="1" applyFill="1" applyBorder="1"/>
    <xf numFmtId="44" fontId="3" fillId="2" borderId="22" xfId="2" applyFont="1" applyFill="1" applyBorder="1" applyProtection="1">
      <protection locked="0"/>
    </xf>
    <xf numFmtId="0" fontId="6" fillId="3" borderId="60" xfId="0" applyFont="1" applyFill="1" applyBorder="1"/>
    <xf numFmtId="44" fontId="9" fillId="2" borderId="24" xfId="2" applyFont="1" applyFill="1" applyBorder="1" applyAlignment="1" applyProtection="1">
      <alignment horizontal="center" vertical="center"/>
      <protection locked="0"/>
    </xf>
    <xf numFmtId="0" fontId="6" fillId="3" borderId="50" xfId="0" applyFont="1" applyFill="1" applyBorder="1"/>
    <xf numFmtId="44" fontId="3" fillId="9" borderId="22" xfId="2" applyFont="1" applyFill="1" applyBorder="1" applyAlignment="1" applyProtection="1">
      <alignment horizontal="center" vertical="center"/>
    </xf>
    <xf numFmtId="0" fontId="6" fillId="3" borderId="62" xfId="0" applyFont="1" applyFill="1" applyBorder="1"/>
    <xf numFmtId="173" fontId="0" fillId="9" borderId="24" xfId="1" applyNumberFormat="1" applyFont="1" applyFill="1" applyBorder="1" applyAlignment="1" applyProtection="1">
      <alignment horizontal="center"/>
    </xf>
    <xf numFmtId="171" fontId="0" fillId="9" borderId="20" xfId="2" applyNumberFormat="1" applyFont="1" applyFill="1" applyBorder="1" applyProtection="1"/>
    <xf numFmtId="186" fontId="3" fillId="2" borderId="20" xfId="2" applyNumberFormat="1" applyFont="1" applyFill="1" applyBorder="1" applyProtection="1">
      <protection locked="0"/>
    </xf>
    <xf numFmtId="0" fontId="0" fillId="4" borderId="24" xfId="0" applyFill="1" applyBorder="1" applyAlignment="1">
      <alignment horizontal="center"/>
    </xf>
    <xf numFmtId="190" fontId="0" fillId="2" borderId="20" xfId="1" applyNumberFormat="1" applyFont="1" applyFill="1" applyBorder="1" applyProtection="1">
      <protection locked="0"/>
    </xf>
    <xf numFmtId="172" fontId="0" fillId="2" borderId="20" xfId="1" applyNumberFormat="1" applyFont="1" applyFill="1" applyBorder="1" applyProtection="1">
      <protection locked="0"/>
    </xf>
    <xf numFmtId="44" fontId="0" fillId="2" borderId="20" xfId="2" applyFont="1" applyFill="1" applyBorder="1" applyProtection="1">
      <protection locked="0"/>
    </xf>
    <xf numFmtId="44" fontId="0" fillId="2" borderId="22" xfId="2" applyFont="1" applyFill="1" applyBorder="1" applyProtection="1">
      <protection locked="0"/>
    </xf>
    <xf numFmtId="44" fontId="0" fillId="5" borderId="48" xfId="2" applyFont="1" applyFill="1" applyBorder="1" applyAlignment="1">
      <alignment horizontal="right" vertical="top" wrapText="1"/>
    </xf>
    <xf numFmtId="44" fontId="0" fillId="5" borderId="52" xfId="2" applyFont="1" applyFill="1" applyBorder="1" applyAlignment="1">
      <alignment horizontal="right" vertical="top" wrapText="1"/>
    </xf>
    <xf numFmtId="179" fontId="8" fillId="8" borderId="3" xfId="0" applyNumberFormat="1" applyFont="1" applyFill="1" applyBorder="1" applyAlignment="1" applyProtection="1">
      <alignment horizontal="center"/>
      <protection locked="0"/>
    </xf>
    <xf numFmtId="191" fontId="0" fillId="21" borderId="3" xfId="0" applyNumberFormat="1" applyFill="1" applyBorder="1" applyAlignment="1">
      <alignment horizontal="center"/>
    </xf>
    <xf numFmtId="0" fontId="6" fillId="3" borderId="49" xfId="0" applyFont="1" applyFill="1" applyBorder="1" applyAlignment="1">
      <alignment horizontal="center" vertical="center"/>
    </xf>
    <xf numFmtId="0" fontId="0" fillId="9" borderId="3" xfId="0" applyFill="1" applyBorder="1" applyAlignment="1">
      <alignment horizontal="center"/>
    </xf>
    <xf numFmtId="177" fontId="0" fillId="2" borderId="3" xfId="0" applyNumberFormat="1" applyFill="1" applyBorder="1" applyProtection="1">
      <protection locked="0"/>
    </xf>
    <xf numFmtId="177" fontId="0" fillId="2" borderId="3" xfId="0" quotePrefix="1" applyNumberFormat="1" applyFill="1" applyBorder="1" applyProtection="1">
      <protection locked="0"/>
    </xf>
    <xf numFmtId="0" fontId="0" fillId="2" borderId="0" xfId="0" applyFill="1" applyAlignment="1">
      <alignment horizontal="center"/>
    </xf>
    <xf numFmtId="0" fontId="0" fillId="5" borderId="3" xfId="0" applyFill="1" applyBorder="1"/>
    <xf numFmtId="0" fontId="6" fillId="5" borderId="0" xfId="0" applyFont="1" applyFill="1" applyAlignment="1">
      <alignment horizontal="center"/>
    </xf>
    <xf numFmtId="0" fontId="3" fillId="9" borderId="15" xfId="0" applyFont="1" applyFill="1" applyBorder="1" applyAlignment="1">
      <alignment horizontal="left" vertical="top" wrapText="1"/>
    </xf>
    <xf numFmtId="0" fontId="3" fillId="9" borderId="25" xfId="0" applyFont="1" applyFill="1" applyBorder="1" applyAlignment="1">
      <alignment horizontal="left" vertical="top" wrapText="1"/>
    </xf>
    <xf numFmtId="0" fontId="3" fillId="9" borderId="16" xfId="0" applyFont="1" applyFill="1" applyBorder="1" applyAlignment="1">
      <alignment horizontal="left" vertical="top" wrapText="1"/>
    </xf>
    <xf numFmtId="0" fontId="3" fillId="9" borderId="26" xfId="0" applyFont="1" applyFill="1" applyBorder="1" applyAlignment="1">
      <alignment horizontal="left" vertical="top" wrapText="1"/>
    </xf>
    <xf numFmtId="0" fontId="3" fillId="9" borderId="27" xfId="0" applyFont="1" applyFill="1" applyBorder="1" applyAlignment="1">
      <alignment horizontal="left" vertical="top" wrapText="1"/>
    </xf>
    <xf numFmtId="0" fontId="3" fillId="9" borderId="28" xfId="0" applyFont="1" applyFill="1" applyBorder="1" applyAlignment="1">
      <alignment horizontal="left" vertical="top" wrapText="1"/>
    </xf>
    <xf numFmtId="0" fontId="3" fillId="0" borderId="0" xfId="0" applyFont="1" applyAlignment="1">
      <alignment horizontal="left"/>
    </xf>
    <xf numFmtId="0" fontId="0" fillId="2" borderId="0" xfId="1" applyNumberFormat="1" applyFont="1" applyFill="1" applyAlignment="1" applyProtection="1">
      <alignment horizontal="left" vertical="top" wrapText="1"/>
      <protection locked="0"/>
    </xf>
    <xf numFmtId="0" fontId="6" fillId="3" borderId="0" xfId="0" applyFont="1" applyFill="1" applyAlignment="1">
      <alignment horizontal="center"/>
    </xf>
    <xf numFmtId="0" fontId="18" fillId="13" borderId="5" xfId="0" applyFont="1" applyFill="1" applyBorder="1" applyAlignment="1">
      <alignment horizontal="center" vertical="center"/>
    </xf>
    <xf numFmtId="0" fontId="18" fillId="13" borderId="0" xfId="0" applyFont="1" applyFill="1" applyAlignment="1">
      <alignment horizontal="center" vertical="center"/>
    </xf>
    <xf numFmtId="0" fontId="17" fillId="3" borderId="44" xfId="0" applyFont="1" applyFill="1" applyBorder="1" applyAlignment="1">
      <alignment horizontal="center" vertical="center"/>
    </xf>
    <xf numFmtId="0" fontId="17" fillId="3" borderId="49" xfId="0" applyFont="1" applyFill="1" applyBorder="1" applyAlignment="1">
      <alignment horizontal="center" vertical="center"/>
    </xf>
    <xf numFmtId="0" fontId="17" fillId="3" borderId="48" xfId="0" applyFont="1" applyFill="1" applyBorder="1" applyAlignment="1">
      <alignment horizontal="center" vertical="center"/>
    </xf>
    <xf numFmtId="0" fontId="18" fillId="13" borderId="44" xfId="0" applyFont="1" applyFill="1" applyBorder="1" applyAlignment="1">
      <alignment horizontal="center" vertical="center"/>
    </xf>
    <xf numFmtId="0" fontId="18" fillId="13" borderId="49" xfId="0" applyFont="1" applyFill="1" applyBorder="1" applyAlignment="1">
      <alignment horizontal="center" vertical="center"/>
    </xf>
    <xf numFmtId="0" fontId="18" fillId="13" borderId="48" xfId="0" applyFont="1" applyFill="1" applyBorder="1" applyAlignment="1">
      <alignment horizontal="center" vertical="center"/>
    </xf>
    <xf numFmtId="0" fontId="6" fillId="3" borderId="8" xfId="0" applyFont="1" applyFill="1" applyBorder="1" applyAlignment="1">
      <alignment horizontal="center" vertical="center"/>
    </xf>
    <xf numFmtId="0" fontId="2" fillId="3" borderId="3" xfId="0" applyFont="1" applyFill="1" applyBorder="1" applyAlignment="1">
      <alignment horizontal="center"/>
    </xf>
    <xf numFmtId="0" fontId="17" fillId="3" borderId="3" xfId="0" applyFont="1" applyFill="1" applyBorder="1" applyAlignment="1">
      <alignment horizontal="center" vertical="center"/>
    </xf>
    <xf numFmtId="0" fontId="6" fillId="3" borderId="3" xfId="0" applyFont="1" applyFill="1" applyBorder="1" applyAlignment="1">
      <alignment horizontal="center"/>
    </xf>
    <xf numFmtId="181" fontId="0" fillId="4" borderId="44" xfId="0" applyNumberFormat="1" applyFill="1" applyBorder="1" applyAlignment="1">
      <alignment horizontal="center" vertical="center"/>
    </xf>
    <xf numFmtId="181" fontId="0" fillId="4" borderId="48" xfId="0" applyNumberFormat="1" applyFill="1" applyBorder="1" applyAlignment="1">
      <alignment horizontal="center" vertical="center"/>
    </xf>
    <xf numFmtId="0" fontId="30" fillId="3" borderId="57" xfId="0" applyFont="1" applyFill="1" applyBorder="1" applyAlignment="1">
      <alignment horizontal="center" vertical="center" textRotation="90"/>
    </xf>
    <xf numFmtId="0" fontId="30" fillId="3" borderId="58" xfId="0" applyFont="1" applyFill="1" applyBorder="1" applyAlignment="1">
      <alignment horizontal="center" vertical="center" textRotation="90"/>
    </xf>
    <xf numFmtId="0" fontId="30" fillId="3" borderId="59" xfId="0" applyFont="1" applyFill="1" applyBorder="1" applyAlignment="1">
      <alignment horizontal="center" vertical="center" textRotation="90"/>
    </xf>
    <xf numFmtId="0" fontId="31" fillId="3" borderId="15" xfId="0" applyFont="1" applyFill="1" applyBorder="1" applyAlignment="1">
      <alignment horizontal="center" vertical="center"/>
    </xf>
    <xf numFmtId="0" fontId="32" fillId="3" borderId="26" xfId="0" applyFont="1" applyFill="1" applyBorder="1" applyAlignment="1">
      <alignment horizontal="center" vertical="center"/>
    </xf>
    <xf numFmtId="0" fontId="17" fillId="3" borderId="23" xfId="0" applyFont="1" applyFill="1" applyBorder="1" applyAlignment="1">
      <alignment horizontal="center" vertical="center"/>
    </xf>
    <xf numFmtId="0" fontId="17" fillId="3" borderId="19" xfId="0" applyFont="1" applyFill="1" applyBorder="1" applyAlignment="1">
      <alignment horizontal="center" vertical="center"/>
    </xf>
    <xf numFmtId="0" fontId="17" fillId="3" borderId="21" xfId="0" applyFont="1" applyFill="1" applyBorder="1" applyAlignment="1">
      <alignment horizontal="center" vertical="center"/>
    </xf>
    <xf numFmtId="0" fontId="17" fillId="3" borderId="61" xfId="0" applyFont="1" applyFill="1" applyBorder="1" applyAlignment="1">
      <alignment horizontal="center" vertical="center"/>
    </xf>
    <xf numFmtId="0" fontId="17" fillId="3" borderId="63" xfId="0" applyFont="1" applyFill="1" applyBorder="1" applyAlignment="1">
      <alignment horizontal="center" vertical="center"/>
    </xf>
    <xf numFmtId="0" fontId="17" fillId="3" borderId="64" xfId="0" applyFont="1" applyFill="1" applyBorder="1" applyAlignment="1">
      <alignment horizontal="center" vertical="center"/>
    </xf>
    <xf numFmtId="0" fontId="31" fillId="3" borderId="61" xfId="0" applyFont="1" applyFill="1" applyBorder="1" applyAlignment="1">
      <alignment horizontal="center" vertical="center"/>
    </xf>
    <xf numFmtId="0" fontId="32" fillId="3" borderId="64" xfId="0" applyFont="1" applyFill="1" applyBorder="1" applyAlignment="1">
      <alignment horizontal="center" vertical="center"/>
    </xf>
    <xf numFmtId="0" fontId="0" fillId="5" borderId="0" xfId="0" applyFill="1" applyAlignment="1">
      <alignment horizontal="center"/>
    </xf>
    <xf numFmtId="0" fontId="6" fillId="11" borderId="3" xfId="0" applyFont="1" applyFill="1" applyBorder="1" applyAlignment="1">
      <alignment horizontal="center" vertical="center" wrapText="1"/>
    </xf>
    <xf numFmtId="0" fontId="0" fillId="5" borderId="3" xfId="0" applyFill="1" applyBorder="1" applyAlignment="1">
      <alignment horizontal="left" vertical="top" wrapText="1"/>
    </xf>
    <xf numFmtId="0" fontId="6" fillId="11" borderId="10" xfId="0" applyFont="1" applyFill="1" applyBorder="1" applyAlignment="1">
      <alignment horizontal="center" vertical="center" wrapText="1"/>
    </xf>
    <xf numFmtId="0" fontId="6" fillId="11" borderId="11" xfId="0" applyFont="1" applyFill="1" applyBorder="1" applyAlignment="1">
      <alignment horizontal="center" vertical="center" wrapText="1"/>
    </xf>
    <xf numFmtId="0" fontId="0" fillId="5" borderId="0" xfId="0" applyFill="1" applyAlignment="1">
      <alignment horizontal="left" vertical="top" wrapText="1"/>
    </xf>
    <xf numFmtId="0" fontId="0" fillId="5" borderId="0" xfId="0" applyFill="1" applyAlignment="1">
      <alignment horizontal="left" vertical="top"/>
    </xf>
    <xf numFmtId="0" fontId="0" fillId="5" borderId="9" xfId="0" applyFill="1" applyBorder="1" applyAlignment="1">
      <alignment horizontal="left" vertical="top" wrapText="1"/>
    </xf>
    <xf numFmtId="0" fontId="0" fillId="5" borderId="14" xfId="0" applyFill="1" applyBorder="1" applyAlignment="1">
      <alignment horizontal="left" vertical="top" wrapText="1"/>
    </xf>
    <xf numFmtId="10" fontId="9" fillId="5" borderId="3" xfId="3" applyNumberFormat="1" applyFont="1" applyFill="1" applyBorder="1" applyAlignment="1">
      <alignment horizontal="center" vertical="center" wrapText="1"/>
    </xf>
    <xf numFmtId="0" fontId="6" fillId="11" borderId="44" xfId="0" applyFont="1" applyFill="1" applyBorder="1" applyAlignment="1">
      <alignment horizontal="center" vertical="center" wrapText="1"/>
    </xf>
    <xf numFmtId="0" fontId="14" fillId="11" borderId="3" xfId="0" applyFont="1" applyFill="1" applyBorder="1" applyAlignment="1">
      <alignment horizontal="center" vertical="center" wrapText="1"/>
    </xf>
    <xf numFmtId="0" fontId="22" fillId="5" borderId="3" xfId="0" applyFont="1" applyFill="1" applyBorder="1" applyAlignment="1">
      <alignment horizontal="left" vertical="top" wrapText="1"/>
    </xf>
    <xf numFmtId="0" fontId="0" fillId="5" borderId="10" xfId="0" applyFill="1" applyBorder="1" applyAlignment="1">
      <alignment horizontal="left" vertical="center" wrapText="1"/>
    </xf>
    <xf numFmtId="0" fontId="0" fillId="5" borderId="11" xfId="0" applyFill="1" applyBorder="1" applyAlignment="1">
      <alignment horizontal="left" vertical="center" wrapText="1"/>
    </xf>
    <xf numFmtId="0" fontId="0" fillId="5" borderId="7" xfId="0" applyFill="1" applyBorder="1" applyAlignment="1">
      <alignment horizontal="left" wrapText="1"/>
    </xf>
    <xf numFmtId="0" fontId="0" fillId="5" borderId="8" xfId="0" applyFill="1" applyBorder="1" applyAlignment="1">
      <alignment horizontal="left" wrapText="1"/>
    </xf>
    <xf numFmtId="0" fontId="0" fillId="5" borderId="12" xfId="0" applyFill="1" applyBorder="1" applyAlignment="1">
      <alignment horizontal="left" vertical="top" wrapText="1"/>
    </xf>
    <xf numFmtId="0" fontId="0" fillId="5" borderId="13" xfId="0" applyFill="1" applyBorder="1" applyAlignment="1">
      <alignment horizontal="left" vertical="top" wrapText="1"/>
    </xf>
    <xf numFmtId="9" fontId="5" fillId="3" borderId="23" xfId="3" applyFont="1" applyFill="1" applyBorder="1" applyAlignment="1">
      <alignment horizontal="center" vertical="top" wrapText="1"/>
    </xf>
    <xf numFmtId="9" fontId="5" fillId="3" borderId="24" xfId="3" applyFont="1" applyFill="1" applyBorder="1" applyAlignment="1">
      <alignment horizontal="center" vertical="top" wrapText="1"/>
    </xf>
    <xf numFmtId="0" fontId="5" fillId="3" borderId="12" xfId="0" applyFont="1" applyFill="1" applyBorder="1" applyAlignment="1">
      <alignment horizontal="center"/>
    </xf>
    <xf numFmtId="0" fontId="5" fillId="3" borderId="13" xfId="0" applyFont="1" applyFill="1" applyBorder="1" applyAlignment="1">
      <alignment horizontal="center"/>
    </xf>
    <xf numFmtId="0" fontId="5" fillId="3" borderId="15" xfId="0" applyFont="1" applyFill="1" applyBorder="1" applyAlignment="1">
      <alignment horizontal="center"/>
    </xf>
    <xf numFmtId="0" fontId="5" fillId="3" borderId="16" xfId="0" applyFont="1" applyFill="1" applyBorder="1" applyAlignment="1">
      <alignment horizontal="center"/>
    </xf>
    <xf numFmtId="0" fontId="6" fillId="3" borderId="0" xfId="0" applyFont="1" applyFill="1" applyAlignment="1">
      <alignment horizontal="left"/>
    </xf>
    <xf numFmtId="44" fontId="0" fillId="4" borderId="3" xfId="2" applyFont="1" applyFill="1" applyBorder="1" applyAlignment="1">
      <alignment horizontal="center"/>
    </xf>
    <xf numFmtId="176" fontId="0" fillId="4" borderId="3" xfId="0" applyNumberFormat="1" applyFill="1" applyBorder="1" applyAlignment="1">
      <alignment horizontal="center"/>
    </xf>
    <xf numFmtId="0" fontId="0" fillId="4" borderId="3" xfId="0" applyFill="1" applyBorder="1" applyAlignment="1">
      <alignment horizontal="center"/>
    </xf>
    <xf numFmtId="180" fontId="0" fillId="4" borderId="3" xfId="0" applyNumberFormat="1" applyFill="1" applyBorder="1" applyAlignment="1">
      <alignment horizontal="center"/>
    </xf>
    <xf numFmtId="185" fontId="0" fillId="4" borderId="3" xfId="0" applyNumberFormat="1" applyFill="1" applyBorder="1" applyAlignment="1">
      <alignment horizontal="center"/>
    </xf>
    <xf numFmtId="188" fontId="0" fillId="19" borderId="3" xfId="0" applyNumberFormat="1" applyFill="1" applyBorder="1" applyAlignment="1" applyProtection="1">
      <alignment horizontal="center"/>
      <protection locked="0"/>
    </xf>
    <xf numFmtId="0" fontId="25" fillId="11" borderId="3" xfId="0" applyFont="1" applyFill="1" applyBorder="1" applyAlignment="1">
      <alignment horizontal="center" vertical="center" wrapText="1"/>
    </xf>
    <xf numFmtId="0" fontId="27" fillId="5" borderId="0" xfId="0" applyFont="1" applyFill="1" applyAlignment="1">
      <alignment horizontal="center"/>
    </xf>
    <xf numFmtId="0" fontId="0" fillId="5" borderId="10" xfId="0" quotePrefix="1" applyFill="1" applyBorder="1" applyAlignment="1">
      <alignment horizontal="left" vertical="top" wrapText="1"/>
    </xf>
    <xf numFmtId="0" fontId="0" fillId="5" borderId="11" xfId="0" applyFill="1" applyBorder="1" applyAlignment="1">
      <alignment horizontal="left" vertical="top" wrapText="1"/>
    </xf>
    <xf numFmtId="0" fontId="0" fillId="5" borderId="10" xfId="0" applyFill="1" applyBorder="1" applyAlignment="1">
      <alignment horizontal="left" vertical="top" wrapText="1"/>
    </xf>
    <xf numFmtId="0" fontId="2" fillId="3" borderId="0" xfId="0" applyFont="1" applyFill="1" applyAlignment="1">
      <alignment horizontal="center"/>
    </xf>
    <xf numFmtId="0" fontId="6" fillId="6" borderId="3" xfId="0" applyFont="1" applyFill="1" applyBorder="1" applyAlignment="1">
      <alignment horizontal="center"/>
    </xf>
    <xf numFmtId="0" fontId="2" fillId="3" borderId="10" xfId="0" applyFont="1" applyFill="1" applyBorder="1" applyAlignment="1">
      <alignment horizontal="center"/>
    </xf>
    <xf numFmtId="0" fontId="2" fillId="3" borderId="11" xfId="0" applyFont="1" applyFill="1" applyBorder="1" applyAlignment="1">
      <alignment horizontal="center"/>
    </xf>
    <xf numFmtId="0" fontId="7" fillId="6" borderId="4" xfId="0" applyFont="1" applyFill="1" applyBorder="1" applyAlignment="1">
      <alignment horizontal="center" vertical="center"/>
    </xf>
    <xf numFmtId="0" fontId="7" fillId="6" borderId="5" xfId="0" applyFont="1" applyFill="1" applyBorder="1" applyAlignment="1">
      <alignment horizontal="center" vertical="center"/>
    </xf>
    <xf numFmtId="0" fontId="7" fillId="6" borderId="6" xfId="0" applyFont="1" applyFill="1" applyBorder="1" applyAlignment="1">
      <alignment horizontal="center" vertical="center"/>
    </xf>
    <xf numFmtId="0" fontId="7" fillId="6" borderId="9" xfId="0" applyFont="1" applyFill="1" applyBorder="1" applyAlignment="1">
      <alignment horizontal="center" vertical="center"/>
    </xf>
    <xf numFmtId="0" fontId="7" fillId="6" borderId="1" xfId="0" applyFont="1" applyFill="1" applyBorder="1" applyAlignment="1">
      <alignment horizontal="center" vertical="center"/>
    </xf>
    <xf numFmtId="0" fontId="7" fillId="6" borderId="14" xfId="0" applyFont="1" applyFill="1" applyBorder="1" applyAlignment="1">
      <alignment horizontal="center" vertical="center"/>
    </xf>
    <xf numFmtId="0" fontId="6" fillId="3" borderId="0" xfId="0" applyFont="1" applyFill="1" applyAlignment="1">
      <alignment horizontal="center" wrapText="1"/>
    </xf>
    <xf numFmtId="0" fontId="6" fillId="3" borderId="1" xfId="0" applyFont="1" applyFill="1" applyBorder="1" applyAlignment="1">
      <alignment horizontal="center" wrapText="1"/>
    </xf>
    <xf numFmtId="0" fontId="6" fillId="3" borderId="1" xfId="0" applyFont="1" applyFill="1" applyBorder="1" applyAlignment="1">
      <alignment horizontal="center"/>
    </xf>
    <xf numFmtId="0" fontId="2" fillId="12" borderId="15" xfId="0" applyFont="1" applyFill="1" applyBorder="1" applyAlignment="1">
      <alignment horizontal="center"/>
    </xf>
    <xf numFmtId="0" fontId="2" fillId="12" borderId="25" xfId="0" applyFont="1" applyFill="1" applyBorder="1" applyAlignment="1">
      <alignment horizontal="center"/>
    </xf>
    <xf numFmtId="0" fontId="2" fillId="12" borderId="16" xfId="0" applyFont="1" applyFill="1" applyBorder="1" applyAlignment="1">
      <alignment horizontal="center"/>
    </xf>
    <xf numFmtId="0" fontId="6" fillId="12" borderId="40" xfId="0" applyFont="1" applyFill="1" applyBorder="1" applyAlignment="1">
      <alignment horizontal="center"/>
    </xf>
    <xf numFmtId="0" fontId="6" fillId="12" borderId="0" xfId="0" applyFont="1" applyFill="1" applyAlignment="1">
      <alignment horizontal="center"/>
    </xf>
    <xf numFmtId="0" fontId="6" fillId="12" borderId="41" xfId="0" applyFont="1" applyFill="1" applyBorder="1" applyAlignment="1">
      <alignment horizontal="center"/>
    </xf>
    <xf numFmtId="0" fontId="2" fillId="12" borderId="15" xfId="0" applyFont="1" applyFill="1" applyBorder="1" applyAlignment="1">
      <alignment horizontal="center" vertical="center" textRotation="90"/>
    </xf>
    <xf numFmtId="0" fontId="2" fillId="12" borderId="40" xfId="0" applyFont="1" applyFill="1" applyBorder="1" applyAlignment="1">
      <alignment horizontal="center" vertical="center" textRotation="90"/>
    </xf>
    <xf numFmtId="0" fontId="2" fillId="12" borderId="26" xfId="0" applyFont="1" applyFill="1" applyBorder="1" applyAlignment="1">
      <alignment horizontal="center" vertical="center" textRotation="90"/>
    </xf>
    <xf numFmtId="43" fontId="0" fillId="4" borderId="3" xfId="1" applyFont="1" applyFill="1" applyBorder="1" applyAlignment="1" applyProtection="1">
      <alignment horizontal="center"/>
    </xf>
    <xf numFmtId="0" fontId="0" fillId="0" borderId="0" xfId="0" applyAlignment="1">
      <alignment horizontal="center"/>
    </xf>
  </cellXfs>
  <cellStyles count="4">
    <cellStyle name="Comma" xfId="1" builtinId="3"/>
    <cellStyle name="Currency" xfId="2" builtinId="4"/>
    <cellStyle name="Normal" xfId="0" builtinId="0"/>
    <cellStyle name="Percent" xfId="3" builtinId="5"/>
  </cellStyles>
  <dxfs count="22">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1"/>
      </font>
      <fill>
        <patternFill>
          <fgColor theme="1"/>
          <bgColor theme="1"/>
        </patternFill>
      </fill>
    </dxf>
    <dxf>
      <font>
        <color theme="0" tint="-0.14996795556505021"/>
      </font>
      <fill>
        <patternFill>
          <bgColor theme="0" tint="-0.14996795556505021"/>
        </patternFill>
      </fill>
    </dxf>
    <dxf>
      <font>
        <color theme="0"/>
      </font>
      <fill>
        <patternFill>
          <bgColor theme="0"/>
        </patternFill>
      </fill>
    </dxf>
    <dxf>
      <font>
        <color theme="0" tint="-0.14996795556505021"/>
      </font>
      <fill>
        <patternFill>
          <bgColor theme="0" tint="-0.14996795556505021"/>
        </patternFill>
      </fill>
    </dxf>
  </dxfs>
  <tableStyles count="0" defaultTableStyle="TableStyleMedium2" defaultPivotStyle="PivotStyleLight16"/>
  <colors>
    <mruColors>
      <color rgb="FF173A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0</xdr:col>
          <xdr:colOff>1536700</xdr:colOff>
          <xdr:row>1</xdr:row>
          <xdr:rowOff>190500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Nueva Cotización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25400</xdr:colOff>
          <xdr:row>9</xdr:row>
          <xdr:rowOff>25400</xdr:rowOff>
        </xdr:from>
        <xdr:to>
          <xdr:col>3</xdr:col>
          <xdr:colOff>825500</xdr:colOff>
          <xdr:row>11</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3</xdr:row>
          <xdr:rowOff>25400</xdr:rowOff>
        </xdr:from>
        <xdr:to>
          <xdr:col>3</xdr:col>
          <xdr:colOff>825500</xdr:colOff>
          <xdr:row>5</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15</xdr:row>
          <xdr:rowOff>25400</xdr:rowOff>
        </xdr:from>
        <xdr:to>
          <xdr:col>3</xdr:col>
          <xdr:colOff>812800</xdr:colOff>
          <xdr:row>17</xdr:row>
          <xdr:rowOff>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21</xdr:row>
          <xdr:rowOff>12700</xdr:rowOff>
        </xdr:from>
        <xdr:to>
          <xdr:col>3</xdr:col>
          <xdr:colOff>825500</xdr:colOff>
          <xdr:row>22</xdr:row>
          <xdr:rowOff>190500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25400</xdr:rowOff>
        </xdr:from>
        <xdr:to>
          <xdr:col>4</xdr:col>
          <xdr:colOff>0</xdr:colOff>
          <xdr:row>29</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33</xdr:row>
          <xdr:rowOff>12700</xdr:rowOff>
        </xdr:from>
        <xdr:to>
          <xdr:col>3</xdr:col>
          <xdr:colOff>825500</xdr:colOff>
          <xdr:row>34</xdr:row>
          <xdr:rowOff>190500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300-000007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39</xdr:row>
          <xdr:rowOff>12700</xdr:rowOff>
        </xdr:from>
        <xdr:to>
          <xdr:col>3</xdr:col>
          <xdr:colOff>825500</xdr:colOff>
          <xdr:row>40</xdr:row>
          <xdr:rowOff>190500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45</xdr:row>
          <xdr:rowOff>25400</xdr:rowOff>
        </xdr:from>
        <xdr:to>
          <xdr:col>4</xdr:col>
          <xdr:colOff>0</xdr:colOff>
          <xdr:row>47</xdr:row>
          <xdr:rowOff>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300-00000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51</xdr:row>
          <xdr:rowOff>25400</xdr:rowOff>
        </xdr:from>
        <xdr:to>
          <xdr:col>3</xdr:col>
          <xdr:colOff>812800</xdr:colOff>
          <xdr:row>53</xdr:row>
          <xdr:rowOff>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300-00000A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57</xdr:row>
          <xdr:rowOff>25400</xdr:rowOff>
        </xdr:from>
        <xdr:to>
          <xdr:col>3</xdr:col>
          <xdr:colOff>825500</xdr:colOff>
          <xdr:row>59</xdr:row>
          <xdr:rowOff>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300-00000B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63</xdr:row>
          <xdr:rowOff>25400</xdr:rowOff>
        </xdr:from>
        <xdr:to>
          <xdr:col>3</xdr:col>
          <xdr:colOff>825500</xdr:colOff>
          <xdr:row>65</xdr:row>
          <xdr:rowOff>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300-00000C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&lt;- 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73</xdr:row>
          <xdr:rowOff>0</xdr:rowOff>
        </xdr:from>
        <xdr:to>
          <xdr:col>4</xdr:col>
          <xdr:colOff>0</xdr:colOff>
          <xdr:row>75</xdr:row>
          <xdr:rowOff>12700</xdr:rowOff>
        </xdr:to>
        <xdr:sp macro="" textlink="">
          <xdr:nvSpPr>
            <xdr:cNvPr id="9229" name="Button 13" descr="Copiar &#10;" hidden="1">
              <a:extLst>
                <a:ext uri="{63B3BB69-23CF-44E3-9099-C40C66FF867C}">
                  <a14:compatExt spid="_x0000_s9229"/>
                </a:ext>
                <a:ext uri="{FF2B5EF4-FFF2-40B4-BE49-F238E27FC236}">
                  <a16:creationId xmlns:a16="http://schemas.microsoft.com/office/drawing/2014/main" id="{00000000-0008-0000-0300-00000D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77</xdr:row>
          <xdr:rowOff>25400</xdr:rowOff>
        </xdr:from>
        <xdr:to>
          <xdr:col>3</xdr:col>
          <xdr:colOff>812800</xdr:colOff>
          <xdr:row>79</xdr:row>
          <xdr:rowOff>38100</xdr:rowOff>
        </xdr:to>
        <xdr:sp macro="" textlink="">
          <xdr:nvSpPr>
            <xdr:cNvPr id="9230" name="Button 14" descr="Copiar &#10;"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81</xdr:row>
          <xdr:rowOff>12700</xdr:rowOff>
        </xdr:from>
        <xdr:to>
          <xdr:col>3</xdr:col>
          <xdr:colOff>812800</xdr:colOff>
          <xdr:row>83</xdr:row>
          <xdr:rowOff>25400</xdr:rowOff>
        </xdr:to>
        <xdr:sp macro="" textlink="">
          <xdr:nvSpPr>
            <xdr:cNvPr id="9231" name="Button 15" descr="Copiar &#10;" hidden="1">
              <a:extLst>
                <a:ext uri="{63B3BB69-23CF-44E3-9099-C40C66FF867C}">
                  <a14:compatExt spid="_x0000_s9231"/>
                </a:ext>
                <a:ext uri="{FF2B5EF4-FFF2-40B4-BE49-F238E27FC236}">
                  <a16:creationId xmlns:a16="http://schemas.microsoft.com/office/drawing/2014/main" id="{00000000-0008-0000-0300-00000F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Copiar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66</xdr:row>
          <xdr:rowOff>0</xdr:rowOff>
        </xdr:from>
        <xdr:to>
          <xdr:col>3</xdr:col>
          <xdr:colOff>825500</xdr:colOff>
          <xdr:row>68</xdr:row>
          <xdr:rowOff>0</xdr:rowOff>
        </xdr:to>
        <xdr:sp macro="" textlink="">
          <xdr:nvSpPr>
            <xdr:cNvPr id="9241" name="Button 25" descr="Copiar &#10;"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Copiar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87354</xdr:colOff>
      <xdr:row>0</xdr:row>
      <xdr:rowOff>26880</xdr:rowOff>
    </xdr:from>
    <xdr:to>
      <xdr:col>3</xdr:col>
      <xdr:colOff>20158</xdr:colOff>
      <xdr:row>1</xdr:row>
      <xdr:rowOff>18881</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87354" y="26880"/>
          <a:ext cx="6040899" cy="224305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12700</xdr:colOff>
      <xdr:row>0</xdr:row>
      <xdr:rowOff>1</xdr:rowOff>
    </xdr:from>
    <xdr:to>
      <xdr:col>2</xdr:col>
      <xdr:colOff>2933277</xdr:colOff>
      <xdr:row>0</xdr:row>
      <xdr:rowOff>2171700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9230"/>
        <a:stretch/>
      </xdr:blipFill>
      <xdr:spPr>
        <a:xfrm>
          <a:off x="241300" y="1"/>
          <a:ext cx="5727700" cy="217169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0</xdr:row>
          <xdr:rowOff>38100</xdr:rowOff>
        </xdr:from>
        <xdr:to>
          <xdr:col>2</xdr:col>
          <xdr:colOff>812800</xdr:colOff>
          <xdr:row>14</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6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Pre-llenar</a:t>
              </a:r>
            </a:p>
            <a:p>
              <a:pPr algn="ctr" rtl="0">
                <a:defRPr sz="1000"/>
              </a:pPr>
              <a:endParaRPr lang="en-US" sz="1200" b="0" i="0" u="none" strike="noStrike" baseline="0">
                <a:solidFill>
                  <a:srgbClr val="000000"/>
                </a:solidFill>
                <a:latin typeface="Aptos Narrow" charset="0"/>
              </a:endParaRPr>
            </a:p>
            <a:p>
              <a:pPr algn="ctr" rtl="0">
                <a:defRPr sz="1000"/>
              </a:pPr>
              <a:endParaRPr lang="en-US" sz="1200" b="0" i="0" u="none" strike="noStrike" baseline="0">
                <a:solidFill>
                  <a:srgbClr val="000000"/>
                </a:solidFill>
                <a:latin typeface="Aptos Narrow" charset="0"/>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87354</xdr:colOff>
      <xdr:row>0</xdr:row>
      <xdr:rowOff>26880</xdr:rowOff>
    </xdr:from>
    <xdr:to>
      <xdr:col>3</xdr:col>
      <xdr:colOff>55512</xdr:colOff>
      <xdr:row>2</xdr:row>
      <xdr:rowOff>19539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87354" y="26880"/>
          <a:ext cx="6259543" cy="224935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windmargroup.sharepoint.com/sites/WindmarCommercial/Shared%20Documents/Oportunidades/Puerto%20Rico/Flujo%20standard/Puerto%20Rico%20Supplies/Otros%20Documentos/ROI%20Calculator%20PR%20(PR%20Supplies%20v%202.1%20-%202x%20Megapacks%20-%20$8M).xlsx" TargetMode="External"/><Relationship Id="rId2" Type="http://schemas.microsoft.com/office/2019/04/relationships/externalLinkLongPath" Target="/sites/WindmarCommercial/Shared%20Documents/Oportunidades/Puerto%20Rico/Flujo%20standard/Puerto%20Rico%20Supplies/Otros%20Documentos/ROI%20Calculator%20PR%20(PR%20Supplies%20v%202.1%20-%202x%20Megapacks%20-%20$8M).xlsx?31AE3583" TargetMode="External"/><Relationship Id="rId1" Type="http://schemas.openxmlformats.org/officeDocument/2006/relationships/externalLinkPath" Target="file:///31AE3583/ROI%20Calculator%20PR%20(PR%20Supplies%20v%202.1%20-%202x%20Megapacks%20-%20$8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Dashboard"/>
      <sheetName val="Cost assumptions"/>
      <sheetName val="ROI calculations"/>
      <sheetName val="Sum of all systems"/>
      <sheetName val="Cash Flows"/>
      <sheetName val="Scratch pad"/>
      <sheetName val="PowerPoint"/>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ctrlProp" Target="../ctrlProps/ctrlProp2.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vmlDrawing" Target="../drawings/vmlDrawing2.vml"/><Relationship Id="rId16" Type="http://schemas.openxmlformats.org/officeDocument/2006/relationships/ctrlProp" Target="../ctrlProps/ctrlProp15.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73450-1997-F444-9375-6579DA2CA96F}">
  <sheetPr codeName="Sheet1"/>
  <dimension ref="A1:E75"/>
  <sheetViews>
    <sheetView topLeftCell="A10" zoomScale="150" zoomScaleNormal="150" workbookViewId="0">
      <selection activeCell="C23" sqref="C23"/>
    </sheetView>
  </sheetViews>
  <sheetFormatPr baseColWidth="10" defaultColWidth="10.83203125" defaultRowHeight="16" x14ac:dyDescent="0.2"/>
  <cols>
    <col min="1" max="1" width="55.33203125" style="1" customWidth="1"/>
    <col min="2" max="2" width="3.6640625" style="1" customWidth="1"/>
    <col min="3" max="3" width="42" style="1" customWidth="1"/>
    <col min="4" max="4" width="4" style="1" customWidth="1"/>
    <col min="5" max="5" width="26.1640625" style="1" customWidth="1"/>
    <col min="6" max="6" width="30.83203125" style="1" customWidth="1"/>
    <col min="7" max="17" width="13.33203125" style="1" customWidth="1"/>
    <col min="18" max="16384" width="10.83203125" style="1"/>
  </cols>
  <sheetData>
    <row r="1" spans="1:4" x14ac:dyDescent="0.2">
      <c r="A1" s="56"/>
      <c r="B1" s="401" t="s">
        <v>0</v>
      </c>
      <c r="C1" s="402"/>
      <c r="D1" s="403"/>
    </row>
    <row r="2" spans="1:4" ht="91" customHeight="1" thickBot="1" x14ac:dyDescent="0.25">
      <c r="A2" s="56"/>
      <c r="B2" s="404"/>
      <c r="C2" s="405"/>
      <c r="D2" s="406"/>
    </row>
    <row r="3" spans="1:4" x14ac:dyDescent="0.2">
      <c r="A3" s="31" t="s">
        <v>1</v>
      </c>
      <c r="B3" s="31"/>
      <c r="C3" s="32"/>
      <c r="D3" s="32"/>
    </row>
    <row r="4" spans="1:4" x14ac:dyDescent="0.2">
      <c r="A4" s="1" t="s">
        <v>2</v>
      </c>
      <c r="C4" s="13" t="s">
        <v>3</v>
      </c>
    </row>
    <row r="5" spans="1:4" x14ac:dyDescent="0.2">
      <c r="A5" s="1" t="s">
        <v>4</v>
      </c>
      <c r="C5" s="13" t="s">
        <v>5</v>
      </c>
    </row>
    <row r="6" spans="1:4" x14ac:dyDescent="0.2">
      <c r="A6" s="1" t="s">
        <v>6</v>
      </c>
      <c r="C6" s="13" t="s">
        <v>7</v>
      </c>
    </row>
    <row r="7" spans="1:4" x14ac:dyDescent="0.2">
      <c r="A7" s="1" t="s">
        <v>8</v>
      </c>
      <c r="C7" s="13" t="s">
        <v>9</v>
      </c>
    </row>
    <row r="8" spans="1:4" x14ac:dyDescent="0.2">
      <c r="A8" s="327" t="s">
        <v>10</v>
      </c>
      <c r="C8" s="13"/>
    </row>
    <row r="9" spans="1:4" x14ac:dyDescent="0.2">
      <c r="A9" s="327" t="s">
        <v>11</v>
      </c>
      <c r="C9" s="13"/>
    </row>
    <row r="10" spans="1:4" x14ac:dyDescent="0.2">
      <c r="A10" s="1" t="s">
        <v>12</v>
      </c>
      <c r="C10" s="13" t="s">
        <v>13</v>
      </c>
    </row>
    <row r="11" spans="1:4" x14ac:dyDescent="0.2">
      <c r="C11" s="56"/>
    </row>
    <row r="12" spans="1:4" x14ac:dyDescent="0.2">
      <c r="C12" s="56"/>
    </row>
    <row r="13" spans="1:4" x14ac:dyDescent="0.2">
      <c r="A13" s="31" t="s">
        <v>14</v>
      </c>
      <c r="B13" s="31"/>
      <c r="C13" s="32"/>
      <c r="D13" s="32"/>
    </row>
    <row r="14" spans="1:4" x14ac:dyDescent="0.2">
      <c r="A14" s="1" t="s">
        <v>15</v>
      </c>
      <c r="B14" s="33"/>
      <c r="C14" s="39">
        <f>'Lista de Sistemas'!C87</f>
        <v>65000</v>
      </c>
      <c r="D14" s="34"/>
    </row>
    <row r="15" spans="1:4" x14ac:dyDescent="0.2">
      <c r="A15" s="1" t="s">
        <v>16</v>
      </c>
      <c r="B15" s="33"/>
      <c r="C15" s="39">
        <f>'Lista de Sistemas'!C65</f>
        <v>65000</v>
      </c>
      <c r="D15" s="34"/>
    </row>
    <row r="16" spans="1:4" ht="17" customHeight="1" x14ac:dyDescent="0.2">
      <c r="A16" s="1" t="s">
        <v>17</v>
      </c>
      <c r="B16" s="33"/>
      <c r="C16" s="228">
        <f>'Lista de Sistemas'!C73</f>
        <v>0</v>
      </c>
      <c r="D16" s="34"/>
    </row>
    <row r="17" spans="1:5" ht="17" customHeight="1" x14ac:dyDescent="0.2">
      <c r="A17" s="1" t="s">
        <v>18</v>
      </c>
      <c r="B17" s="33"/>
      <c r="C17" s="229">
        <f>VLOOKUP(C16,Variables!E36:G61,3,FALSE)</f>
        <v>0</v>
      </c>
      <c r="D17" s="34"/>
    </row>
    <row r="18" spans="1:5" ht="17" customHeight="1" x14ac:dyDescent="0.2">
      <c r="A18" s="1" t="s">
        <v>19</v>
      </c>
      <c r="B18" s="33"/>
      <c r="C18" s="229">
        <f>SUM('Lista de Sistemas'!C81, 'Lista de Sistemas'!C77)</f>
        <v>0</v>
      </c>
      <c r="D18" s="34"/>
    </row>
    <row r="19" spans="1:5" ht="17" customHeight="1" x14ac:dyDescent="0.2">
      <c r="A19" s="1" t="s">
        <v>20</v>
      </c>
      <c r="B19" s="33"/>
      <c r="C19" s="229">
        <f>SUM(C17:C18)</f>
        <v>0</v>
      </c>
      <c r="D19" s="34"/>
      <c r="E19" s="2"/>
    </row>
    <row r="20" spans="1:5" x14ac:dyDescent="0.2">
      <c r="A20" s="1" t="s">
        <v>21</v>
      </c>
      <c r="C20" s="13" t="s">
        <v>22</v>
      </c>
      <c r="D20" s="34"/>
    </row>
    <row r="21" spans="1:5" x14ac:dyDescent="0.2">
      <c r="A21" s="1" t="s">
        <v>23</v>
      </c>
      <c r="C21" s="13" t="s">
        <v>9</v>
      </c>
      <c r="D21" s="34"/>
    </row>
    <row r="22" spans="1:5" x14ac:dyDescent="0.2">
      <c r="A22" s="35" t="s">
        <v>24</v>
      </c>
      <c r="B22" s="33"/>
      <c r="C22" s="36" t="str">
        <f>IFERROR(VLOOKUP(C20,Variables!$A$25:$G$30,2,FALSE), "ERROR: Seleccionar Entidad Financiera")</f>
        <v>Préstamo (loan)</v>
      </c>
      <c r="D22" s="34"/>
    </row>
    <row r="23" spans="1:5" x14ac:dyDescent="0.2">
      <c r="A23" s="35" t="s">
        <v>25</v>
      </c>
      <c r="B23" s="33"/>
      <c r="C23" s="36">
        <f>IFERROR(VLOOKUP(C20,Variables!$A$25:$G$30,3,FALSE),"ERROR: Seleccionar Entidad Financiera")</f>
        <v>15</v>
      </c>
      <c r="D23" s="34"/>
    </row>
    <row r="24" spans="1:5" x14ac:dyDescent="0.2">
      <c r="A24" s="35" t="s">
        <v>26</v>
      </c>
      <c r="B24" s="33"/>
      <c r="C24" s="37">
        <f>IFERROR(VLOOKUP(C20,Variables!$A$25:$G$30,6,FALSE), "ERROR: Seleccionar Entidad Financiera")</f>
        <v>0.09</v>
      </c>
      <c r="D24" s="34"/>
      <c r="E24"/>
    </row>
    <row r="25" spans="1:5" x14ac:dyDescent="0.2">
      <c r="A25" s="35" t="s">
        <v>27</v>
      </c>
      <c r="B25" s="33"/>
      <c r="C25" s="36" t="str">
        <f>IFERROR(IF(VLOOKUP($C$10,Variables!$A$36:$B$117, 2,FALSE),VLOOKUP(C22,Variables!$B$25:$H$29,7,FALSE),"No Aplica"),"ERROR: Seleccionar Municipio")</f>
        <v>No Aplica</v>
      </c>
      <c r="D25" s="34"/>
      <c r="E25" s="223"/>
    </row>
    <row r="26" spans="1:5" x14ac:dyDescent="0.2">
      <c r="A26" s="35" t="s">
        <v>28</v>
      </c>
      <c r="B26" s="33"/>
      <c r="C26" s="13" t="s">
        <v>29</v>
      </c>
      <c r="D26" s="34"/>
      <c r="E26" s="223"/>
    </row>
    <row r="27" spans="1:5" x14ac:dyDescent="0.2">
      <c r="A27" s="35" t="s">
        <v>30</v>
      </c>
      <c r="B27" s="33"/>
      <c r="C27" s="38" cm="1">
        <f t="array" ref="C27">IFERROR( IF(C14*Variables!C34 &gt; VLOOKUP(REAP_level,Variables!$I$35:$J$39, 2, FALSE), VLOOKUP(REAP_level,Variables!$I$35:$J$39,2,FALSE), C14*Variables!C34), "ERROR: Seleccionar Municipio")</f>
        <v>0</v>
      </c>
      <c r="D27" s="34"/>
      <c r="E27" s="223"/>
    </row>
    <row r="28" spans="1:5" x14ac:dyDescent="0.2">
      <c r="A28" s="35" t="s">
        <v>31</v>
      </c>
      <c r="B28" s="33"/>
      <c r="C28" s="37">
        <f>IFERROR(VLOOKUP(C20,Variables!$A$25:$G$30,7,FALSE),"ERROR: Seleccionar financiamiento")</f>
        <v>0</v>
      </c>
      <c r="D28" s="34"/>
    </row>
    <row r="29" spans="1:5" x14ac:dyDescent="0.2">
      <c r="A29" s="1" t="s">
        <v>32</v>
      </c>
      <c r="B29" s="33"/>
      <c r="C29" s="38">
        <f>IF(C20=Variables!$A$20, "Ver el contrato comercial de Windmar", IFERROR((C14)*C28,"ERROR: Seleccionar financiamiento"))</f>
        <v>0</v>
      </c>
      <c r="D29" s="34"/>
    </row>
    <row r="30" spans="1:5" x14ac:dyDescent="0.2">
      <c r="A30" s="35" t="s">
        <v>33</v>
      </c>
      <c r="B30" s="33"/>
      <c r="C30" s="38">
        <f>IF(Entidad_Financiera = Variables!A26, (1-0.02)*sys_price, IF(Entidad_Financiera=Variables!A25, "No Aplica", IFERROR((C14-C29),"ERROR: Seleccionar financiamiento")))</f>
        <v>63700</v>
      </c>
      <c r="D30" s="34"/>
    </row>
    <row r="31" spans="1:5" x14ac:dyDescent="0.2">
      <c r="A31" s="35" t="s">
        <v>34</v>
      </c>
      <c r="B31" s="33"/>
      <c r="C31" s="39">
        <f>IFERROR(IF(C21="","ERROR: Cotización de entiedad financiera?", IF(C21 = "NO", VLOOKUP(C22,Variables!$A$18:$B$22,2,FALSE),"")),"ERROR: Ingresar sistemas")</f>
        <v>650</v>
      </c>
      <c r="D31" s="34"/>
      <c r="E31" s="258"/>
    </row>
    <row r="32" spans="1:5" x14ac:dyDescent="0.2">
      <c r="A32" s="35" t="s">
        <v>35</v>
      </c>
      <c r="B32" s="33"/>
      <c r="C32" s="39" t="str">
        <f>IF(C21 = "NO", VLOOKUP(C22,Variables!$A$18:$C$22,3,0),"")</f>
        <v>No Aplica</v>
      </c>
      <c r="D32" s="34"/>
      <c r="E32" s="400"/>
    </row>
    <row r="33" spans="1:5" x14ac:dyDescent="0.2">
      <c r="A33" s="35" t="s">
        <v>36</v>
      </c>
      <c r="B33" s="33"/>
      <c r="C33" s="12"/>
      <c r="D33" s="34"/>
      <c r="E33" s="223"/>
    </row>
    <row r="34" spans="1:5" x14ac:dyDescent="0.2">
      <c r="A34" s="1" t="s">
        <v>37</v>
      </c>
      <c r="C34" s="398" t="s">
        <v>38</v>
      </c>
      <c r="D34" s="34"/>
    </row>
    <row r="35" spans="1:5" x14ac:dyDescent="0.2">
      <c r="A35" s="31" t="s">
        <v>39</v>
      </c>
      <c r="B35" s="31"/>
      <c r="C35" s="41"/>
      <c r="D35" s="32"/>
    </row>
    <row r="36" spans="1:5" x14ac:dyDescent="0.2">
      <c r="A36" s="1" t="s">
        <v>40</v>
      </c>
      <c r="C36" s="42">
        <v>7.4999999999999997E-2</v>
      </c>
      <c r="D36" s="34"/>
    </row>
    <row r="37" spans="1:5" x14ac:dyDescent="0.2">
      <c r="A37" s="1" t="s">
        <v>41</v>
      </c>
      <c r="C37" s="203">
        <f>IF('Lista de Facturas'!B1="Si", SUM('Lista de Facturas'!C123:O123)*12/13, No_info)</f>
        <v>382500</v>
      </c>
      <c r="D37" s="34"/>
    </row>
    <row r="38" spans="1:5" x14ac:dyDescent="0.2">
      <c r="A38" s="1" t="s">
        <v>42</v>
      </c>
      <c r="C38" s="203">
        <f>IF('Lista de Facturas'!B1="Si",C37/365,No_info)</f>
        <v>1047.9452054794519</v>
      </c>
      <c r="D38" s="34"/>
    </row>
    <row r="39" spans="1:5" x14ac:dyDescent="0.2">
      <c r="A39" s="1" t="s">
        <v>43</v>
      </c>
      <c r="C39" s="39">
        <f>IFERROR(IF('Lista de Facturas'!B1="Si",(AVERAGEIF('Lista de Facturas'!C122:O122,"&gt;0")-C41-C42),No_info),"ERROR: Ingresar factura")</f>
        <v>7963.75</v>
      </c>
      <c r="D39" s="34"/>
    </row>
    <row r="40" spans="1:5" x14ac:dyDescent="0.2">
      <c r="A40" s="254" t="s">
        <v>44</v>
      </c>
      <c r="C40" s="52">
        <f>IFERROR((C39*12)/C37,"ERROR: Ingresar factura")</f>
        <v>0.24984313725490195</v>
      </c>
      <c r="D40" s="34"/>
      <c r="E40" s="2"/>
    </row>
    <row r="41" spans="1:5" x14ac:dyDescent="0.2">
      <c r="A41" s="254" t="s">
        <v>45</v>
      </c>
      <c r="C41" s="39">
        <f>IF('Lista de Facturas'!B1="Si",'Lista de Facturas'!C126,No_info)</f>
        <v>5</v>
      </c>
      <c r="D41" s="34"/>
    </row>
    <row r="42" spans="1:5" x14ac:dyDescent="0.2">
      <c r="A42" s="254" t="s">
        <v>46</v>
      </c>
      <c r="C42" s="39">
        <f>IF('Lista de Facturas'!B1="Si",'Lista de Facturas'!C127,No_info)</f>
        <v>0</v>
      </c>
      <c r="D42" s="34"/>
    </row>
    <row r="43" spans="1:5" x14ac:dyDescent="0.2">
      <c r="A43" s="254" t="s">
        <v>47</v>
      </c>
      <c r="C43" s="39">
        <f>IF('Lista de Facturas'!B1="Si",'Lista de Facturas'!C128,No_info)</f>
        <v>0</v>
      </c>
      <c r="D43" s="34"/>
    </row>
    <row r="44" spans="1:5" x14ac:dyDescent="0.2">
      <c r="A44" s="1" t="s">
        <v>48</v>
      </c>
      <c r="C44" s="39">
        <f>SUM(C39:C43)</f>
        <v>7968.9998431372551</v>
      </c>
      <c r="D44" s="34"/>
    </row>
    <row r="45" spans="1:5" x14ac:dyDescent="0.2">
      <c r="C45" s="43"/>
      <c r="D45" s="34"/>
    </row>
    <row r="46" spans="1:5" x14ac:dyDescent="0.2">
      <c r="A46" s="31" t="s">
        <v>49</v>
      </c>
      <c r="B46" s="31"/>
      <c r="C46" s="44"/>
      <c r="D46" s="32"/>
    </row>
    <row r="47" spans="1:5" x14ac:dyDescent="0.2">
      <c r="A47" s="1" t="s">
        <v>50</v>
      </c>
      <c r="C47" s="205">
        <f>Variables!B3</f>
        <v>1530</v>
      </c>
      <c r="D47" s="34"/>
    </row>
    <row r="48" spans="1:5" x14ac:dyDescent="0.2">
      <c r="A48" s="1" t="s">
        <v>51</v>
      </c>
      <c r="C48" s="203">
        <f>SUM('Lista de Facturas'!C123:O123)*12/13</f>
        <v>382500</v>
      </c>
      <c r="D48" s="34"/>
    </row>
    <row r="49" spans="1:5" x14ac:dyDescent="0.2">
      <c r="A49" s="1" t="s">
        <v>52</v>
      </c>
      <c r="C49" s="204">
        <f>IFERROR(C48/C47,0)</f>
        <v>250</v>
      </c>
      <c r="D49" s="34"/>
    </row>
    <row r="50" spans="1:5" x14ac:dyDescent="0.2">
      <c r="D50" s="34"/>
    </row>
    <row r="51" spans="1:5" x14ac:dyDescent="0.2">
      <c r="A51" s="31" t="s">
        <v>53</v>
      </c>
      <c r="B51" s="31"/>
      <c r="C51" s="41"/>
      <c r="D51" s="32"/>
      <c r="E51" s="45"/>
    </row>
    <row r="52" spans="1:5" x14ac:dyDescent="0.2">
      <c r="A52" s="1" t="s">
        <v>54</v>
      </c>
      <c r="C52" s="204">
        <f>'Lista de Sistemas'!C61</f>
        <v>26</v>
      </c>
      <c r="D52" s="34"/>
    </row>
    <row r="53" spans="1:5" x14ac:dyDescent="0.2">
      <c r="A53" s="1" t="s">
        <v>55</v>
      </c>
      <c r="C53" s="369">
        <f>IFERROR(C52*C47, "ERROR: Seleccionar Municipio")</f>
        <v>39780</v>
      </c>
      <c r="D53" s="34"/>
    </row>
    <row r="54" spans="1:5" x14ac:dyDescent="0.2">
      <c r="A54" s="1" t="s">
        <v>56</v>
      </c>
      <c r="C54" s="39">
        <f>IF(sys_size = 0,"ERROR: Ingresar sistemas",C15/(C52*10^3))</f>
        <v>2.5</v>
      </c>
      <c r="D54" s="34"/>
    </row>
    <row r="55" spans="1:5" x14ac:dyDescent="0.2">
      <c r="A55" s="1" t="s">
        <v>57</v>
      </c>
      <c r="C55" s="39">
        <f>IFERROR(IF(AND($C$54&lt;= MAX('Tabla de Precios'!$E$6:$F$6), $C$54 &gt; MIN('Tabla de Precios'!$E$6:$F$6)), 'Tabla de Precios'!$D$6, IF(AND($C$54&lt;=MAX('Tabla de Precios'!$E$7:$F$7),$C$54&gt;MIN('Tabla de Precios'!$E$7:$F$7)),'Tabla de Precios'!$D$7,IF(AND($C$54&lt;=MAX('Tabla de Precios'!$E$8:$F$8),$C$54&gt;MIN('Tabla de Precios'!$E$8:$F$8)),'Tabla de Precios'!$D$8,IF(AND($C$54&lt;=MAX('Tabla de Precios'!$E$9:$F$9),$C$54&gt;MIN('Tabla de Precios'!$E$9:$F$9)),'Tabla de Precios'!$D$9,IF(AND($C$54&lt;= MAX('Tabla de Precios'!$E$4:$F$4), $C$54 &gt; MIN('Tabla de Precios'!$E$4:$F$4)), 'Tabla de Precios'!$D$4, IF(AND($C$54&lt;=MAX('Tabla de Precios'!$E$5:$F$5),$C$54&gt;MIN('Tabla de Precios'!$E$5:$F$5)),'Tabla de Precios'!$D$5,_xlfn.CONCAT("ERROR: EPC debe estar entre: ",TEXT('Tabla de Precios'!D9,"$#,0.00")," y ",TEXT('Tabla de Precios'!D4,"$#,0.00")))))))),"ERROR: Ingresar Capacidad de generación")</f>
        <v>2.5</v>
      </c>
      <c r="D55" s="34"/>
    </row>
    <row r="56" spans="1:5" x14ac:dyDescent="0.2">
      <c r="A56" s="1" t="s">
        <v>58</v>
      </c>
      <c r="C56" s="37">
        <f>IF('Lista de Facturas'!B1="Si",IFERROR(C52/C49,"ERROR: Ingresar factura"), No_info)</f>
        <v>0.104</v>
      </c>
      <c r="D56" s="34"/>
    </row>
    <row r="57" spans="1:5" x14ac:dyDescent="0.2">
      <c r="D57" s="34"/>
    </row>
    <row r="58" spans="1:5" x14ac:dyDescent="0.2">
      <c r="A58" s="31" t="s">
        <v>59</v>
      </c>
      <c r="B58" s="31"/>
      <c r="C58" s="41"/>
      <c r="D58" s="32"/>
    </row>
    <row r="59" spans="1:5" x14ac:dyDescent="0.2">
      <c r="A59" s="1" t="s">
        <v>60</v>
      </c>
      <c r="C59" s="262">
        <f>IF('Lista de Facturas'!B1="No", No_info, IF(C56&gt;=1, 0,(1-C56)*C39))</f>
        <v>7135.52</v>
      </c>
      <c r="D59" s="34"/>
    </row>
    <row r="60" spans="1:5" x14ac:dyDescent="0.2">
      <c r="A60" s="1" t="s">
        <v>61</v>
      </c>
      <c r="C60" s="38">
        <f>C41</f>
        <v>5</v>
      </c>
      <c r="D60" s="34"/>
    </row>
    <row r="61" spans="1:5" x14ac:dyDescent="0.2">
      <c r="A61" s="1" t="s">
        <v>62</v>
      </c>
      <c r="C61" s="38">
        <f>C42</f>
        <v>0</v>
      </c>
      <c r="D61" s="34"/>
      <c r="E61" s="2"/>
    </row>
    <row r="62" spans="1:5" x14ac:dyDescent="0.2">
      <c r="A62" s="1" t="s">
        <v>63</v>
      </c>
      <c r="C62" s="38">
        <f>C43</f>
        <v>0</v>
      </c>
      <c r="D62" s="34"/>
    </row>
    <row r="63" spans="1:5" x14ac:dyDescent="0.2">
      <c r="A63" s="1" t="str">
        <f>_xlfn.CONCAT("Cargos por mantenimiento ( ", C34, ")")</f>
        <v>Cargos por mantenimiento ( STANDARD)</v>
      </c>
      <c r="C63" s="38">
        <f>VLOOKUP(C34,Variables!$I$45:$J$46,2,FALSE)*sys_size/12</f>
        <v>0</v>
      </c>
      <c r="D63" s="34"/>
    </row>
    <row r="64" spans="1:5" x14ac:dyDescent="0.2">
      <c r="A64" s="1" t="s">
        <v>64</v>
      </c>
      <c r="C64" s="53">
        <f>IF('Lista de Facturas'!B1="Si",IFERROR(-IF(C56&gt;1,1,0)*(C48*(C56-1)*C36)/12,"ERROR: Ingresar factura"),No_info)</f>
        <v>0</v>
      </c>
      <c r="D64" s="34"/>
    </row>
    <row r="65" spans="1:4" ht="17" thickBot="1" x14ac:dyDescent="0.25">
      <c r="A65" s="1" t="s">
        <v>65</v>
      </c>
      <c r="C65" s="48">
        <f>IF(SUM(C59:C64)&lt;0,SUM(C60:C63),SUM(C59:C64))</f>
        <v>7140.52</v>
      </c>
      <c r="D65" s="34"/>
    </row>
    <row r="66" spans="1:4" ht="17" thickTop="1" x14ac:dyDescent="0.2">
      <c r="A66" s="1" t="s">
        <v>66</v>
      </c>
      <c r="C66" s="38">
        <f>IF(C21="NO",C31,C33)</f>
        <v>650</v>
      </c>
      <c r="D66" s="34"/>
    </row>
    <row r="67" spans="1:4" x14ac:dyDescent="0.2">
      <c r="A67" s="1" t="s">
        <v>67</v>
      </c>
      <c r="C67" s="38">
        <f>IFERROR(IF('Lista de Facturas'!B1="Si",C66+C65,C66),"ERROR: Ingresar sistemas")</f>
        <v>7790.52</v>
      </c>
      <c r="D67" s="34"/>
    </row>
    <row r="68" spans="1:4" x14ac:dyDescent="0.2">
      <c r="A68" s="1" t="s">
        <v>68</v>
      </c>
      <c r="C68" s="47">
        <f>SUM(C60:C61,C32)</f>
        <v>5</v>
      </c>
      <c r="D68" s="34"/>
    </row>
    <row r="69" spans="1:4" x14ac:dyDescent="0.2">
      <c r="A69" s="1" t="s">
        <v>69</v>
      </c>
      <c r="C69" s="39">
        <f>IFERROR(IF('Lista de Facturas'!B1="Si",C44-C67,No_info),"ERROR: Ingresar sistemas")</f>
        <v>178.47984313725465</v>
      </c>
      <c r="D69" s="34"/>
    </row>
    <row r="70" spans="1:4" x14ac:dyDescent="0.2">
      <c r="A70" s="1" t="s">
        <v>70</v>
      </c>
      <c r="C70" s="54">
        <f>IF('Lista de Facturas'!B1="Si",IFERROR(IF(C69/C44 &lt;=1, C69/C44,1),"ERROR: Ingresar sistemas"),No_info)</f>
        <v>2.2396768308504605E-2</v>
      </c>
      <c r="D70" s="34"/>
    </row>
    <row r="72" spans="1:4" x14ac:dyDescent="0.2">
      <c r="A72" s="31" t="s">
        <v>59</v>
      </c>
      <c r="B72" s="31"/>
      <c r="C72" s="41"/>
      <c r="D72" s="32"/>
    </row>
    <row r="73" spans="1:4" x14ac:dyDescent="0.2">
      <c r="A73" s="407" t="s">
        <v>71</v>
      </c>
      <c r="B73" s="407"/>
      <c r="C73" s="407"/>
      <c r="D73" s="32"/>
    </row>
    <row r="74" spans="1:4" ht="327" customHeight="1" x14ac:dyDescent="0.2">
      <c r="A74" s="408"/>
      <c r="B74" s="408"/>
      <c r="C74" s="408"/>
    </row>
    <row r="75" spans="1:4" x14ac:dyDescent="0.2">
      <c r="A75" s="1" t="s">
        <v>72</v>
      </c>
    </row>
  </sheetData>
  <sheetProtection selectLockedCells="1"/>
  <mergeCells count="3">
    <mergeCell ref="B1:D2"/>
    <mergeCell ref="A73:C73"/>
    <mergeCell ref="A74:C74"/>
  </mergeCells>
  <conditionalFormatting sqref="C8:C9">
    <cfRule type="expression" dxfId="21" priority="3">
      <formula>IF($C$7="NO",TRUE,FALSE)</formula>
    </cfRule>
  </conditionalFormatting>
  <conditionalFormatting sqref="A8:A9">
    <cfRule type="expression" dxfId="20" priority="2">
      <formula>IF($C$7="NO", TRUE, FALSE)</formula>
    </cfRule>
  </conditionalFormatting>
  <conditionalFormatting sqref="C33">
    <cfRule type="expression" dxfId="19" priority="1">
      <formula>IF($C$21="NO",TRUE,FALSE)</formula>
    </cfRule>
  </conditionalFormatting>
  <dataValidations count="1">
    <dataValidation type="list" allowBlank="1" showInputMessage="1" showErrorMessage="1" sqref="C21 C7" xr:uid="{C748F08A-2D8D-B549-AD15-885F06EEA16C}">
      <formula1>"SI, NO"</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dule1.Nueva_Cotizacion">
                <anchor moveWithCells="1" sizeWithCells="1">
                  <from>
                    <xdr:col>0</xdr:col>
                    <xdr:colOff>12700</xdr:colOff>
                    <xdr:row>0</xdr:row>
                    <xdr:rowOff>12700</xdr:rowOff>
                  </from>
                  <to>
                    <xdr:col>0</xdr:col>
                    <xdr:colOff>1536700</xdr:colOff>
                    <xdr:row>1</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1DC979B4-4BCB-E443-B5BC-B75D924DCE48}">
          <x14:formula1>
            <xm:f>Variables!$I$37:$I$38</xm:f>
          </x14:formula1>
          <xm:sqref>C26</xm:sqref>
        </x14:dataValidation>
        <x14:dataValidation type="list" allowBlank="1" showInputMessage="1" showErrorMessage="1" xr:uid="{9B837E5B-4503-A840-AE03-38BFFF2947C7}">
          <x14:formula1>
            <xm:f>Variables!$E$36:$E$61</xm:f>
          </x14:formula1>
          <xm:sqref>C16</xm:sqref>
        </x14:dataValidation>
        <x14:dataValidation type="list" allowBlank="1" showInputMessage="1" showErrorMessage="1" xr:uid="{243182E6-F4B0-6C4E-A630-43FB95015565}">
          <x14:formula1>
            <xm:f>Variables!$A$36:$A$117</xm:f>
          </x14:formula1>
          <xm:sqref>C10</xm:sqref>
        </x14:dataValidation>
        <x14:dataValidation type="decimal" allowBlank="1" showInputMessage="1" showErrorMessage="1" xr:uid="{B8703F9E-AAEC-A243-89F6-7E414336B057}">
          <x14:formula1>
            <xm:f>1</xm:f>
          </x14:formula1>
          <x14:formula2>
            <xm:f>Variables!$K$14</xm:f>
          </x14:formula2>
          <xm:sqref>C11</xm:sqref>
        </x14:dataValidation>
        <x14:dataValidation type="list" allowBlank="1" showInputMessage="1" showErrorMessage="1" xr:uid="{E3A06A90-4765-744B-8AA5-3A6D78C800FC}">
          <x14:formula1>
            <xm:f>Variables!$A$25:$A$30</xm:f>
          </x14:formula1>
          <xm:sqref>C20</xm:sqref>
        </x14:dataValidation>
        <x14:dataValidation type="list" allowBlank="1" showInputMessage="1" showErrorMessage="1" xr:uid="{557247C9-A82F-7144-A031-B2AAC50F3FBE}">
          <x14:formula1>
            <xm:f>Variables!$I$45:$I$46</xm:f>
          </x14:formula1>
          <xm:sqref>C34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9F3A3-78AF-2640-9FF7-BAF8B7025349}">
  <sheetPr codeName="Sheet4"/>
  <dimension ref="A1:Q153"/>
  <sheetViews>
    <sheetView tabSelected="1" zoomScale="134" zoomScaleNormal="134" workbookViewId="0">
      <selection activeCell="F136" sqref="F136"/>
    </sheetView>
  </sheetViews>
  <sheetFormatPr baseColWidth="10" defaultColWidth="11" defaultRowHeight="16" x14ac:dyDescent="0.2"/>
  <cols>
    <col min="1" max="1" width="54.1640625" customWidth="1"/>
    <col min="2" max="2" width="34" customWidth="1"/>
    <col min="3" max="3" width="34.1640625" customWidth="1"/>
    <col min="4" max="4" width="29.6640625" customWidth="1"/>
    <col min="5" max="5" width="36" style="7" customWidth="1"/>
    <col min="6" max="6" width="31.33203125" customWidth="1"/>
    <col min="7" max="7" width="43.5" customWidth="1"/>
    <col min="8" max="10" width="43.83203125" customWidth="1"/>
    <col min="11" max="11" width="37.1640625" customWidth="1"/>
    <col min="12" max="12" width="60.33203125" customWidth="1"/>
    <col min="13" max="13" width="43.1640625" customWidth="1"/>
    <col min="15" max="15" width="14.33203125" customWidth="1"/>
    <col min="16" max="16" width="14" customWidth="1"/>
  </cols>
  <sheetData>
    <row r="1" spans="1:17" x14ac:dyDescent="0.2">
      <c r="A1" s="7"/>
      <c r="E1"/>
    </row>
    <row r="2" spans="1:17" x14ac:dyDescent="0.2">
      <c r="A2" s="4" t="s">
        <v>73</v>
      </c>
      <c r="B2" s="4"/>
      <c r="D2" s="4" t="s">
        <v>74</v>
      </c>
      <c r="E2" s="4"/>
      <c r="F2" s="4" t="s">
        <v>75</v>
      </c>
      <c r="G2" s="4" t="s">
        <v>76</v>
      </c>
      <c r="H2" s="4" t="s">
        <v>75</v>
      </c>
      <c r="I2" s="4" t="s">
        <v>77</v>
      </c>
      <c r="J2" s="4" t="s">
        <v>78</v>
      </c>
      <c r="K2" s="4" t="s">
        <v>79</v>
      </c>
      <c r="L2" s="4" t="s">
        <v>80</v>
      </c>
      <c r="M2" s="4" t="s">
        <v>81</v>
      </c>
      <c r="O2" s="4" t="s">
        <v>82</v>
      </c>
      <c r="P2" s="4" t="s">
        <v>83</v>
      </c>
      <c r="Q2" s="4"/>
    </row>
    <row r="3" spans="1:17" x14ac:dyDescent="0.2">
      <c r="A3" s="40" t="s">
        <v>84</v>
      </c>
      <c r="B3" s="368">
        <f>IF('Lista de Sistemas'!I65=0,B4, 'Lista de Sistemas'!I65)</f>
        <v>1530</v>
      </c>
      <c r="D3" s="40" t="s">
        <v>85</v>
      </c>
      <c r="E3" s="195">
        <v>163</v>
      </c>
      <c r="F3" s="296" t="s">
        <v>86</v>
      </c>
      <c r="G3" s="139" t="s">
        <v>87</v>
      </c>
      <c r="H3" s="295"/>
      <c r="J3" t="s">
        <v>88</v>
      </c>
      <c r="K3" s="209">
        <f>25*ac_dc_conv</f>
        <v>30</v>
      </c>
      <c r="L3" s="58">
        <v>0</v>
      </c>
      <c r="M3" s="58">
        <v>0</v>
      </c>
      <c r="O3" s="7">
        <v>1</v>
      </c>
      <c r="P3" t="s">
        <v>89</v>
      </c>
    </row>
    <row r="4" spans="1:17" x14ac:dyDescent="0.2">
      <c r="A4" t="s">
        <v>90</v>
      </c>
      <c r="B4" s="368">
        <f>IFERROR(VLOOKUP('Panel de Informacion'!C10,Variables!$A$36:$D$117,4,FALSE),"ERROR: Seleccionar Municipio")</f>
        <v>1530</v>
      </c>
      <c r="D4" s="40" t="s">
        <v>91</v>
      </c>
      <c r="E4" s="196">
        <v>7200</v>
      </c>
      <c r="F4" s="297" t="s">
        <v>92</v>
      </c>
      <c r="G4" s="139" t="s">
        <v>93</v>
      </c>
      <c r="H4" s="206"/>
      <c r="J4" t="s">
        <v>94</v>
      </c>
      <c r="K4" s="209">
        <f>50*ac_dc_conv</f>
        <v>60</v>
      </c>
      <c r="L4" s="58">
        <v>0</v>
      </c>
      <c r="M4" s="58">
        <v>0</v>
      </c>
      <c r="O4" s="7">
        <v>2</v>
      </c>
      <c r="P4" t="s">
        <v>95</v>
      </c>
    </row>
    <row r="5" spans="1:17" x14ac:dyDescent="0.2">
      <c r="A5" t="s">
        <v>96</v>
      </c>
      <c r="B5" s="142">
        <v>5.0000000000000001E-3</v>
      </c>
      <c r="D5" s="40" t="s">
        <v>97</v>
      </c>
      <c r="E5" s="197">
        <v>400</v>
      </c>
      <c r="F5" s="297"/>
      <c r="G5" s="139" t="s">
        <v>98</v>
      </c>
      <c r="H5" s="206"/>
      <c r="J5" t="s">
        <v>99</v>
      </c>
      <c r="K5" s="209">
        <f>1000*ac_dc_conv</f>
        <v>1200</v>
      </c>
      <c r="L5" s="58">
        <v>8.1</v>
      </c>
      <c r="M5" s="58">
        <v>10</v>
      </c>
      <c r="O5" s="7">
        <v>3</v>
      </c>
    </row>
    <row r="6" spans="1:17" x14ac:dyDescent="0.2">
      <c r="A6" t="s">
        <v>100</v>
      </c>
      <c r="B6" s="142">
        <v>3.5000000000000003E-2</v>
      </c>
      <c r="D6" s="40" t="s">
        <v>101</v>
      </c>
      <c r="E6" s="198">
        <v>0.35</v>
      </c>
      <c r="F6" s="264"/>
      <c r="J6" t="s">
        <v>102</v>
      </c>
      <c r="K6" s="209">
        <f>1000*ac_dc_conv</f>
        <v>1200</v>
      </c>
      <c r="L6" s="58">
        <v>8.1</v>
      </c>
      <c r="M6" s="58">
        <v>10</v>
      </c>
      <c r="O6" s="7">
        <v>4</v>
      </c>
    </row>
    <row r="7" spans="1:17" x14ac:dyDescent="0.2">
      <c r="A7" t="s">
        <v>103</v>
      </c>
      <c r="B7">
        <v>1.2</v>
      </c>
      <c r="D7" s="40" t="s">
        <v>104</v>
      </c>
      <c r="E7" s="196">
        <v>4</v>
      </c>
      <c r="J7" t="s">
        <v>105</v>
      </c>
      <c r="K7" s="209">
        <f>5000*ac_dc_conv</f>
        <v>6000</v>
      </c>
      <c r="L7" s="58">
        <v>7.7</v>
      </c>
      <c r="M7" s="58">
        <v>9.6</v>
      </c>
      <c r="O7" s="7">
        <v>5</v>
      </c>
    </row>
    <row r="8" spans="1:17" x14ac:dyDescent="0.2">
      <c r="A8" t="s">
        <v>106</v>
      </c>
      <c r="B8" s="235">
        <v>1.5</v>
      </c>
      <c r="D8" s="194" t="s">
        <v>107</v>
      </c>
      <c r="E8" s="199">
        <v>10</v>
      </c>
      <c r="J8" t="s">
        <v>108</v>
      </c>
      <c r="K8" s="209">
        <f>48*ac_dc_conv</f>
        <v>57.599999999999994</v>
      </c>
      <c r="L8" s="58">
        <v>0</v>
      </c>
      <c r="M8" s="58">
        <v>0</v>
      </c>
      <c r="O8" s="7">
        <v>6</v>
      </c>
    </row>
    <row r="9" spans="1:17" x14ac:dyDescent="0.2">
      <c r="A9" t="s">
        <v>109</v>
      </c>
      <c r="B9" s="235">
        <v>1</v>
      </c>
      <c r="D9" s="58" t="s">
        <v>110</v>
      </c>
      <c r="E9" s="199">
        <v>365.25</v>
      </c>
      <c r="F9" s="139"/>
      <c r="G9" s="139"/>
      <c r="O9" s="7">
        <v>7</v>
      </c>
    </row>
    <row r="10" spans="1:17" x14ac:dyDescent="0.2">
      <c r="D10" s="58" t="s">
        <v>111</v>
      </c>
      <c r="E10" s="199">
        <v>24</v>
      </c>
      <c r="F10" s="4" t="s">
        <v>112</v>
      </c>
      <c r="G10" s="4" t="s">
        <v>113</v>
      </c>
      <c r="H10" s="4"/>
      <c r="O10" s="7">
        <v>8</v>
      </c>
    </row>
    <row r="11" spans="1:17" x14ac:dyDescent="0.2">
      <c r="D11" s="58"/>
      <c r="E11" s="199"/>
      <c r="F11" s="7" t="s">
        <v>114</v>
      </c>
      <c r="G11" s="198">
        <v>0.35</v>
      </c>
      <c r="O11" s="7">
        <v>9</v>
      </c>
    </row>
    <row r="12" spans="1:17" x14ac:dyDescent="0.2">
      <c r="A12" s="4" t="s">
        <v>115</v>
      </c>
      <c r="B12" s="4"/>
      <c r="D12" s="58"/>
      <c r="E12" s="199"/>
      <c r="F12" s="7" t="s">
        <v>116</v>
      </c>
      <c r="G12" s="198">
        <v>0.35</v>
      </c>
      <c r="O12" s="7">
        <v>10</v>
      </c>
    </row>
    <row r="13" spans="1:17" x14ac:dyDescent="0.2">
      <c r="A13" t="s">
        <v>117</v>
      </c>
      <c r="B13">
        <v>410</v>
      </c>
      <c r="D13" s="58"/>
      <c r="E13" s="199"/>
      <c r="F13" s="7" t="s">
        <v>118</v>
      </c>
      <c r="G13" s="198">
        <v>0.35</v>
      </c>
      <c r="J13" s="409" t="s">
        <v>119</v>
      </c>
      <c r="K13" s="409"/>
      <c r="L13" s="409"/>
      <c r="M13" s="409"/>
      <c r="O13" s="7">
        <v>11</v>
      </c>
    </row>
    <row r="14" spans="1:17" x14ac:dyDescent="0.2">
      <c r="A14" t="s">
        <v>120</v>
      </c>
      <c r="B14">
        <v>415</v>
      </c>
      <c r="D14" s="58"/>
      <c r="E14" s="199"/>
      <c r="F14" s="7"/>
      <c r="G14" s="198"/>
      <c r="J14" t="s">
        <v>121</v>
      </c>
      <c r="K14" s="7">
        <f>COUNTA('Lista de Facturas'!B4,'Lista de Facturas'!B16,'Lista de Facturas'!B28,'Lista de Facturas'!B40,'Lista de Facturas'!B52,'Lista de Facturas'!B64,'Lista de Facturas'!B76,'Lista de Facturas'!B88,'Lista de Facturas'!B100,'Lista de Facturas'!B112)</f>
        <v>1</v>
      </c>
      <c r="O14" s="7">
        <v>12</v>
      </c>
    </row>
    <row r="15" spans="1:17" x14ac:dyDescent="0.2">
      <c r="A15" t="s">
        <v>122</v>
      </c>
      <c r="B15">
        <v>595</v>
      </c>
      <c r="D15" s="58"/>
      <c r="E15" s="199"/>
      <c r="F15" s="7"/>
      <c r="G15" s="198"/>
      <c r="O15" s="7">
        <v>13</v>
      </c>
    </row>
    <row r="16" spans="1:17" x14ac:dyDescent="0.2">
      <c r="B16" s="59"/>
      <c r="C16" s="60"/>
      <c r="O16" s="7">
        <v>14</v>
      </c>
    </row>
    <row r="17" spans="1:15" x14ac:dyDescent="0.2">
      <c r="A17" s="4" t="s">
        <v>123</v>
      </c>
      <c r="B17" s="4" t="s">
        <v>124</v>
      </c>
      <c r="C17" s="4" t="s">
        <v>125</v>
      </c>
      <c r="D17" s="4" t="s">
        <v>126</v>
      </c>
      <c r="E17" s="4" t="s">
        <v>127</v>
      </c>
      <c r="F17" s="4" t="s">
        <v>128</v>
      </c>
      <c r="G17" s="4" t="s">
        <v>129</v>
      </c>
      <c r="H17" s="4" t="s">
        <v>130</v>
      </c>
      <c r="I17" s="4" t="s">
        <v>131</v>
      </c>
      <c r="O17" s="7">
        <v>15</v>
      </c>
    </row>
    <row r="18" spans="1:15" x14ac:dyDescent="0.2">
      <c r="A18" t="s">
        <v>132</v>
      </c>
      <c r="B18" s="8">
        <f>-ROUNDUP(PMT('Panel de Informacion'!C24/12,'Panel de Informacion'!C23*12,(1+VLOOKUP(Entidad_Financiera,Variables!$A$25:$D$29,4,FALSE))*'Panel de Informacion'!C30,0,0),-1)*$D$18</f>
        <v>650</v>
      </c>
      <c r="C18" s="8" t="str">
        <f>IF(VLOOKUP(Entidad_Financiera,$A$25:$E$29,5,FALSE),(-ROUNDUP(PMT('Panel de Informacion'!C24/12,'Panel de Informacion'!C23*12,((1+VLOOKUP('Panel de Informacion'!$C$20,Variables!$A$25:$D$29,4))*'Panel de Informacion'!C30)-'Panel de Informacion'!C27,0,0),-1)*D18),"No Aplica")</f>
        <v>No Aplica</v>
      </c>
      <c r="D18" s="256">
        <v>1</v>
      </c>
      <c r="E18" s="11">
        <f>'Panel de Informacion'!C24</f>
        <v>0.09</v>
      </c>
      <c r="F18" t="s">
        <v>133</v>
      </c>
      <c r="G18" t="s">
        <v>134</v>
      </c>
      <c r="H18" t="s">
        <v>135</v>
      </c>
      <c r="I18" t="s">
        <v>136</v>
      </c>
      <c r="O18" s="7">
        <v>16</v>
      </c>
    </row>
    <row r="19" spans="1:15" x14ac:dyDescent="0.2">
      <c r="A19" t="s">
        <v>137</v>
      </c>
      <c r="B19" s="18">
        <f>VLOOKUP('Panel de Informacion'!C55, 'Tabla de Precios'!$D$4:$AF$9,'Panel de Informacion'!$C$16 + 4,FALSE)*'Panel de Informacion'!C47*'Panel de Informacion'!C52/12</f>
        <v>702.78000000000009</v>
      </c>
      <c r="C19" s="9" t="s">
        <v>29</v>
      </c>
      <c r="D19" s="256">
        <v>1</v>
      </c>
      <c r="E19" s="7" t="s">
        <v>29</v>
      </c>
      <c r="F19" t="s">
        <v>138</v>
      </c>
      <c r="G19" t="s">
        <v>138</v>
      </c>
      <c r="H19" t="s">
        <v>138</v>
      </c>
      <c r="I19" t="s">
        <v>138</v>
      </c>
      <c r="O19" s="7">
        <v>17</v>
      </c>
    </row>
    <row r="20" spans="1:15" x14ac:dyDescent="0.2">
      <c r="A20" t="s">
        <v>139</v>
      </c>
      <c r="B20" s="10">
        <v>0</v>
      </c>
      <c r="C20" s="9">
        <v>0</v>
      </c>
      <c r="D20" s="256">
        <v>1</v>
      </c>
      <c r="E20" s="7" t="s">
        <v>29</v>
      </c>
      <c r="F20" t="s">
        <v>133</v>
      </c>
      <c r="G20" t="s">
        <v>134</v>
      </c>
      <c r="H20" t="s">
        <v>135</v>
      </c>
      <c r="I20" t="s">
        <v>136</v>
      </c>
      <c r="O20" s="7">
        <v>18</v>
      </c>
    </row>
    <row r="21" spans="1:15" x14ac:dyDescent="0.2">
      <c r="A21" t="s">
        <v>140</v>
      </c>
      <c r="B21" s="9">
        <f>IF('Panel de Informacion'!C16&gt;0,"PPA NO ES COMPATIBLE CON BATERIAS", B19*D21)</f>
        <v>702.78000000000009</v>
      </c>
      <c r="C21" s="9" t="s">
        <v>29</v>
      </c>
      <c r="D21" s="256">
        <v>1</v>
      </c>
      <c r="E21" s="7" t="s">
        <v>29</v>
      </c>
      <c r="F21" t="s">
        <v>138</v>
      </c>
      <c r="G21" t="s">
        <v>138</v>
      </c>
      <c r="H21" t="s">
        <v>138</v>
      </c>
      <c r="I21" t="s">
        <v>138</v>
      </c>
      <c r="O21" s="7">
        <v>19</v>
      </c>
    </row>
    <row r="22" spans="1:15" x14ac:dyDescent="0.2">
      <c r="A22" t="s">
        <v>141</v>
      </c>
      <c r="B22" s="367" t="s">
        <v>142</v>
      </c>
      <c r="C22" s="9" t="str">
        <f>B22</f>
        <v>Usar pago cotizado por entidad financiera</v>
      </c>
      <c r="D22" s="256">
        <v>1</v>
      </c>
      <c r="E22" s="7" t="s">
        <v>29</v>
      </c>
      <c r="F22" t="s">
        <v>143</v>
      </c>
      <c r="G22" t="s">
        <v>143</v>
      </c>
      <c r="H22" t="s">
        <v>143</v>
      </c>
      <c r="I22" t="s">
        <v>143</v>
      </c>
      <c r="O22" s="7">
        <v>20</v>
      </c>
    </row>
    <row r="23" spans="1:15" x14ac:dyDescent="0.2">
      <c r="O23" s="7">
        <v>21</v>
      </c>
    </row>
    <row r="24" spans="1:15" x14ac:dyDescent="0.2">
      <c r="A24" s="4" t="s">
        <v>21</v>
      </c>
      <c r="B24" s="4" t="s">
        <v>144</v>
      </c>
      <c r="C24" s="4" t="s">
        <v>145</v>
      </c>
      <c r="D24" s="4" t="s">
        <v>146</v>
      </c>
      <c r="E24" s="4" t="s">
        <v>147</v>
      </c>
      <c r="F24" s="4" t="s">
        <v>148</v>
      </c>
      <c r="G24" s="4" t="s">
        <v>149</v>
      </c>
      <c r="H24" s="4" t="s">
        <v>27</v>
      </c>
      <c r="I24" s="4" t="s">
        <v>128</v>
      </c>
      <c r="J24" s="4" t="s">
        <v>129</v>
      </c>
      <c r="K24" s="4" t="s">
        <v>130</v>
      </c>
      <c r="L24" s="4" t="s">
        <v>131</v>
      </c>
      <c r="M24" s="4" t="s">
        <v>150</v>
      </c>
      <c r="O24" s="7">
        <v>22</v>
      </c>
    </row>
    <row r="25" spans="1:15" x14ac:dyDescent="0.2">
      <c r="A25" t="s">
        <v>151</v>
      </c>
      <c r="B25" s="7" t="str">
        <f>$A$20</f>
        <v>Efectivo (cash)</v>
      </c>
      <c r="C25" s="7">
        <v>0</v>
      </c>
      <c r="D25" s="14">
        <v>0</v>
      </c>
      <c r="E25" s="257">
        <v>0</v>
      </c>
      <c r="F25" s="14">
        <v>0</v>
      </c>
      <c r="G25" s="6">
        <v>0</v>
      </c>
      <c r="H25" s="7" t="str">
        <f>IFERROR(_xlfn.CONCAT("REAP, hasta: ", VLOOKUP('Panel de Informacion'!$C$10,Variables!$A$36:$C$117,3,FALSE)*100,"%"),"ERROR: Escoger Municipio")</f>
        <v>REAP, hasta: 0%</v>
      </c>
      <c r="I25" t="s">
        <v>133</v>
      </c>
      <c r="J25" t="s">
        <v>134</v>
      </c>
      <c r="K25" t="s">
        <v>135</v>
      </c>
      <c r="L25" t="s">
        <v>136</v>
      </c>
      <c r="M25" t="s">
        <v>152</v>
      </c>
      <c r="O25" s="7">
        <v>23</v>
      </c>
    </row>
    <row r="26" spans="1:15" x14ac:dyDescent="0.2">
      <c r="A26" t="s">
        <v>22</v>
      </c>
      <c r="B26" s="7" t="s">
        <v>132</v>
      </c>
      <c r="C26" s="7">
        <v>15</v>
      </c>
      <c r="D26" s="14">
        <v>0</v>
      </c>
      <c r="E26" s="257">
        <v>0</v>
      </c>
      <c r="F26" s="14">
        <v>0.09</v>
      </c>
      <c r="G26" s="6">
        <v>0</v>
      </c>
      <c r="H26" s="7" t="str">
        <f>IFERROR(_xlfn.CONCAT("REAP, hasta: ", VLOOKUP('Panel de Informacion'!$C$10,Variables!$A$36:$C$117,3,FALSE)*100,"%"),"ERROR: Escoger Municipio")</f>
        <v>REAP, hasta: 0%</v>
      </c>
      <c r="I26" t="s">
        <v>153</v>
      </c>
      <c r="J26" t="s">
        <v>154</v>
      </c>
      <c r="K26" t="s">
        <v>135</v>
      </c>
      <c r="L26" t="s">
        <v>136</v>
      </c>
      <c r="M26" t="s">
        <v>155</v>
      </c>
      <c r="O26" s="7">
        <v>24</v>
      </c>
    </row>
    <row r="27" spans="1:15" x14ac:dyDescent="0.2">
      <c r="A27" t="s">
        <v>156</v>
      </c>
      <c r="B27" s="7" t="str">
        <f t="shared" ref="B27:B29" si="0">$A$18</f>
        <v>Préstamo (loan)</v>
      </c>
      <c r="C27" s="7">
        <v>15</v>
      </c>
      <c r="D27" s="14">
        <v>1.4999999999999999E-2</v>
      </c>
      <c r="E27" s="257">
        <v>0</v>
      </c>
      <c r="F27" s="14">
        <v>9.7500000000000003E-2</v>
      </c>
      <c r="G27" s="6">
        <v>0</v>
      </c>
      <c r="H27" s="7" t="str">
        <f>IFERROR(_xlfn.CONCAT("REAP, hasta: ", VLOOKUP('Panel de Informacion'!$C$10,Variables!$A$36:$C$117,3,FALSE)*100,"%"),"ERROR: Escoger Municipio")</f>
        <v>REAP, hasta: 0%</v>
      </c>
      <c r="I27" t="s">
        <v>133</v>
      </c>
      <c r="J27" t="s">
        <v>134</v>
      </c>
      <c r="K27" t="s">
        <v>135</v>
      </c>
      <c r="L27" t="s">
        <v>136</v>
      </c>
      <c r="M27" t="s">
        <v>157</v>
      </c>
      <c r="O27" s="7">
        <v>25</v>
      </c>
    </row>
    <row r="28" spans="1:15" x14ac:dyDescent="0.2">
      <c r="A28" t="s">
        <v>158</v>
      </c>
      <c r="B28" s="7" t="str">
        <f t="shared" si="0"/>
        <v>Préstamo (loan)</v>
      </c>
      <c r="C28" s="7">
        <v>20</v>
      </c>
      <c r="D28" s="14">
        <v>1.4999999999999999E-2</v>
      </c>
      <c r="E28" s="257">
        <v>1</v>
      </c>
      <c r="F28" s="14">
        <v>7.4999999999999997E-2</v>
      </c>
      <c r="G28" s="6">
        <v>0.1</v>
      </c>
      <c r="H28" s="7" t="str">
        <f>IFERROR(_xlfn.CONCAT("REAP, hasta: ", VLOOKUP('Panel de Informacion'!$C$10,Variables!$A$36:$C$117,3,FALSE)*100,"%"),"ERROR: Escoger Municipio")</f>
        <v>REAP, hasta: 0%</v>
      </c>
      <c r="I28" t="s">
        <v>133</v>
      </c>
      <c r="J28" t="s">
        <v>134</v>
      </c>
      <c r="K28" t="s">
        <v>135</v>
      </c>
      <c r="L28" t="s">
        <v>136</v>
      </c>
      <c r="M28" t="s">
        <v>159</v>
      </c>
      <c r="O28" s="7">
        <v>26</v>
      </c>
    </row>
    <row r="29" spans="1:15" x14ac:dyDescent="0.2">
      <c r="A29" t="s">
        <v>160</v>
      </c>
      <c r="B29" s="7" t="str">
        <f t="shared" si="0"/>
        <v>Préstamo (loan)</v>
      </c>
      <c r="C29" s="7">
        <v>7</v>
      </c>
      <c r="D29" s="14">
        <v>1.4999999999999999E-2</v>
      </c>
      <c r="E29" s="257">
        <v>0</v>
      </c>
      <c r="F29" s="14">
        <v>9.5000000000000001E-2</v>
      </c>
      <c r="G29" s="6">
        <v>0.3</v>
      </c>
      <c r="H29" s="7" t="str">
        <f>IFERROR(_xlfn.CONCAT("REAP, hasta: ", VLOOKUP('Panel de Informacion'!$C$10,Variables!$A$36:$C$117,3,FALSE)*100,"%"),"ERROR: Escoger Municipio")</f>
        <v>REAP, hasta: 0%</v>
      </c>
      <c r="I29" t="s">
        <v>133</v>
      </c>
      <c r="J29" t="s">
        <v>134</v>
      </c>
      <c r="K29" t="s">
        <v>135</v>
      </c>
      <c r="L29" t="s">
        <v>136</v>
      </c>
      <c r="M29" t="s">
        <v>161</v>
      </c>
      <c r="O29" s="7">
        <v>27</v>
      </c>
    </row>
    <row r="30" spans="1:15" x14ac:dyDescent="0.2">
      <c r="A30" t="s">
        <v>162</v>
      </c>
      <c r="B30" s="7" t="str">
        <f>A22</f>
        <v>Otro financiamiento Comercial</v>
      </c>
      <c r="C30" s="7">
        <v>25</v>
      </c>
      <c r="D30" s="14">
        <v>0</v>
      </c>
      <c r="E30" s="7">
        <v>0</v>
      </c>
      <c r="F30" s="7" t="s">
        <v>29</v>
      </c>
      <c r="G30" s="6">
        <v>0</v>
      </c>
      <c r="H30" s="7" t="s">
        <v>29</v>
      </c>
      <c r="I30" t="s">
        <v>143</v>
      </c>
      <c r="J30" t="s">
        <v>143</v>
      </c>
      <c r="K30" t="s">
        <v>143</v>
      </c>
      <c r="L30" t="s">
        <v>143</v>
      </c>
      <c r="M30" t="s">
        <v>163</v>
      </c>
      <c r="O30" s="7">
        <v>28</v>
      </c>
    </row>
    <row r="31" spans="1:15" x14ac:dyDescent="0.2">
      <c r="O31" s="7">
        <v>29</v>
      </c>
    </row>
    <row r="32" spans="1:15" x14ac:dyDescent="0.2">
      <c r="O32" s="7">
        <v>30</v>
      </c>
    </row>
    <row r="33" spans="1:15" x14ac:dyDescent="0.2">
      <c r="A33" s="4" t="s">
        <v>164</v>
      </c>
      <c r="B33" s="225" t="b">
        <f>IF(VLOOKUP('Panel de Informacion'!C26,Variables!$I$37:$L$39, 4, FALSE)&gt;0,FALSE, TRUE)</f>
        <v>1</v>
      </c>
      <c r="O33" s="7">
        <v>31</v>
      </c>
    </row>
    <row r="34" spans="1:15" x14ac:dyDescent="0.2">
      <c r="A34" s="4" t="s">
        <v>165</v>
      </c>
      <c r="B34" s="362" t="s">
        <v>166</v>
      </c>
      <c r="C34" s="363">
        <v>0</v>
      </c>
      <c r="E34" s="409" t="s">
        <v>167</v>
      </c>
      <c r="F34" s="409"/>
      <c r="G34" s="409"/>
      <c r="I34" s="26" t="s">
        <v>27</v>
      </c>
      <c r="J34" s="26" t="s">
        <v>168</v>
      </c>
      <c r="O34" s="7">
        <v>32</v>
      </c>
    </row>
    <row r="35" spans="1:15" x14ac:dyDescent="0.2">
      <c r="A35" s="4" t="s">
        <v>169</v>
      </c>
      <c r="B35" s="4" t="s">
        <v>170</v>
      </c>
      <c r="C35" s="4" t="s">
        <v>171</v>
      </c>
      <c r="D35" s="4" t="s">
        <v>172</v>
      </c>
      <c r="E35" s="4" t="s">
        <v>173</v>
      </c>
      <c r="F35" s="4" t="s">
        <v>174</v>
      </c>
      <c r="G35" s="4" t="s">
        <v>175</v>
      </c>
      <c r="I35" s="139" t="str">
        <f>H25</f>
        <v>REAP, hasta: 0%</v>
      </c>
      <c r="J35" s="222">
        <v>1000000</v>
      </c>
      <c r="O35" s="7">
        <v>33</v>
      </c>
    </row>
    <row r="36" spans="1:15" x14ac:dyDescent="0.2">
      <c r="B36" s="7">
        <f>0*IF($B$34="Y",1,0)</f>
        <v>0</v>
      </c>
      <c r="C36" s="6">
        <f>IF(B36, $C$34, 0)</f>
        <v>0</v>
      </c>
      <c r="D36" s="338">
        <v>0</v>
      </c>
      <c r="E36" s="7">
        <v>0</v>
      </c>
      <c r="F36" s="8">
        <v>0</v>
      </c>
      <c r="G36" s="206">
        <f>E36*13.5</f>
        <v>0</v>
      </c>
      <c r="I36" s="26" t="s">
        <v>176</v>
      </c>
      <c r="J36" s="26" t="s">
        <v>177</v>
      </c>
      <c r="K36" s="26" t="s">
        <v>178</v>
      </c>
      <c r="L36" s="26" t="s">
        <v>179</v>
      </c>
      <c r="O36" s="7">
        <v>34</v>
      </c>
    </row>
    <row r="37" spans="1:15" x14ac:dyDescent="0.2">
      <c r="A37" t="s">
        <v>180</v>
      </c>
      <c r="B37" s="7">
        <f>1*IF($B$34="Y",1,0)</f>
        <v>0</v>
      </c>
      <c r="C37" s="6">
        <f>IF(AND(B37,$B$33), $C$34, 0)</f>
        <v>0</v>
      </c>
      <c r="D37" s="338">
        <v>1530</v>
      </c>
      <c r="E37" s="7">
        <v>1</v>
      </c>
      <c r="F37" s="8">
        <v>13900</v>
      </c>
      <c r="G37" s="206">
        <f>E37*13.5</f>
        <v>13.5</v>
      </c>
      <c r="I37" s="139" t="s">
        <v>29</v>
      </c>
      <c r="J37" s="222">
        <v>0</v>
      </c>
      <c r="K37" s="222">
        <v>0</v>
      </c>
      <c r="L37" s="364">
        <v>0</v>
      </c>
      <c r="O37" s="7">
        <v>35</v>
      </c>
    </row>
    <row r="38" spans="1:15" x14ac:dyDescent="0.2">
      <c r="A38" t="s">
        <v>13</v>
      </c>
      <c r="B38" s="7">
        <f>0*IF($B$34="Y",1,0)</f>
        <v>0</v>
      </c>
      <c r="C38" s="6">
        <f>IF(AND(B38,$B$33), $C$34, 0)</f>
        <v>0</v>
      </c>
      <c r="D38" s="338">
        <v>1530</v>
      </c>
      <c r="E38" s="7">
        <v>2</v>
      </c>
      <c r="F38" s="8">
        <v>26400</v>
      </c>
      <c r="G38" s="206">
        <f t="shared" ref="G38:G61" si="1">E38*13.5</f>
        <v>27</v>
      </c>
      <c r="I38" s="139" t="s">
        <v>181</v>
      </c>
      <c r="J38" s="222">
        <v>50000</v>
      </c>
      <c r="K38" s="222">
        <v>250000</v>
      </c>
      <c r="L38" s="364">
        <v>1</v>
      </c>
      <c r="O38" s="7">
        <v>36</v>
      </c>
    </row>
    <row r="39" spans="1:15" x14ac:dyDescent="0.2">
      <c r="A39" t="s">
        <v>182</v>
      </c>
      <c r="B39" s="7">
        <f t="shared" ref="B39:B49" si="2">1*IF($B$34="Y",1,0)</f>
        <v>0</v>
      </c>
      <c r="C39" s="6">
        <f>IFERROR(IF(AND(B39,$B$33),1,0)*('Panel de Informacion'!$C$11/Variables!$K$14)*$C$34,0)</f>
        <v>0</v>
      </c>
      <c r="D39" s="338">
        <v>1530</v>
      </c>
      <c r="E39" s="7">
        <v>3</v>
      </c>
      <c r="F39" s="8">
        <v>38900</v>
      </c>
      <c r="G39" s="206">
        <f t="shared" si="1"/>
        <v>40.5</v>
      </c>
      <c r="I39" s="139"/>
      <c r="J39" s="222">
        <v>0</v>
      </c>
      <c r="K39" s="222">
        <v>0</v>
      </c>
      <c r="L39" s="222">
        <v>0</v>
      </c>
      <c r="O39" s="7">
        <v>37</v>
      </c>
    </row>
    <row r="40" spans="1:15" x14ac:dyDescent="0.2">
      <c r="A40" t="s">
        <v>183</v>
      </c>
      <c r="B40" s="7">
        <f t="shared" si="2"/>
        <v>0</v>
      </c>
      <c r="C40" s="6">
        <f>IF(AND(B40,$B$33), $C$34, 0)</f>
        <v>0</v>
      </c>
      <c r="D40" s="338">
        <v>1530</v>
      </c>
      <c r="E40" s="7">
        <v>4</v>
      </c>
      <c r="F40" s="8">
        <v>51400</v>
      </c>
      <c r="G40" s="206">
        <f t="shared" si="1"/>
        <v>54</v>
      </c>
      <c r="I40" s="7"/>
      <c r="J40" s="76"/>
      <c r="O40" s="7">
        <v>38</v>
      </c>
    </row>
    <row r="41" spans="1:15" x14ac:dyDescent="0.2">
      <c r="A41" t="s">
        <v>184</v>
      </c>
      <c r="B41" s="7">
        <f t="shared" si="2"/>
        <v>0</v>
      </c>
      <c r="C41" s="6">
        <f t="shared" ref="C41:C104" si="3">IF(AND(B41,$B$33), $C$34, 0)</f>
        <v>0</v>
      </c>
      <c r="D41" s="338">
        <v>1530</v>
      </c>
      <c r="E41" s="7">
        <v>5</v>
      </c>
      <c r="F41" s="8">
        <f>F40+12500</f>
        <v>63900</v>
      </c>
      <c r="G41" s="206">
        <f t="shared" si="1"/>
        <v>67.5</v>
      </c>
      <c r="J41" s="7"/>
      <c r="O41" s="7">
        <v>39</v>
      </c>
    </row>
    <row r="42" spans="1:15" x14ac:dyDescent="0.2">
      <c r="A42" t="s">
        <v>185</v>
      </c>
      <c r="B42" s="7">
        <f t="shared" si="2"/>
        <v>0</v>
      </c>
      <c r="C42" s="6">
        <f t="shared" si="3"/>
        <v>0</v>
      </c>
      <c r="D42" s="338">
        <v>1530</v>
      </c>
      <c r="E42" s="7">
        <v>6</v>
      </c>
      <c r="F42" s="8">
        <f t="shared" ref="F42:F105" si="4">F41+12500</f>
        <v>76400</v>
      </c>
      <c r="G42" s="206">
        <f t="shared" si="1"/>
        <v>81</v>
      </c>
      <c r="J42" s="7"/>
      <c r="O42" s="7">
        <v>40</v>
      </c>
    </row>
    <row r="43" spans="1:15" x14ac:dyDescent="0.2">
      <c r="A43" t="s">
        <v>186</v>
      </c>
      <c r="B43" s="7">
        <f t="shared" si="2"/>
        <v>0</v>
      </c>
      <c r="C43" s="6">
        <f t="shared" si="3"/>
        <v>0</v>
      </c>
      <c r="D43" s="338">
        <v>1530</v>
      </c>
      <c r="E43" s="7">
        <v>7</v>
      </c>
      <c r="F43" s="8">
        <f>F42+12500</f>
        <v>88900</v>
      </c>
      <c r="G43" s="206">
        <f t="shared" si="1"/>
        <v>94.5</v>
      </c>
      <c r="J43" s="7"/>
      <c r="O43" s="7">
        <v>41</v>
      </c>
    </row>
    <row r="44" spans="1:15" x14ac:dyDescent="0.2">
      <c r="A44" t="s">
        <v>187</v>
      </c>
      <c r="B44" s="7">
        <f t="shared" si="2"/>
        <v>0</v>
      </c>
      <c r="C44" s="6">
        <f t="shared" si="3"/>
        <v>0</v>
      </c>
      <c r="D44" s="338">
        <v>1530</v>
      </c>
      <c r="E44" s="7">
        <v>8</v>
      </c>
      <c r="F44" s="8">
        <f t="shared" si="4"/>
        <v>101400</v>
      </c>
      <c r="G44" s="206">
        <f t="shared" si="1"/>
        <v>108</v>
      </c>
      <c r="I44" s="79" t="s">
        <v>188</v>
      </c>
      <c r="J44" s="79" t="s">
        <v>189</v>
      </c>
      <c r="K44" s="79" t="s">
        <v>190</v>
      </c>
      <c r="O44" s="7">
        <v>42</v>
      </c>
    </row>
    <row r="45" spans="1:15" x14ac:dyDescent="0.2">
      <c r="A45" t="s">
        <v>191</v>
      </c>
      <c r="B45" s="7">
        <f t="shared" si="2"/>
        <v>0</v>
      </c>
      <c r="C45" s="6">
        <f t="shared" si="3"/>
        <v>0</v>
      </c>
      <c r="D45" s="338">
        <v>1530</v>
      </c>
      <c r="E45" s="7">
        <v>9</v>
      </c>
      <c r="F45" s="8">
        <f t="shared" si="4"/>
        <v>113900</v>
      </c>
      <c r="G45" s="206">
        <f t="shared" si="1"/>
        <v>121.5</v>
      </c>
      <c r="I45" t="s">
        <v>38</v>
      </c>
      <c r="J45" s="8">
        <v>0</v>
      </c>
      <c r="K45" s="7" t="s">
        <v>192</v>
      </c>
      <c r="O45" s="7">
        <v>43</v>
      </c>
    </row>
    <row r="46" spans="1:15" x14ac:dyDescent="0.2">
      <c r="A46" t="s">
        <v>193</v>
      </c>
      <c r="B46" s="7">
        <f t="shared" si="2"/>
        <v>0</v>
      </c>
      <c r="C46" s="6">
        <f t="shared" si="3"/>
        <v>0</v>
      </c>
      <c r="D46" s="338">
        <v>1530</v>
      </c>
      <c r="E46" s="7">
        <v>10</v>
      </c>
      <c r="F46" s="8">
        <f t="shared" si="4"/>
        <v>126400</v>
      </c>
      <c r="G46" s="206">
        <f t="shared" si="1"/>
        <v>135</v>
      </c>
      <c r="I46" t="s">
        <v>194</v>
      </c>
      <c r="J46" s="8">
        <v>25</v>
      </c>
      <c r="K46" s="7" t="s">
        <v>192</v>
      </c>
      <c r="O46" s="7">
        <v>44</v>
      </c>
    </row>
    <row r="47" spans="1:15" x14ac:dyDescent="0.2">
      <c r="A47" t="s">
        <v>195</v>
      </c>
      <c r="B47" s="7">
        <f t="shared" si="2"/>
        <v>0</v>
      </c>
      <c r="C47" s="6">
        <f t="shared" si="3"/>
        <v>0</v>
      </c>
      <c r="D47" s="338">
        <v>1650</v>
      </c>
      <c r="E47" s="7">
        <v>11</v>
      </c>
      <c r="F47" s="8">
        <f t="shared" si="4"/>
        <v>138900</v>
      </c>
      <c r="G47" s="206">
        <f t="shared" si="1"/>
        <v>148.5</v>
      </c>
      <c r="O47" s="7">
        <v>45</v>
      </c>
    </row>
    <row r="48" spans="1:15" x14ac:dyDescent="0.2">
      <c r="A48" t="s">
        <v>196</v>
      </c>
      <c r="B48" s="7">
        <f t="shared" si="2"/>
        <v>0</v>
      </c>
      <c r="C48" s="6">
        <f t="shared" si="3"/>
        <v>0</v>
      </c>
      <c r="D48" s="338">
        <v>1530</v>
      </c>
      <c r="E48" s="7">
        <v>12</v>
      </c>
      <c r="F48" s="8">
        <f t="shared" si="4"/>
        <v>151400</v>
      </c>
      <c r="G48" s="206">
        <f t="shared" si="1"/>
        <v>162</v>
      </c>
      <c r="O48" s="7">
        <v>46</v>
      </c>
    </row>
    <row r="49" spans="1:15" x14ac:dyDescent="0.2">
      <c r="A49" t="s">
        <v>197</v>
      </c>
      <c r="B49" s="7">
        <f t="shared" si="2"/>
        <v>0</v>
      </c>
      <c r="C49" s="6">
        <f t="shared" si="3"/>
        <v>0</v>
      </c>
      <c r="D49" s="338">
        <v>1530</v>
      </c>
      <c r="E49" s="7">
        <v>13</v>
      </c>
      <c r="F49" s="8">
        <f t="shared" si="4"/>
        <v>163900</v>
      </c>
      <c r="G49" s="206">
        <f t="shared" si="1"/>
        <v>175.5</v>
      </c>
      <c r="O49" s="7">
        <v>47</v>
      </c>
    </row>
    <row r="50" spans="1:15" x14ac:dyDescent="0.2">
      <c r="A50" t="s">
        <v>198</v>
      </c>
      <c r="B50" s="7">
        <f>0*IF($B$34="Y",1,0)</f>
        <v>0</v>
      </c>
      <c r="C50" s="6">
        <f t="shared" si="3"/>
        <v>0</v>
      </c>
      <c r="D50" s="338">
        <v>1530</v>
      </c>
      <c r="E50" s="7">
        <v>14</v>
      </c>
      <c r="F50" s="8">
        <f t="shared" si="4"/>
        <v>176400</v>
      </c>
      <c r="G50" s="206">
        <f t="shared" si="1"/>
        <v>189</v>
      </c>
      <c r="O50" s="7">
        <v>48</v>
      </c>
    </row>
    <row r="51" spans="1:15" x14ac:dyDescent="0.2">
      <c r="A51" t="s">
        <v>199</v>
      </c>
      <c r="B51" s="7">
        <f>1*IF($B$34="Y",1,0)</f>
        <v>0</v>
      </c>
      <c r="C51" s="6">
        <f t="shared" si="3"/>
        <v>0</v>
      </c>
      <c r="D51" s="338">
        <v>1650</v>
      </c>
      <c r="E51" s="7">
        <v>15</v>
      </c>
      <c r="F51" s="8">
        <f t="shared" si="4"/>
        <v>188900</v>
      </c>
      <c r="G51" s="206">
        <f t="shared" si="1"/>
        <v>202.5</v>
      </c>
      <c r="O51" s="7">
        <v>49</v>
      </c>
    </row>
    <row r="52" spans="1:15" x14ac:dyDescent="0.2">
      <c r="A52" t="s">
        <v>200</v>
      </c>
      <c r="B52" s="7">
        <f>0*IF($B$34="Y",1,0)</f>
        <v>0</v>
      </c>
      <c r="C52" s="6">
        <f t="shared" si="3"/>
        <v>0</v>
      </c>
      <c r="D52" s="338">
        <v>1530</v>
      </c>
      <c r="E52" s="7">
        <v>16</v>
      </c>
      <c r="F52" s="8">
        <f t="shared" si="4"/>
        <v>201400</v>
      </c>
      <c r="G52" s="206">
        <f t="shared" si="1"/>
        <v>216</v>
      </c>
      <c r="O52" s="7">
        <v>50</v>
      </c>
    </row>
    <row r="53" spans="1:15" x14ac:dyDescent="0.2">
      <c r="A53" t="s">
        <v>201</v>
      </c>
      <c r="B53" s="7">
        <f>1*IF($B$34="Y",1,0)</f>
        <v>0</v>
      </c>
      <c r="C53" s="6">
        <f t="shared" si="3"/>
        <v>0</v>
      </c>
      <c r="D53" s="338">
        <v>1530</v>
      </c>
      <c r="E53" s="7">
        <v>17</v>
      </c>
      <c r="F53" s="8">
        <f t="shared" si="4"/>
        <v>213900</v>
      </c>
      <c r="G53" s="206">
        <f t="shared" si="1"/>
        <v>229.5</v>
      </c>
      <c r="O53" s="7">
        <v>51</v>
      </c>
    </row>
    <row r="54" spans="1:15" x14ac:dyDescent="0.2">
      <c r="A54" t="s">
        <v>202</v>
      </c>
      <c r="B54" s="7">
        <f>1*IF($B$34="Y",1,0)</f>
        <v>0</v>
      </c>
      <c r="C54" s="6">
        <f t="shared" si="3"/>
        <v>0</v>
      </c>
      <c r="D54" s="338">
        <v>1530</v>
      </c>
      <c r="E54" s="7">
        <v>18</v>
      </c>
      <c r="F54" s="8">
        <f t="shared" si="4"/>
        <v>226400</v>
      </c>
      <c r="G54" s="206">
        <f t="shared" si="1"/>
        <v>243</v>
      </c>
      <c r="O54" s="7">
        <v>52</v>
      </c>
    </row>
    <row r="55" spans="1:15" x14ac:dyDescent="0.2">
      <c r="A55" t="s">
        <v>203</v>
      </c>
      <c r="B55" s="7">
        <f>0*IF($B$34="Y",1,0)</f>
        <v>0</v>
      </c>
      <c r="C55" s="6">
        <f t="shared" si="3"/>
        <v>0</v>
      </c>
      <c r="D55" s="338">
        <v>1530</v>
      </c>
      <c r="E55" s="7">
        <v>19</v>
      </c>
      <c r="F55" s="8">
        <f t="shared" si="4"/>
        <v>238900</v>
      </c>
      <c r="G55" s="206">
        <f t="shared" si="1"/>
        <v>256.5</v>
      </c>
    </row>
    <row r="56" spans="1:15" x14ac:dyDescent="0.2">
      <c r="A56" t="s">
        <v>204</v>
      </c>
      <c r="B56" s="7">
        <f t="shared" ref="B56:B70" si="5">1*IF($B$34="Y",1,0)</f>
        <v>0</v>
      </c>
      <c r="C56" s="6">
        <f t="shared" si="3"/>
        <v>0</v>
      </c>
      <c r="D56" s="338">
        <v>1530</v>
      </c>
      <c r="E56" s="7">
        <v>20</v>
      </c>
      <c r="F56" s="8">
        <f t="shared" si="4"/>
        <v>251400</v>
      </c>
      <c r="G56" s="206">
        <f t="shared" si="1"/>
        <v>270</v>
      </c>
    </row>
    <row r="57" spans="1:15" x14ac:dyDescent="0.2">
      <c r="A57" t="s">
        <v>205</v>
      </c>
      <c r="B57" s="7">
        <f t="shared" si="5"/>
        <v>0</v>
      </c>
      <c r="C57" s="6">
        <f t="shared" si="3"/>
        <v>0</v>
      </c>
      <c r="D57" s="338">
        <v>1530</v>
      </c>
      <c r="E57" s="7">
        <v>21</v>
      </c>
      <c r="F57" s="8">
        <f t="shared" si="4"/>
        <v>263900</v>
      </c>
      <c r="G57" s="206">
        <f t="shared" si="1"/>
        <v>283.5</v>
      </c>
    </row>
    <row r="58" spans="1:15" x14ac:dyDescent="0.2">
      <c r="A58" t="s">
        <v>206</v>
      </c>
      <c r="B58" s="7">
        <f t="shared" si="5"/>
        <v>0</v>
      </c>
      <c r="C58" s="6">
        <f t="shared" si="3"/>
        <v>0</v>
      </c>
      <c r="D58" s="338">
        <v>1650</v>
      </c>
      <c r="E58" s="7">
        <v>22</v>
      </c>
      <c r="F58" s="8">
        <f t="shared" si="4"/>
        <v>276400</v>
      </c>
      <c r="G58" s="206">
        <f t="shared" si="1"/>
        <v>297</v>
      </c>
    </row>
    <row r="59" spans="1:15" x14ac:dyDescent="0.2">
      <c r="A59" t="s">
        <v>207</v>
      </c>
      <c r="B59" s="7">
        <f t="shared" si="5"/>
        <v>0</v>
      </c>
      <c r="C59" s="6">
        <f t="shared" si="3"/>
        <v>0</v>
      </c>
      <c r="D59" s="338">
        <v>1400</v>
      </c>
      <c r="E59" s="7">
        <v>23</v>
      </c>
      <c r="F59" s="8">
        <f t="shared" si="4"/>
        <v>288900</v>
      </c>
      <c r="G59" s="206">
        <f t="shared" si="1"/>
        <v>310.5</v>
      </c>
    </row>
    <row r="60" spans="1:15" x14ac:dyDescent="0.2">
      <c r="A60" t="s">
        <v>208</v>
      </c>
      <c r="B60" s="7">
        <f t="shared" si="5"/>
        <v>0</v>
      </c>
      <c r="C60" s="6">
        <f t="shared" si="3"/>
        <v>0</v>
      </c>
      <c r="D60" s="338">
        <v>1530</v>
      </c>
      <c r="E60" s="7">
        <v>24</v>
      </c>
      <c r="F60" s="8">
        <f t="shared" si="4"/>
        <v>301400</v>
      </c>
      <c r="G60" s="206">
        <f t="shared" si="1"/>
        <v>324</v>
      </c>
    </row>
    <row r="61" spans="1:15" x14ac:dyDescent="0.2">
      <c r="A61" t="s">
        <v>209</v>
      </c>
      <c r="B61" s="7">
        <f t="shared" si="5"/>
        <v>0</v>
      </c>
      <c r="C61" s="6">
        <f t="shared" si="3"/>
        <v>0</v>
      </c>
      <c r="D61" s="338">
        <v>1530</v>
      </c>
      <c r="E61" s="7">
        <v>25</v>
      </c>
      <c r="F61" s="8">
        <f t="shared" si="4"/>
        <v>313900</v>
      </c>
      <c r="G61" s="206">
        <f t="shared" si="1"/>
        <v>337.5</v>
      </c>
    </row>
    <row r="62" spans="1:15" x14ac:dyDescent="0.2">
      <c r="A62" t="s">
        <v>210</v>
      </c>
      <c r="B62" s="7">
        <f t="shared" si="5"/>
        <v>0</v>
      </c>
      <c r="C62" s="6">
        <f t="shared" si="3"/>
        <v>0</v>
      </c>
      <c r="D62" s="338">
        <v>1530</v>
      </c>
      <c r="E62" s="7">
        <v>26</v>
      </c>
      <c r="F62" s="8">
        <f t="shared" si="4"/>
        <v>326400</v>
      </c>
      <c r="G62" s="206">
        <f t="shared" ref="G62:G72" si="6">E62*13.5</f>
        <v>351</v>
      </c>
    </row>
    <row r="63" spans="1:15" x14ac:dyDescent="0.2">
      <c r="A63" t="s">
        <v>211</v>
      </c>
      <c r="B63" s="7">
        <f t="shared" si="5"/>
        <v>0</v>
      </c>
      <c r="C63" s="6">
        <f t="shared" si="3"/>
        <v>0</v>
      </c>
      <c r="D63" s="338">
        <v>1530</v>
      </c>
      <c r="E63" s="7">
        <v>27</v>
      </c>
      <c r="F63" s="8">
        <f t="shared" si="4"/>
        <v>338900</v>
      </c>
      <c r="G63" s="206">
        <f t="shared" si="6"/>
        <v>364.5</v>
      </c>
    </row>
    <row r="64" spans="1:15" x14ac:dyDescent="0.2">
      <c r="A64" t="s">
        <v>212</v>
      </c>
      <c r="B64" s="7">
        <f t="shared" si="5"/>
        <v>0</v>
      </c>
      <c r="C64" s="6">
        <f t="shared" si="3"/>
        <v>0</v>
      </c>
      <c r="D64" s="338">
        <v>1530</v>
      </c>
      <c r="E64" s="7">
        <v>28</v>
      </c>
      <c r="F64" s="8">
        <f t="shared" si="4"/>
        <v>351400</v>
      </c>
      <c r="G64" s="206">
        <f t="shared" si="6"/>
        <v>378</v>
      </c>
    </row>
    <row r="65" spans="1:7" x14ac:dyDescent="0.2">
      <c r="A65" t="s">
        <v>213</v>
      </c>
      <c r="B65" s="7">
        <f t="shared" si="5"/>
        <v>0</v>
      </c>
      <c r="C65" s="6">
        <f t="shared" si="3"/>
        <v>0</v>
      </c>
      <c r="D65" s="338">
        <v>1530</v>
      </c>
      <c r="E65" s="7">
        <v>29</v>
      </c>
      <c r="F65" s="8">
        <f t="shared" si="4"/>
        <v>363900</v>
      </c>
      <c r="G65" s="206">
        <f t="shared" si="6"/>
        <v>391.5</v>
      </c>
    </row>
    <row r="66" spans="1:7" x14ac:dyDescent="0.2">
      <c r="A66" t="s">
        <v>214</v>
      </c>
      <c r="B66" s="7">
        <f t="shared" si="5"/>
        <v>0</v>
      </c>
      <c r="C66" s="6">
        <f t="shared" si="3"/>
        <v>0</v>
      </c>
      <c r="D66" s="338">
        <v>1650</v>
      </c>
      <c r="E66" s="7">
        <v>30</v>
      </c>
      <c r="F66" s="8">
        <f t="shared" si="4"/>
        <v>376400</v>
      </c>
      <c r="G66" s="206">
        <f t="shared" si="6"/>
        <v>405</v>
      </c>
    </row>
    <row r="67" spans="1:7" x14ac:dyDescent="0.2">
      <c r="A67" t="s">
        <v>215</v>
      </c>
      <c r="B67" s="7">
        <f t="shared" si="5"/>
        <v>0</v>
      </c>
      <c r="C67" s="6">
        <f t="shared" si="3"/>
        <v>0</v>
      </c>
      <c r="D67" s="338">
        <v>1530</v>
      </c>
      <c r="E67" s="7">
        <v>31</v>
      </c>
      <c r="F67" s="8">
        <f t="shared" si="4"/>
        <v>388900</v>
      </c>
      <c r="G67" s="206">
        <f t="shared" si="6"/>
        <v>418.5</v>
      </c>
    </row>
    <row r="68" spans="1:7" x14ac:dyDescent="0.2">
      <c r="A68" t="s">
        <v>216</v>
      </c>
      <c r="B68" s="7">
        <f t="shared" si="5"/>
        <v>0</v>
      </c>
      <c r="C68" s="6">
        <f t="shared" si="3"/>
        <v>0</v>
      </c>
      <c r="D68" s="338">
        <v>1650</v>
      </c>
      <c r="E68" s="7">
        <v>32</v>
      </c>
      <c r="F68" s="8">
        <f t="shared" si="4"/>
        <v>401400</v>
      </c>
      <c r="G68" s="206">
        <f t="shared" si="6"/>
        <v>432</v>
      </c>
    </row>
    <row r="69" spans="1:7" x14ac:dyDescent="0.2">
      <c r="A69" t="s">
        <v>217</v>
      </c>
      <c r="B69" s="7">
        <f t="shared" si="5"/>
        <v>0</v>
      </c>
      <c r="C69" s="6">
        <f t="shared" si="3"/>
        <v>0</v>
      </c>
      <c r="D69" s="338">
        <v>1750</v>
      </c>
      <c r="E69" s="7">
        <v>33</v>
      </c>
      <c r="F69" s="8">
        <f t="shared" si="4"/>
        <v>413900</v>
      </c>
      <c r="G69" s="206">
        <f t="shared" si="6"/>
        <v>445.5</v>
      </c>
    </row>
    <row r="70" spans="1:7" x14ac:dyDescent="0.2">
      <c r="A70" t="s">
        <v>218</v>
      </c>
      <c r="B70" s="7">
        <f t="shared" si="5"/>
        <v>0</v>
      </c>
      <c r="C70" s="6">
        <f t="shared" si="3"/>
        <v>0</v>
      </c>
      <c r="D70" s="338">
        <v>1650</v>
      </c>
      <c r="E70" s="7">
        <v>34</v>
      </c>
      <c r="F70" s="8">
        <f t="shared" si="4"/>
        <v>426400</v>
      </c>
      <c r="G70" s="206">
        <f t="shared" si="6"/>
        <v>459</v>
      </c>
    </row>
    <row r="71" spans="1:7" x14ac:dyDescent="0.2">
      <c r="A71" t="s">
        <v>219</v>
      </c>
      <c r="B71" s="7">
        <f>0*IF($B$34="Y",1,0)</f>
        <v>0</v>
      </c>
      <c r="C71" s="6">
        <f t="shared" si="3"/>
        <v>0</v>
      </c>
      <c r="D71" s="338">
        <v>1530</v>
      </c>
      <c r="E71" s="7">
        <v>35</v>
      </c>
      <c r="F71" s="8">
        <f t="shared" si="4"/>
        <v>438900</v>
      </c>
      <c r="G71" s="206">
        <f t="shared" si="6"/>
        <v>472.5</v>
      </c>
    </row>
    <row r="72" spans="1:7" x14ac:dyDescent="0.2">
      <c r="A72" t="s">
        <v>220</v>
      </c>
      <c r="B72" s="7">
        <f t="shared" ref="B72:B87" si="7">1*IF($B$34="Y",1,0)</f>
        <v>0</v>
      </c>
      <c r="C72" s="6">
        <f t="shared" si="3"/>
        <v>0</v>
      </c>
      <c r="D72" s="338">
        <v>1530</v>
      </c>
      <c r="E72" s="7">
        <v>36</v>
      </c>
      <c r="F72" s="8">
        <f t="shared" si="4"/>
        <v>451400</v>
      </c>
      <c r="G72" s="206">
        <f t="shared" si="6"/>
        <v>486</v>
      </c>
    </row>
    <row r="73" spans="1:7" x14ac:dyDescent="0.2">
      <c r="A73" t="s">
        <v>221</v>
      </c>
      <c r="B73" s="7">
        <f t="shared" si="7"/>
        <v>0</v>
      </c>
      <c r="C73" s="6">
        <f t="shared" si="3"/>
        <v>0</v>
      </c>
      <c r="D73" s="338">
        <v>1530</v>
      </c>
      <c r="E73" s="7">
        <v>37</v>
      </c>
      <c r="F73" s="8">
        <f t="shared" si="4"/>
        <v>463900</v>
      </c>
      <c r="G73" s="206">
        <f t="shared" ref="G73:G82" si="8">E73*13.5</f>
        <v>499.5</v>
      </c>
    </row>
    <row r="74" spans="1:7" x14ac:dyDescent="0.2">
      <c r="A74" t="s">
        <v>222</v>
      </c>
      <c r="B74" s="7">
        <f t="shared" si="7"/>
        <v>0</v>
      </c>
      <c r="C74" s="6">
        <f t="shared" si="3"/>
        <v>0</v>
      </c>
      <c r="D74" s="338">
        <v>1530</v>
      </c>
      <c r="E74" s="7">
        <v>38</v>
      </c>
      <c r="F74" s="8">
        <f t="shared" si="4"/>
        <v>476400</v>
      </c>
      <c r="G74" s="206">
        <f t="shared" si="8"/>
        <v>513</v>
      </c>
    </row>
    <row r="75" spans="1:7" x14ac:dyDescent="0.2">
      <c r="A75" t="s">
        <v>223</v>
      </c>
      <c r="B75" s="7">
        <f t="shared" si="7"/>
        <v>0</v>
      </c>
      <c r="C75" s="6">
        <f t="shared" si="3"/>
        <v>0</v>
      </c>
      <c r="D75" s="338">
        <v>1650</v>
      </c>
      <c r="E75" s="7">
        <v>39</v>
      </c>
      <c r="F75" s="8">
        <f t="shared" si="4"/>
        <v>488900</v>
      </c>
      <c r="G75" s="206">
        <f t="shared" si="8"/>
        <v>526.5</v>
      </c>
    </row>
    <row r="76" spans="1:7" x14ac:dyDescent="0.2">
      <c r="A76" t="s">
        <v>224</v>
      </c>
      <c r="B76" s="7">
        <f t="shared" si="7"/>
        <v>0</v>
      </c>
      <c r="C76" s="6">
        <f t="shared" si="3"/>
        <v>0</v>
      </c>
      <c r="D76" s="338">
        <v>1650</v>
      </c>
      <c r="E76" s="7">
        <v>40</v>
      </c>
      <c r="F76" s="8">
        <f t="shared" si="4"/>
        <v>501400</v>
      </c>
      <c r="G76" s="206">
        <f t="shared" si="8"/>
        <v>540</v>
      </c>
    </row>
    <row r="77" spans="1:7" x14ac:dyDescent="0.2">
      <c r="A77" t="s">
        <v>225</v>
      </c>
      <c r="B77" s="7">
        <f t="shared" si="7"/>
        <v>0</v>
      </c>
      <c r="C77" s="6">
        <f t="shared" si="3"/>
        <v>0</v>
      </c>
      <c r="D77" s="338">
        <v>1530</v>
      </c>
      <c r="E77" s="7">
        <v>41</v>
      </c>
      <c r="F77" s="8">
        <f t="shared" si="4"/>
        <v>513900</v>
      </c>
      <c r="G77" s="206">
        <f t="shared" si="8"/>
        <v>553.5</v>
      </c>
    </row>
    <row r="78" spans="1:7" x14ac:dyDescent="0.2">
      <c r="A78" t="s">
        <v>226</v>
      </c>
      <c r="B78" s="7">
        <f t="shared" si="7"/>
        <v>0</v>
      </c>
      <c r="C78" s="6">
        <f t="shared" si="3"/>
        <v>0</v>
      </c>
      <c r="D78" s="338">
        <v>1650</v>
      </c>
      <c r="E78" s="7">
        <v>42</v>
      </c>
      <c r="F78" s="8">
        <f t="shared" si="4"/>
        <v>526400</v>
      </c>
      <c r="G78" s="206">
        <f t="shared" si="8"/>
        <v>567</v>
      </c>
    </row>
    <row r="79" spans="1:7" x14ac:dyDescent="0.2">
      <c r="A79" t="s">
        <v>227</v>
      </c>
      <c r="B79" s="7">
        <f t="shared" si="7"/>
        <v>0</v>
      </c>
      <c r="C79" s="6">
        <f t="shared" si="3"/>
        <v>0</v>
      </c>
      <c r="D79" s="338">
        <v>1650</v>
      </c>
      <c r="E79" s="7">
        <v>43</v>
      </c>
      <c r="F79" s="8">
        <f t="shared" si="4"/>
        <v>538900</v>
      </c>
      <c r="G79" s="206">
        <f t="shared" si="8"/>
        <v>580.5</v>
      </c>
    </row>
    <row r="80" spans="1:7" x14ac:dyDescent="0.2">
      <c r="A80" t="s">
        <v>228</v>
      </c>
      <c r="B80" s="7">
        <f t="shared" si="7"/>
        <v>0</v>
      </c>
      <c r="C80" s="6">
        <f t="shared" si="3"/>
        <v>0</v>
      </c>
      <c r="D80" s="338">
        <v>1650</v>
      </c>
      <c r="E80" s="7">
        <v>44</v>
      </c>
      <c r="F80" s="8">
        <f t="shared" si="4"/>
        <v>551400</v>
      </c>
      <c r="G80" s="206">
        <f t="shared" si="8"/>
        <v>594</v>
      </c>
    </row>
    <row r="81" spans="1:7" x14ac:dyDescent="0.2">
      <c r="A81" t="s">
        <v>229</v>
      </c>
      <c r="B81" s="7">
        <f t="shared" si="7"/>
        <v>0</v>
      </c>
      <c r="C81" s="6">
        <f t="shared" si="3"/>
        <v>0</v>
      </c>
      <c r="D81" s="338">
        <v>1530</v>
      </c>
      <c r="E81" s="7">
        <v>45</v>
      </c>
      <c r="F81" s="8">
        <f t="shared" si="4"/>
        <v>563900</v>
      </c>
      <c r="G81" s="206">
        <f t="shared" si="8"/>
        <v>607.5</v>
      </c>
    </row>
    <row r="82" spans="1:7" x14ac:dyDescent="0.2">
      <c r="A82" t="s">
        <v>230</v>
      </c>
      <c r="B82" s="7">
        <f t="shared" si="7"/>
        <v>0</v>
      </c>
      <c r="C82" s="6">
        <f t="shared" si="3"/>
        <v>0</v>
      </c>
      <c r="D82" s="338">
        <v>1530</v>
      </c>
      <c r="E82" s="7">
        <v>46</v>
      </c>
      <c r="F82" s="8">
        <f t="shared" si="4"/>
        <v>576400</v>
      </c>
      <c r="G82" s="206">
        <f t="shared" si="8"/>
        <v>621</v>
      </c>
    </row>
    <row r="83" spans="1:7" x14ac:dyDescent="0.2">
      <c r="A83" t="s">
        <v>231</v>
      </c>
      <c r="B83" s="7">
        <f t="shared" si="7"/>
        <v>0</v>
      </c>
      <c r="C83" s="6">
        <f t="shared" si="3"/>
        <v>0</v>
      </c>
      <c r="D83" s="338">
        <v>1530</v>
      </c>
      <c r="E83" s="7">
        <v>47</v>
      </c>
      <c r="F83" s="8">
        <f t="shared" si="4"/>
        <v>588900</v>
      </c>
      <c r="G83" s="206">
        <f t="shared" ref="G83:G98" si="9">E83*13.5</f>
        <v>634.5</v>
      </c>
    </row>
    <row r="84" spans="1:7" x14ac:dyDescent="0.2">
      <c r="A84" t="s">
        <v>232</v>
      </c>
      <c r="B84" s="7">
        <f t="shared" si="7"/>
        <v>0</v>
      </c>
      <c r="C84" s="6">
        <f t="shared" si="3"/>
        <v>0</v>
      </c>
      <c r="D84" s="338">
        <v>1530</v>
      </c>
      <c r="E84" s="7">
        <v>48</v>
      </c>
      <c r="F84" s="8">
        <f t="shared" si="4"/>
        <v>601400</v>
      </c>
      <c r="G84" s="206">
        <f t="shared" si="9"/>
        <v>648</v>
      </c>
    </row>
    <row r="85" spans="1:7" x14ac:dyDescent="0.2">
      <c r="A85" t="s">
        <v>233</v>
      </c>
      <c r="B85" s="7">
        <f t="shared" si="7"/>
        <v>0</v>
      </c>
      <c r="C85" s="6">
        <f t="shared" si="3"/>
        <v>0</v>
      </c>
      <c r="D85" s="338">
        <v>1530</v>
      </c>
      <c r="E85" s="7">
        <v>49</v>
      </c>
      <c r="F85" s="8">
        <f t="shared" si="4"/>
        <v>613900</v>
      </c>
      <c r="G85" s="206">
        <f t="shared" si="9"/>
        <v>661.5</v>
      </c>
    </row>
    <row r="86" spans="1:7" x14ac:dyDescent="0.2">
      <c r="A86" t="s">
        <v>234</v>
      </c>
      <c r="B86" s="7">
        <f t="shared" si="7"/>
        <v>0</v>
      </c>
      <c r="C86" s="6">
        <f t="shared" si="3"/>
        <v>0</v>
      </c>
      <c r="D86" s="338">
        <v>1530</v>
      </c>
      <c r="E86" s="7">
        <v>50</v>
      </c>
      <c r="F86" s="8">
        <f t="shared" si="4"/>
        <v>626400</v>
      </c>
      <c r="G86" s="206">
        <f t="shared" si="9"/>
        <v>675</v>
      </c>
    </row>
    <row r="87" spans="1:7" x14ac:dyDescent="0.2">
      <c r="A87" t="s">
        <v>235</v>
      </c>
      <c r="B87" s="7">
        <f t="shared" si="7"/>
        <v>0</v>
      </c>
      <c r="C87" s="6">
        <f t="shared" si="3"/>
        <v>0</v>
      </c>
      <c r="D87" s="338">
        <v>1530</v>
      </c>
      <c r="E87" s="7">
        <v>51</v>
      </c>
      <c r="F87" s="8">
        <f t="shared" si="4"/>
        <v>638900</v>
      </c>
      <c r="G87" s="206">
        <f t="shared" si="9"/>
        <v>688.5</v>
      </c>
    </row>
    <row r="88" spans="1:7" x14ac:dyDescent="0.2">
      <c r="A88" t="s">
        <v>236</v>
      </c>
      <c r="B88" s="7">
        <f>0*IF($B$34="Y",1,0)</f>
        <v>0</v>
      </c>
      <c r="C88" s="6">
        <f t="shared" si="3"/>
        <v>0</v>
      </c>
      <c r="D88" s="338">
        <v>1530</v>
      </c>
      <c r="E88" s="7">
        <v>52</v>
      </c>
      <c r="F88" s="8">
        <f t="shared" si="4"/>
        <v>651400</v>
      </c>
      <c r="G88" s="206">
        <f t="shared" si="9"/>
        <v>702</v>
      </c>
    </row>
    <row r="89" spans="1:7" x14ac:dyDescent="0.2">
      <c r="A89" t="s">
        <v>237</v>
      </c>
      <c r="B89" s="7">
        <f t="shared" ref="B89:B96" si="10">1*IF($B$34="Y",1,0)</f>
        <v>0</v>
      </c>
      <c r="C89" s="6">
        <f t="shared" si="3"/>
        <v>0</v>
      </c>
      <c r="D89" s="338">
        <v>1530</v>
      </c>
      <c r="E89" s="7">
        <v>53</v>
      </c>
      <c r="F89" s="8">
        <f t="shared" si="4"/>
        <v>663900</v>
      </c>
      <c r="G89" s="206">
        <f t="shared" si="9"/>
        <v>715.5</v>
      </c>
    </row>
    <row r="90" spans="1:7" x14ac:dyDescent="0.2">
      <c r="A90" t="s">
        <v>238</v>
      </c>
      <c r="B90" s="7">
        <f t="shared" si="10"/>
        <v>0</v>
      </c>
      <c r="C90" s="6">
        <f t="shared" si="3"/>
        <v>0</v>
      </c>
      <c r="D90" s="338">
        <v>1530</v>
      </c>
      <c r="E90" s="7">
        <v>54</v>
      </c>
      <c r="F90" s="8">
        <f t="shared" si="4"/>
        <v>676400</v>
      </c>
      <c r="G90" s="206">
        <f t="shared" si="9"/>
        <v>729</v>
      </c>
    </row>
    <row r="91" spans="1:7" x14ac:dyDescent="0.2">
      <c r="A91" t="s">
        <v>239</v>
      </c>
      <c r="B91" s="7">
        <f t="shared" si="10"/>
        <v>0</v>
      </c>
      <c r="C91" s="6">
        <f t="shared" si="3"/>
        <v>0</v>
      </c>
      <c r="D91" s="338">
        <v>1650</v>
      </c>
      <c r="E91" s="7">
        <v>55</v>
      </c>
      <c r="F91" s="8">
        <f t="shared" si="4"/>
        <v>688900</v>
      </c>
      <c r="G91" s="206">
        <f t="shared" si="9"/>
        <v>742.5</v>
      </c>
    </row>
    <row r="92" spans="1:7" x14ac:dyDescent="0.2">
      <c r="A92" t="s">
        <v>240</v>
      </c>
      <c r="B92" s="7">
        <f t="shared" si="10"/>
        <v>0</v>
      </c>
      <c r="C92" s="6">
        <f t="shared" si="3"/>
        <v>0</v>
      </c>
      <c r="D92" s="338">
        <v>1530</v>
      </c>
      <c r="E92" s="7">
        <v>56</v>
      </c>
      <c r="F92" s="8">
        <f t="shared" si="4"/>
        <v>701400</v>
      </c>
      <c r="G92" s="206">
        <f t="shared" si="9"/>
        <v>756</v>
      </c>
    </row>
    <row r="93" spans="1:7" x14ac:dyDescent="0.2">
      <c r="A93" t="s">
        <v>241</v>
      </c>
      <c r="B93" s="7">
        <f t="shared" si="10"/>
        <v>0</v>
      </c>
      <c r="C93" s="6">
        <f t="shared" si="3"/>
        <v>0</v>
      </c>
      <c r="D93" s="338">
        <v>1400</v>
      </c>
      <c r="E93" s="7">
        <v>57</v>
      </c>
      <c r="F93" s="8">
        <f t="shared" si="4"/>
        <v>713900</v>
      </c>
      <c r="G93" s="206">
        <f t="shared" si="9"/>
        <v>769.5</v>
      </c>
    </row>
    <row r="94" spans="1:7" x14ac:dyDescent="0.2">
      <c r="A94" t="s">
        <v>242</v>
      </c>
      <c r="B94" s="7">
        <f t="shared" si="10"/>
        <v>0</v>
      </c>
      <c r="C94" s="6">
        <f t="shared" si="3"/>
        <v>0</v>
      </c>
      <c r="D94" s="338">
        <v>1530</v>
      </c>
      <c r="E94" s="7">
        <v>58</v>
      </c>
      <c r="F94" s="8">
        <f t="shared" si="4"/>
        <v>726400</v>
      </c>
      <c r="G94" s="206">
        <f t="shared" si="9"/>
        <v>783</v>
      </c>
    </row>
    <row r="95" spans="1:7" x14ac:dyDescent="0.2">
      <c r="A95" t="s">
        <v>243</v>
      </c>
      <c r="B95" s="7">
        <f t="shared" si="10"/>
        <v>0</v>
      </c>
      <c r="C95" s="6">
        <f t="shared" si="3"/>
        <v>0</v>
      </c>
      <c r="D95" s="338">
        <v>1650</v>
      </c>
      <c r="E95" s="7">
        <v>59</v>
      </c>
      <c r="F95" s="8">
        <f t="shared" si="4"/>
        <v>738900</v>
      </c>
      <c r="G95" s="206">
        <f t="shared" si="9"/>
        <v>796.5</v>
      </c>
    </row>
    <row r="96" spans="1:7" x14ac:dyDescent="0.2">
      <c r="A96" t="s">
        <v>244</v>
      </c>
      <c r="B96" s="7">
        <f t="shared" si="10"/>
        <v>0</v>
      </c>
      <c r="C96" s="6">
        <f t="shared" si="3"/>
        <v>0</v>
      </c>
      <c r="D96" s="338">
        <v>1530</v>
      </c>
      <c r="E96" s="7">
        <v>60</v>
      </c>
      <c r="F96" s="8">
        <f t="shared" si="4"/>
        <v>751400</v>
      </c>
      <c r="G96" s="206">
        <f t="shared" si="9"/>
        <v>810</v>
      </c>
    </row>
    <row r="97" spans="1:7" x14ac:dyDescent="0.2">
      <c r="A97" t="s">
        <v>245</v>
      </c>
      <c r="B97" s="7">
        <f>0*IF($B$34="Y",1,0)</f>
        <v>0</v>
      </c>
      <c r="C97" s="6">
        <f t="shared" si="3"/>
        <v>0</v>
      </c>
      <c r="D97" s="338">
        <v>1650</v>
      </c>
      <c r="E97" s="7">
        <v>61</v>
      </c>
      <c r="F97" s="8">
        <f t="shared" si="4"/>
        <v>763900</v>
      </c>
      <c r="G97" s="206">
        <f t="shared" si="9"/>
        <v>823.5</v>
      </c>
    </row>
    <row r="98" spans="1:7" x14ac:dyDescent="0.2">
      <c r="A98" t="s">
        <v>246</v>
      </c>
      <c r="B98" s="7">
        <f t="shared" ref="B98:B103" si="11">1*IF($B$34="Y",1,0)</f>
        <v>0</v>
      </c>
      <c r="C98" s="6">
        <f t="shared" si="3"/>
        <v>0</v>
      </c>
      <c r="D98" s="338">
        <v>1530</v>
      </c>
      <c r="E98" s="7">
        <v>62</v>
      </c>
      <c r="F98" s="8">
        <f t="shared" si="4"/>
        <v>776400</v>
      </c>
      <c r="G98" s="206">
        <f t="shared" si="9"/>
        <v>837</v>
      </c>
    </row>
    <row r="99" spans="1:7" x14ac:dyDescent="0.2">
      <c r="A99" t="s">
        <v>247</v>
      </c>
      <c r="B99" s="7">
        <f t="shared" si="11"/>
        <v>0</v>
      </c>
      <c r="C99" s="6">
        <f t="shared" si="3"/>
        <v>0</v>
      </c>
      <c r="D99" s="338">
        <v>1530</v>
      </c>
      <c r="E99" s="7">
        <v>63</v>
      </c>
      <c r="F99" s="8">
        <f t="shared" si="4"/>
        <v>788900</v>
      </c>
      <c r="G99" s="206">
        <f t="shared" ref="G99:G114" si="12">E99*13.5</f>
        <v>850.5</v>
      </c>
    </row>
    <row r="100" spans="1:7" x14ac:dyDescent="0.2">
      <c r="A100" t="s">
        <v>248</v>
      </c>
      <c r="B100" s="7">
        <f t="shared" si="11"/>
        <v>0</v>
      </c>
      <c r="C100" s="6">
        <f t="shared" si="3"/>
        <v>0</v>
      </c>
      <c r="D100" s="338">
        <v>1530</v>
      </c>
      <c r="E100" s="7">
        <v>64</v>
      </c>
      <c r="F100" s="8">
        <f t="shared" si="4"/>
        <v>801400</v>
      </c>
      <c r="G100" s="206">
        <f t="shared" si="12"/>
        <v>864</v>
      </c>
    </row>
    <row r="101" spans="1:7" x14ac:dyDescent="0.2">
      <c r="A101" t="s">
        <v>249</v>
      </c>
      <c r="B101" s="7">
        <f t="shared" si="11"/>
        <v>0</v>
      </c>
      <c r="C101" s="6">
        <f t="shared" si="3"/>
        <v>0</v>
      </c>
      <c r="D101" s="338">
        <v>1530</v>
      </c>
      <c r="E101" s="7">
        <v>65</v>
      </c>
      <c r="F101" s="8">
        <f t="shared" si="4"/>
        <v>813900</v>
      </c>
      <c r="G101" s="206">
        <f t="shared" si="12"/>
        <v>877.5</v>
      </c>
    </row>
    <row r="102" spans="1:7" x14ac:dyDescent="0.2">
      <c r="A102" t="s">
        <v>250</v>
      </c>
      <c r="B102" s="7">
        <f t="shared" si="11"/>
        <v>0</v>
      </c>
      <c r="C102" s="6">
        <f t="shared" si="3"/>
        <v>0</v>
      </c>
      <c r="D102" s="338">
        <v>1650</v>
      </c>
      <c r="E102" s="7">
        <v>66</v>
      </c>
      <c r="F102" s="8">
        <f t="shared" si="4"/>
        <v>826400</v>
      </c>
      <c r="G102" s="206">
        <f t="shared" si="12"/>
        <v>891</v>
      </c>
    </row>
    <row r="103" spans="1:7" x14ac:dyDescent="0.2">
      <c r="A103" t="s">
        <v>251</v>
      </c>
      <c r="B103" s="7">
        <f t="shared" si="11"/>
        <v>0</v>
      </c>
      <c r="C103" s="6">
        <f t="shared" si="3"/>
        <v>0</v>
      </c>
      <c r="D103" s="338">
        <v>1530</v>
      </c>
      <c r="E103" s="7">
        <v>67</v>
      </c>
      <c r="F103" s="8">
        <f t="shared" si="4"/>
        <v>838900</v>
      </c>
      <c r="G103" s="206">
        <f t="shared" si="12"/>
        <v>904.5</v>
      </c>
    </row>
    <row r="104" spans="1:7" x14ac:dyDescent="0.2">
      <c r="A104" t="s">
        <v>252</v>
      </c>
      <c r="B104" s="7">
        <f>0*IF($B$34="Y",1,0)</f>
        <v>0</v>
      </c>
      <c r="C104" s="6">
        <f t="shared" si="3"/>
        <v>0</v>
      </c>
      <c r="D104" s="338">
        <v>1530</v>
      </c>
      <c r="E104" s="7">
        <v>68</v>
      </c>
      <c r="F104" s="8">
        <f t="shared" si="4"/>
        <v>851400</v>
      </c>
      <c r="G104" s="206">
        <f t="shared" si="12"/>
        <v>918</v>
      </c>
    </row>
    <row r="105" spans="1:7" x14ac:dyDescent="0.2">
      <c r="A105" t="s">
        <v>253</v>
      </c>
      <c r="B105" s="7">
        <f t="shared" ref="B105:B117" si="13">1*IF($B$34="Y",1,0)</f>
        <v>0</v>
      </c>
      <c r="C105" s="6">
        <f t="shared" ref="C105:C117" si="14">IF(AND(B105,$B$33), $C$34, 0)</f>
        <v>0</v>
      </c>
      <c r="D105" s="338">
        <v>1530</v>
      </c>
      <c r="E105" s="7">
        <v>69</v>
      </c>
      <c r="F105" s="8">
        <f t="shared" si="4"/>
        <v>863900</v>
      </c>
      <c r="G105" s="206">
        <f t="shared" si="12"/>
        <v>931.5</v>
      </c>
    </row>
    <row r="106" spans="1:7" x14ac:dyDescent="0.2">
      <c r="A106" t="s">
        <v>254</v>
      </c>
      <c r="B106" s="7">
        <f t="shared" si="13"/>
        <v>0</v>
      </c>
      <c r="C106" s="6">
        <f t="shared" si="14"/>
        <v>0</v>
      </c>
      <c r="D106" s="338">
        <v>1530</v>
      </c>
      <c r="E106" s="7">
        <v>70</v>
      </c>
      <c r="F106" s="8">
        <f t="shared" ref="F106:F136" si="15">F105+12500</f>
        <v>876400</v>
      </c>
      <c r="G106" s="206">
        <f t="shared" si="12"/>
        <v>945</v>
      </c>
    </row>
    <row r="107" spans="1:7" x14ac:dyDescent="0.2">
      <c r="A107" t="s">
        <v>255</v>
      </c>
      <c r="B107" s="7">
        <f t="shared" si="13"/>
        <v>0</v>
      </c>
      <c r="C107" s="6">
        <f t="shared" si="14"/>
        <v>0</v>
      </c>
      <c r="D107" s="338">
        <v>1650</v>
      </c>
      <c r="E107" s="7">
        <v>71</v>
      </c>
      <c r="F107" s="8">
        <f t="shared" si="15"/>
        <v>888900</v>
      </c>
      <c r="G107" s="206">
        <f t="shared" si="12"/>
        <v>958.5</v>
      </c>
    </row>
    <row r="108" spans="1:7" x14ac:dyDescent="0.2">
      <c r="A108" t="s">
        <v>256</v>
      </c>
      <c r="B108" s="7">
        <f t="shared" si="13"/>
        <v>0</v>
      </c>
      <c r="C108" s="6">
        <f t="shared" si="14"/>
        <v>0</v>
      </c>
      <c r="D108" s="338">
        <v>1530</v>
      </c>
      <c r="E108" s="7">
        <v>72</v>
      </c>
      <c r="F108" s="8">
        <f t="shared" si="15"/>
        <v>901400</v>
      </c>
      <c r="G108" s="206">
        <f t="shared" si="12"/>
        <v>972</v>
      </c>
    </row>
    <row r="109" spans="1:7" x14ac:dyDescent="0.2">
      <c r="A109" t="s">
        <v>257</v>
      </c>
      <c r="B109" s="7">
        <f t="shared" si="13"/>
        <v>0</v>
      </c>
      <c r="C109" s="6">
        <f t="shared" si="14"/>
        <v>0</v>
      </c>
      <c r="D109" s="338">
        <v>1530</v>
      </c>
      <c r="E109" s="7">
        <v>73</v>
      </c>
      <c r="F109" s="8">
        <f t="shared" si="15"/>
        <v>913900</v>
      </c>
      <c r="G109" s="206">
        <f t="shared" si="12"/>
        <v>985.5</v>
      </c>
    </row>
    <row r="110" spans="1:7" x14ac:dyDescent="0.2">
      <c r="A110" t="s">
        <v>258</v>
      </c>
      <c r="B110" s="7">
        <f t="shared" si="13"/>
        <v>0</v>
      </c>
      <c r="C110" s="6">
        <f t="shared" si="14"/>
        <v>0</v>
      </c>
      <c r="D110" s="338">
        <v>1530</v>
      </c>
      <c r="E110" s="7">
        <v>74</v>
      </c>
      <c r="F110" s="8">
        <f t="shared" si="15"/>
        <v>926400</v>
      </c>
      <c r="G110" s="206">
        <f t="shared" si="12"/>
        <v>999</v>
      </c>
    </row>
    <row r="111" spans="1:7" x14ac:dyDescent="0.2">
      <c r="A111" t="s">
        <v>259</v>
      </c>
      <c r="B111" s="7">
        <f t="shared" si="13"/>
        <v>0</v>
      </c>
      <c r="C111" s="6">
        <f t="shared" si="14"/>
        <v>0</v>
      </c>
      <c r="D111" s="338">
        <v>1530</v>
      </c>
      <c r="E111" s="7">
        <v>75</v>
      </c>
      <c r="F111" s="8">
        <f t="shared" si="15"/>
        <v>938900</v>
      </c>
      <c r="G111" s="206">
        <f t="shared" si="12"/>
        <v>1012.5</v>
      </c>
    </row>
    <row r="112" spans="1:7" x14ac:dyDescent="0.2">
      <c r="A112" t="s">
        <v>260</v>
      </c>
      <c r="B112" s="7">
        <f t="shared" si="13"/>
        <v>0</v>
      </c>
      <c r="C112" s="6">
        <f t="shared" si="14"/>
        <v>0</v>
      </c>
      <c r="D112" s="338">
        <v>1530</v>
      </c>
      <c r="E112" s="7">
        <v>76</v>
      </c>
      <c r="F112" s="8">
        <f t="shared" si="15"/>
        <v>951400</v>
      </c>
      <c r="G112" s="206">
        <f t="shared" si="12"/>
        <v>1026</v>
      </c>
    </row>
    <row r="113" spans="1:7" x14ac:dyDescent="0.2">
      <c r="A113" t="s">
        <v>261</v>
      </c>
      <c r="B113" s="7">
        <f t="shared" si="13"/>
        <v>0</v>
      </c>
      <c r="C113" s="6">
        <f t="shared" si="14"/>
        <v>0</v>
      </c>
      <c r="D113" s="338">
        <v>1530</v>
      </c>
      <c r="E113" s="7">
        <v>77</v>
      </c>
      <c r="F113" s="8">
        <f t="shared" si="15"/>
        <v>963900</v>
      </c>
      <c r="G113" s="206">
        <f t="shared" si="12"/>
        <v>1039.5</v>
      </c>
    </row>
    <row r="114" spans="1:7" x14ac:dyDescent="0.2">
      <c r="A114" t="s">
        <v>262</v>
      </c>
      <c r="B114" s="7">
        <f t="shared" si="13"/>
        <v>0</v>
      </c>
      <c r="C114" s="6">
        <f t="shared" si="14"/>
        <v>0</v>
      </c>
      <c r="D114" s="338">
        <v>1530</v>
      </c>
      <c r="E114" s="7">
        <v>78</v>
      </c>
      <c r="F114" s="8">
        <f t="shared" si="15"/>
        <v>976400</v>
      </c>
      <c r="G114" s="206">
        <f t="shared" si="12"/>
        <v>1053</v>
      </c>
    </row>
    <row r="115" spans="1:7" x14ac:dyDescent="0.2">
      <c r="A115" t="s">
        <v>263</v>
      </c>
      <c r="B115" s="7">
        <f t="shared" si="13"/>
        <v>0</v>
      </c>
      <c r="C115" s="6">
        <f t="shared" si="14"/>
        <v>0</v>
      </c>
      <c r="D115" s="338">
        <v>1530</v>
      </c>
      <c r="E115" s="7">
        <v>79</v>
      </c>
      <c r="F115" s="8">
        <f t="shared" si="15"/>
        <v>988900</v>
      </c>
      <c r="G115" s="206">
        <f t="shared" ref="G115:G136" si="16">E115*13.5</f>
        <v>1066.5</v>
      </c>
    </row>
    <row r="116" spans="1:7" x14ac:dyDescent="0.2">
      <c r="A116" t="s">
        <v>264</v>
      </c>
      <c r="B116" s="7">
        <f t="shared" si="13"/>
        <v>0</v>
      </c>
      <c r="C116" s="6">
        <f t="shared" si="14"/>
        <v>0</v>
      </c>
      <c r="D116" s="338">
        <v>1530</v>
      </c>
      <c r="E116" s="7">
        <v>80</v>
      </c>
      <c r="F116" s="8">
        <f t="shared" si="15"/>
        <v>1001400</v>
      </c>
      <c r="G116" s="206">
        <f t="shared" si="16"/>
        <v>1080</v>
      </c>
    </row>
    <row r="117" spans="1:7" x14ac:dyDescent="0.2">
      <c r="A117" t="s">
        <v>265</v>
      </c>
      <c r="B117" s="7">
        <f t="shared" si="13"/>
        <v>0</v>
      </c>
      <c r="C117" s="6">
        <f t="shared" si="14"/>
        <v>0</v>
      </c>
      <c r="D117" s="338">
        <v>1650</v>
      </c>
      <c r="E117" s="7">
        <v>81</v>
      </c>
      <c r="F117" s="8">
        <f t="shared" si="15"/>
        <v>1013900</v>
      </c>
      <c r="G117" s="206">
        <f t="shared" si="16"/>
        <v>1093.5</v>
      </c>
    </row>
    <row r="118" spans="1:7" x14ac:dyDescent="0.2">
      <c r="D118" s="338"/>
      <c r="E118" s="7">
        <v>82</v>
      </c>
      <c r="F118" s="8">
        <f t="shared" si="15"/>
        <v>1026400</v>
      </c>
      <c r="G118" s="206">
        <f t="shared" si="16"/>
        <v>1107</v>
      </c>
    </row>
    <row r="119" spans="1:7" x14ac:dyDescent="0.2">
      <c r="E119" s="7">
        <v>83</v>
      </c>
      <c r="F119" s="8">
        <f t="shared" si="15"/>
        <v>1038900</v>
      </c>
      <c r="G119" s="206">
        <f t="shared" si="16"/>
        <v>1120.5</v>
      </c>
    </row>
    <row r="120" spans="1:7" x14ac:dyDescent="0.2">
      <c r="E120" s="7">
        <v>84</v>
      </c>
      <c r="F120" s="8">
        <f t="shared" si="15"/>
        <v>1051400</v>
      </c>
      <c r="G120" s="206">
        <f t="shared" si="16"/>
        <v>1134</v>
      </c>
    </row>
    <row r="121" spans="1:7" x14ac:dyDescent="0.2">
      <c r="E121" s="7">
        <v>85</v>
      </c>
      <c r="F121" s="8">
        <f t="shared" si="15"/>
        <v>1063900</v>
      </c>
      <c r="G121" s="206">
        <f t="shared" si="16"/>
        <v>1147.5</v>
      </c>
    </row>
    <row r="122" spans="1:7" x14ac:dyDescent="0.2">
      <c r="E122" s="7">
        <v>86</v>
      </c>
      <c r="F122" s="8">
        <f t="shared" si="15"/>
        <v>1076400</v>
      </c>
      <c r="G122" s="206">
        <f t="shared" si="16"/>
        <v>1161</v>
      </c>
    </row>
    <row r="123" spans="1:7" x14ac:dyDescent="0.2">
      <c r="E123" s="7">
        <v>87</v>
      </c>
      <c r="F123" s="8">
        <f t="shared" si="15"/>
        <v>1088900</v>
      </c>
      <c r="G123" s="206">
        <f t="shared" si="16"/>
        <v>1174.5</v>
      </c>
    </row>
    <row r="124" spans="1:7" x14ac:dyDescent="0.2">
      <c r="E124" s="7">
        <v>88</v>
      </c>
      <c r="F124" s="8">
        <f t="shared" si="15"/>
        <v>1101400</v>
      </c>
      <c r="G124" s="206">
        <f t="shared" si="16"/>
        <v>1188</v>
      </c>
    </row>
    <row r="125" spans="1:7" x14ac:dyDescent="0.2">
      <c r="E125" s="7">
        <v>89</v>
      </c>
      <c r="F125" s="8">
        <f t="shared" si="15"/>
        <v>1113900</v>
      </c>
      <c r="G125" s="206">
        <f t="shared" si="16"/>
        <v>1201.5</v>
      </c>
    </row>
    <row r="126" spans="1:7" x14ac:dyDescent="0.2">
      <c r="E126" s="7">
        <v>90</v>
      </c>
      <c r="F126" s="8">
        <f t="shared" si="15"/>
        <v>1126400</v>
      </c>
      <c r="G126" s="206">
        <f t="shared" si="16"/>
        <v>1215</v>
      </c>
    </row>
    <row r="127" spans="1:7" x14ac:dyDescent="0.2">
      <c r="E127" s="7">
        <v>91</v>
      </c>
      <c r="F127" s="8">
        <f t="shared" si="15"/>
        <v>1138900</v>
      </c>
      <c r="G127" s="206">
        <f t="shared" si="16"/>
        <v>1228.5</v>
      </c>
    </row>
    <row r="128" spans="1:7" x14ac:dyDescent="0.2">
      <c r="E128" s="7">
        <v>92</v>
      </c>
      <c r="F128" s="8">
        <f t="shared" si="15"/>
        <v>1151400</v>
      </c>
      <c r="G128" s="206">
        <f t="shared" si="16"/>
        <v>1242</v>
      </c>
    </row>
    <row r="129" spans="5:7" x14ac:dyDescent="0.2">
      <c r="E129" s="7">
        <v>93</v>
      </c>
      <c r="F129" s="8">
        <f t="shared" si="15"/>
        <v>1163900</v>
      </c>
      <c r="G129" s="206">
        <f t="shared" si="16"/>
        <v>1255.5</v>
      </c>
    </row>
    <row r="130" spans="5:7" x14ac:dyDescent="0.2">
      <c r="E130" s="7">
        <v>94</v>
      </c>
      <c r="F130" s="8">
        <f t="shared" si="15"/>
        <v>1176400</v>
      </c>
      <c r="G130" s="206">
        <f t="shared" si="16"/>
        <v>1269</v>
      </c>
    </row>
    <row r="131" spans="5:7" x14ac:dyDescent="0.2">
      <c r="E131" s="7">
        <v>95</v>
      </c>
      <c r="F131" s="8">
        <f t="shared" si="15"/>
        <v>1188900</v>
      </c>
      <c r="G131" s="206">
        <f t="shared" si="16"/>
        <v>1282.5</v>
      </c>
    </row>
    <row r="132" spans="5:7" x14ac:dyDescent="0.2">
      <c r="E132" s="7">
        <v>96</v>
      </c>
      <c r="F132" s="8">
        <f t="shared" si="15"/>
        <v>1201400</v>
      </c>
      <c r="G132" s="206">
        <f t="shared" si="16"/>
        <v>1296</v>
      </c>
    </row>
    <row r="133" spans="5:7" x14ac:dyDescent="0.2">
      <c r="E133" s="7">
        <v>97</v>
      </c>
      <c r="F133" s="8">
        <f t="shared" si="15"/>
        <v>1213900</v>
      </c>
      <c r="G133" s="206">
        <f t="shared" si="16"/>
        <v>1309.5</v>
      </c>
    </row>
    <row r="134" spans="5:7" x14ac:dyDescent="0.2">
      <c r="E134" s="7">
        <v>98</v>
      </c>
      <c r="F134" s="8">
        <f t="shared" si="15"/>
        <v>1226400</v>
      </c>
      <c r="G134" s="206">
        <f t="shared" si="16"/>
        <v>1323</v>
      </c>
    </row>
    <row r="135" spans="5:7" x14ac:dyDescent="0.2">
      <c r="E135" s="7">
        <v>99</v>
      </c>
      <c r="F135" s="8">
        <f t="shared" si="15"/>
        <v>1238900</v>
      </c>
      <c r="G135" s="206">
        <f t="shared" si="16"/>
        <v>1336.5</v>
      </c>
    </row>
    <row r="136" spans="5:7" x14ac:dyDescent="0.2">
      <c r="E136" s="7">
        <v>100</v>
      </c>
      <c r="F136" s="8">
        <f t="shared" si="15"/>
        <v>1251400</v>
      </c>
      <c r="G136" s="206">
        <f t="shared" si="16"/>
        <v>1350</v>
      </c>
    </row>
    <row r="139" spans="5:7" x14ac:dyDescent="0.2">
      <c r="E139" s="409" t="s">
        <v>266</v>
      </c>
      <c r="F139" s="409"/>
      <c r="G139" s="409"/>
    </row>
    <row r="140" spans="5:7" x14ac:dyDescent="0.2">
      <c r="E140" s="7" t="s">
        <v>267</v>
      </c>
      <c r="F140" t="s">
        <v>268</v>
      </c>
    </row>
    <row r="141" spans="5:7" x14ac:dyDescent="0.2">
      <c r="E141" s="7" t="s">
        <v>86</v>
      </c>
      <c r="F141" t="s">
        <v>269</v>
      </c>
    </row>
    <row r="142" spans="5:7" x14ac:dyDescent="0.2">
      <c r="F142" t="s">
        <v>270</v>
      </c>
    </row>
    <row r="143" spans="5:7" x14ac:dyDescent="0.2">
      <c r="F143" t="s">
        <v>271</v>
      </c>
    </row>
    <row r="145" spans="5:6" x14ac:dyDescent="0.2">
      <c r="E145" s="7" t="s">
        <v>92</v>
      </c>
      <c r="F145" t="s">
        <v>98</v>
      </c>
    </row>
    <row r="146" spans="5:6" x14ac:dyDescent="0.2">
      <c r="F146" t="s">
        <v>93</v>
      </c>
    </row>
    <row r="148" spans="5:6" x14ac:dyDescent="0.2">
      <c r="E148" s="409" t="s">
        <v>272</v>
      </c>
      <c r="F148" s="409"/>
    </row>
    <row r="149" spans="5:6" x14ac:dyDescent="0.2">
      <c r="E149" s="134">
        <f>'Lista de Baterias (custom)'!B2</f>
        <v>0</v>
      </c>
      <c r="F149" s="126" t="str" cm="1">
        <f t="array" ref="F149:F150">IF(E149=E141,F141:F143,F145:F146)</f>
        <v>eSpire 280</v>
      </c>
    </row>
    <row r="150" spans="5:6" x14ac:dyDescent="0.2">
      <c r="E150" s="134"/>
      <c r="F150" s="126" t="str">
        <v>eSpire Mini</v>
      </c>
    </row>
    <row r="151" spans="5:6" x14ac:dyDescent="0.2">
      <c r="E151" s="134"/>
      <c r="F151" s="126"/>
    </row>
    <row r="152" spans="5:6" x14ac:dyDescent="0.2">
      <c r="E152" s="134"/>
      <c r="F152" s="126"/>
    </row>
    <row r="153" spans="5:6" x14ac:dyDescent="0.2">
      <c r="E153" s="134"/>
      <c r="F153" s="126"/>
    </row>
  </sheetData>
  <sheetProtection selectLockedCells="1" selectUnlockedCells="1"/>
  <sortState xmlns:xlrd2="http://schemas.microsoft.com/office/spreadsheetml/2017/richdata2" ref="A26:G32">
    <sortCondition ref="B26:B32"/>
  </sortState>
  <mergeCells count="5">
    <mergeCell ref="E34:G34"/>
    <mergeCell ref="J13:K13"/>
    <mergeCell ref="L13:M13"/>
    <mergeCell ref="E139:G139"/>
    <mergeCell ref="E148:F148"/>
  </mergeCells>
  <phoneticPr fontId="23" type="noConversion"/>
  <dataValidations count="2">
    <dataValidation type="list" allowBlank="1" showInputMessage="1" showErrorMessage="1" sqref="B34" xr:uid="{53C5D121-92EA-C54D-83B3-EE720375B415}">
      <formula1>"Y,N"</formula1>
    </dataValidation>
    <dataValidation type="list" allowBlank="1" showInputMessage="1" showErrorMessage="1" sqref="C34" xr:uid="{CBB7335D-18FB-B045-886A-493045521252}">
      <formula1>"0%, 5%, 10%, 15%, 20%, 25%, 30%, 35%, 40%, 45%, 50%"</formula1>
    </dataValidation>
  </dataValidations>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1B6C6-1B1B-6741-A330-2CF22DD1D08C}">
  <sheetPr codeName="Sheet2"/>
  <dimension ref="A1:W130"/>
  <sheetViews>
    <sheetView zoomScale="90" zoomScaleNormal="90" workbookViewId="0">
      <pane xSplit="1" topLeftCell="B1" activePane="topRight" state="frozen"/>
      <selection activeCell="A27" sqref="A27"/>
      <selection pane="topRight" activeCell="F17" sqref="F17"/>
    </sheetView>
  </sheetViews>
  <sheetFormatPr baseColWidth="10" defaultColWidth="10.83203125" defaultRowHeight="21" customHeight="1" x14ac:dyDescent="0.25"/>
  <cols>
    <col min="1" max="1" width="13.1640625" style="1" customWidth="1"/>
    <col min="2" max="2" width="58.33203125" style="1" customWidth="1"/>
    <col min="3" max="15" width="17.5" style="1" customWidth="1"/>
    <col min="16" max="16" width="21.33203125" style="1" customWidth="1"/>
    <col min="17" max="17" width="7.5" style="1" customWidth="1"/>
    <col min="18" max="18" width="14" style="1" customWidth="1"/>
    <col min="19" max="19" width="16.5" style="1" customWidth="1"/>
    <col min="20" max="20" width="10.83203125" style="1"/>
    <col min="21" max="21" width="28.6640625" style="244" customWidth="1"/>
    <col min="22" max="22" width="15" style="246" customWidth="1"/>
    <col min="23" max="23" width="14.1640625" style="56" customWidth="1"/>
    <col min="24" max="16384" width="10.83203125" style="1"/>
  </cols>
  <sheetData>
    <row r="1" spans="1:22" ht="21" customHeight="1" x14ac:dyDescent="0.25">
      <c r="A1" s="238" t="s">
        <v>273</v>
      </c>
      <c r="B1" s="189" t="s">
        <v>274</v>
      </c>
    </row>
    <row r="2" spans="1:22" ht="21" customHeight="1" x14ac:dyDescent="0.25">
      <c r="A2" s="418" t="s">
        <v>275</v>
      </c>
      <c r="B2" s="419" t="s">
        <v>276</v>
      </c>
      <c r="C2" s="419"/>
      <c r="D2" s="419"/>
      <c r="E2" s="419"/>
      <c r="F2" s="419"/>
      <c r="G2" s="419"/>
      <c r="H2" s="419"/>
      <c r="I2" s="419"/>
      <c r="J2" s="419"/>
      <c r="K2" s="419"/>
      <c r="L2" s="419"/>
      <c r="M2" s="419"/>
      <c r="N2" s="419"/>
      <c r="O2" s="419"/>
      <c r="P2" s="419"/>
    </row>
    <row r="3" spans="1:22" ht="21" customHeight="1" x14ac:dyDescent="0.25">
      <c r="A3" s="418"/>
      <c r="B3" s="190"/>
      <c r="C3" s="419" t="s">
        <v>277</v>
      </c>
      <c r="D3" s="419"/>
      <c r="E3" s="419"/>
      <c r="F3" s="419"/>
      <c r="G3" s="419"/>
      <c r="H3" s="419"/>
      <c r="I3" s="419"/>
      <c r="J3" s="419"/>
      <c r="K3" s="419"/>
      <c r="L3" s="419"/>
      <c r="M3" s="419"/>
      <c r="N3" s="419"/>
      <c r="O3" s="419"/>
      <c r="P3" s="419"/>
    </row>
    <row r="4" spans="1:22" s="231" customFormat="1" ht="21" customHeight="1" x14ac:dyDescent="0.2">
      <c r="B4" s="230" t="s">
        <v>278</v>
      </c>
      <c r="C4" s="232">
        <v>1</v>
      </c>
      <c r="D4" s="232">
        <v>2</v>
      </c>
      <c r="E4" s="232">
        <v>3</v>
      </c>
      <c r="F4" s="232">
        <v>4</v>
      </c>
      <c r="G4" s="232">
        <v>5</v>
      </c>
      <c r="H4" s="232">
        <v>6</v>
      </c>
      <c r="I4" s="232">
        <v>7</v>
      </c>
      <c r="J4" s="232">
        <v>8</v>
      </c>
      <c r="K4" s="232">
        <v>9</v>
      </c>
      <c r="L4" s="232">
        <v>10</v>
      </c>
      <c r="M4" s="232">
        <v>11</v>
      </c>
      <c r="N4" s="232">
        <v>12</v>
      </c>
      <c r="O4" s="232">
        <v>13</v>
      </c>
      <c r="P4" s="233" t="s">
        <v>279</v>
      </c>
      <c r="U4" s="243"/>
      <c r="V4" s="247"/>
    </row>
    <row r="5" spans="1:22" ht="21" customHeight="1" x14ac:dyDescent="0.25">
      <c r="A5" s="420">
        <v>1</v>
      </c>
      <c r="B5" s="31"/>
      <c r="C5" s="202">
        <f>10*1530*25/12</f>
        <v>31875</v>
      </c>
      <c r="D5" s="202">
        <f>C5</f>
        <v>31875</v>
      </c>
      <c r="E5" s="202">
        <f t="shared" ref="E5:O5" si="0">D5</f>
        <v>31875</v>
      </c>
      <c r="F5" s="202">
        <f t="shared" si="0"/>
        <v>31875</v>
      </c>
      <c r="G5" s="202">
        <f t="shared" si="0"/>
        <v>31875</v>
      </c>
      <c r="H5" s="202">
        <f t="shared" si="0"/>
        <v>31875</v>
      </c>
      <c r="I5" s="202">
        <f t="shared" si="0"/>
        <v>31875</v>
      </c>
      <c r="J5" s="202">
        <f t="shared" si="0"/>
        <v>31875</v>
      </c>
      <c r="K5" s="202">
        <f t="shared" si="0"/>
        <v>31875</v>
      </c>
      <c r="L5" s="202">
        <f t="shared" si="0"/>
        <v>31875</v>
      </c>
      <c r="M5" s="202">
        <f>L5</f>
        <v>31875</v>
      </c>
      <c r="N5" s="202">
        <f t="shared" si="0"/>
        <v>31875</v>
      </c>
      <c r="O5" s="202">
        <f t="shared" si="0"/>
        <v>31875</v>
      </c>
      <c r="P5" s="146" t="s">
        <v>280</v>
      </c>
      <c r="V5" s="248"/>
    </row>
    <row r="6" spans="1:22" ht="21" customHeight="1" x14ac:dyDescent="0.25">
      <c r="A6" s="420"/>
      <c r="B6" s="31" t="s">
        <v>281</v>
      </c>
      <c r="C6" s="201">
        <f t="shared" ref="C6:O6" si="1">IFERROR(IF($P5="Si",AVERAGEIF($C5:$O5,"&lt;&gt;0"),C5),0)</f>
        <v>31875</v>
      </c>
      <c r="D6" s="201">
        <f t="shared" si="1"/>
        <v>31875</v>
      </c>
      <c r="E6" s="201">
        <f t="shared" si="1"/>
        <v>31875</v>
      </c>
      <c r="F6" s="201">
        <f t="shared" si="1"/>
        <v>31875</v>
      </c>
      <c r="G6" s="201">
        <f t="shared" si="1"/>
        <v>31875</v>
      </c>
      <c r="H6" s="201">
        <f t="shared" si="1"/>
        <v>31875</v>
      </c>
      <c r="I6" s="201">
        <f t="shared" si="1"/>
        <v>31875</v>
      </c>
      <c r="J6" s="201">
        <f t="shared" si="1"/>
        <v>31875</v>
      </c>
      <c r="K6" s="201">
        <f t="shared" si="1"/>
        <v>31875</v>
      </c>
      <c r="L6" s="201">
        <f t="shared" si="1"/>
        <v>31875</v>
      </c>
      <c r="M6" s="201">
        <f t="shared" si="1"/>
        <v>31875</v>
      </c>
      <c r="N6" s="201">
        <f t="shared" si="1"/>
        <v>31875</v>
      </c>
      <c r="O6" s="201">
        <f t="shared" si="1"/>
        <v>31875</v>
      </c>
      <c r="P6" s="259" t="s">
        <v>282</v>
      </c>
      <c r="V6" s="248"/>
    </row>
    <row r="7" spans="1:22" ht="21" customHeight="1" x14ac:dyDescent="0.25">
      <c r="A7" s="420"/>
      <c r="B7" s="31" t="s">
        <v>283</v>
      </c>
      <c r="C7" s="3">
        <v>0.25</v>
      </c>
      <c r="D7" s="3">
        <v>0.25</v>
      </c>
      <c r="E7" s="3">
        <v>0.25</v>
      </c>
      <c r="F7" s="3">
        <v>0.25</v>
      </c>
      <c r="G7" s="3">
        <v>0.25</v>
      </c>
      <c r="H7" s="3">
        <v>0.25</v>
      </c>
      <c r="I7" s="3">
        <v>0.25</v>
      </c>
      <c r="J7" s="3">
        <v>0.25</v>
      </c>
      <c r="K7" s="3">
        <v>0.25</v>
      </c>
      <c r="L7" s="3">
        <v>0.25</v>
      </c>
      <c r="M7" s="3">
        <v>0.25</v>
      </c>
      <c r="N7" s="3">
        <v>0.25</v>
      </c>
      <c r="O7" s="3">
        <v>0.25</v>
      </c>
      <c r="P7" s="260">
        <f>IFERROR(AVERAGEIF(C7:O7,"&lt;&gt;0"),"Factura?")</f>
        <v>0.25</v>
      </c>
      <c r="V7" s="248"/>
    </row>
    <row r="8" spans="1:22" ht="21" customHeight="1" x14ac:dyDescent="0.25">
      <c r="A8" s="420"/>
      <c r="B8" s="219" t="s">
        <v>284</v>
      </c>
      <c r="C8" s="5">
        <f>IFERROR(IF($P5="NO",C7*C6,C6*$P7),0)</f>
        <v>7968.75</v>
      </c>
      <c r="D8" s="5">
        <f t="shared" ref="D8" si="2">IFERROR(IF($P5="NO",D7*D6,D6*$P7),0)</f>
        <v>7968.75</v>
      </c>
      <c r="E8" s="5">
        <f t="shared" ref="E8" si="3">IFERROR(IF($P5="NO",E7*E6,E6*$P7),0)</f>
        <v>7968.75</v>
      </c>
      <c r="F8" s="5">
        <f t="shared" ref="F8" si="4">IFERROR(IF($P5="NO",F7*F6,F6*$P7),0)</f>
        <v>7968.75</v>
      </c>
      <c r="G8" s="5">
        <f t="shared" ref="G8" si="5">IFERROR(IF($P5="NO",G7*G6,G6*$P7),0)</f>
        <v>7968.75</v>
      </c>
      <c r="H8" s="5">
        <f t="shared" ref="H8" si="6">IFERROR(IF($P5="NO",H7*H6,H6*$P7),0)</f>
        <v>7968.75</v>
      </c>
      <c r="I8" s="5">
        <f t="shared" ref="I8" si="7">IFERROR(IF($P5="NO",I7*I6,I6*$P7),0)</f>
        <v>7968.75</v>
      </c>
      <c r="J8" s="5">
        <f t="shared" ref="J8" si="8">IFERROR(IF($P5="NO",J7*J6,J6*$P7),0)</f>
        <v>7968.75</v>
      </c>
      <c r="K8" s="5">
        <f t="shared" ref="K8" si="9">IFERROR(IF($P5="NO",K7*K6,K6*$P7),0)</f>
        <v>7968.75</v>
      </c>
      <c r="L8" s="5">
        <f t="shared" ref="L8" si="10">IFERROR(IF($P5="NO",L7*L6,L6*$P7),0)</f>
        <v>7968.75</v>
      </c>
      <c r="M8" s="5">
        <f t="shared" ref="M8" si="11">IFERROR(IF($P5="NO",M7*M6,M6*$P7),0)</f>
        <v>7968.75</v>
      </c>
      <c r="N8" s="5">
        <f t="shared" ref="N8" si="12">IFERROR(IF($P5="NO",N7*N6,N6*$P7),0)</f>
        <v>7968.75</v>
      </c>
      <c r="O8" s="5">
        <f t="shared" ref="O8" si="13">IFERROR(IF($P5="NO",O7*O6,O6*$P7),0)</f>
        <v>7968.75</v>
      </c>
      <c r="P8" s="261"/>
    </row>
    <row r="9" spans="1:22" ht="5" customHeight="1" x14ac:dyDescent="0.25">
      <c r="A9" s="420"/>
      <c r="V9" s="248"/>
    </row>
    <row r="10" spans="1:22" ht="21" customHeight="1" x14ac:dyDescent="0.25">
      <c r="A10" s="420"/>
      <c r="B10" s="31" t="s">
        <v>285</v>
      </c>
      <c r="C10" s="57">
        <v>5</v>
      </c>
      <c r="E10" s="138" t="s">
        <v>286</v>
      </c>
      <c r="F10" s="146" t="s">
        <v>99</v>
      </c>
      <c r="G10" s="421" t="s">
        <v>287</v>
      </c>
      <c r="H10" s="421"/>
      <c r="J10" s="138" t="s">
        <v>288</v>
      </c>
      <c r="K10" s="239">
        <v>0</v>
      </c>
      <c r="N10" s="251"/>
      <c r="O10" s="26" t="s">
        <v>289</v>
      </c>
      <c r="P10" s="26" t="s">
        <v>290</v>
      </c>
      <c r="V10" s="248"/>
    </row>
    <row r="11" spans="1:22" ht="21" customHeight="1" x14ac:dyDescent="0.25">
      <c r="A11" s="420"/>
      <c r="B11" s="31" t="s">
        <v>291</v>
      </c>
      <c r="C11" s="57">
        <v>0</v>
      </c>
      <c r="E11" s="138" t="s">
        <v>292</v>
      </c>
      <c r="F11" s="239">
        <v>200</v>
      </c>
      <c r="G11" s="146" t="s">
        <v>293</v>
      </c>
      <c r="H11" s="239"/>
      <c r="J11" s="138" t="s">
        <v>294</v>
      </c>
      <c r="K11" s="239">
        <v>0</v>
      </c>
      <c r="N11" s="251"/>
      <c r="O11" s="226">
        <f>IF(F10&lt;&gt;"",IF(F10=Variables!$J$3,VLOOKUP(Variables!$J$3,Variables!$J$3:$K$8,2,FALSE),IF(F10=Variables!$J$4,VLOOKUP(F10,Variables!$J$3:$K$8,2,FALSE),IF(F10=Variables!$J$8,VLOOKUP(F10,Variables!$J$3:$K$8,2,FALSE),IF(G11="Ajustar valor", H11, F11)*ac_dc_conv*c_cont_slack))),"Tarifa?")</f>
        <v>360</v>
      </c>
      <c r="P11" s="422">
        <f>IFERROR(IF(O11&lt;=O12*c_cont_slack,MIN(O11:O12), "ERROR"),"")</f>
        <v>360</v>
      </c>
      <c r="V11" s="248"/>
    </row>
    <row r="12" spans="1:22" ht="21" customHeight="1" x14ac:dyDescent="0.25">
      <c r="A12" s="420"/>
      <c r="B12" s="219" t="s">
        <v>295</v>
      </c>
      <c r="C12" s="57">
        <v>0</v>
      </c>
      <c r="E12" s="138" t="s">
        <v>296</v>
      </c>
      <c r="F12" s="239">
        <v>500</v>
      </c>
      <c r="G12" s="146" t="s">
        <v>293</v>
      </c>
      <c r="H12" s="239"/>
      <c r="J12" s="138" t="s">
        <v>297</v>
      </c>
      <c r="K12" s="252">
        <f>SUM(K10:K11)</f>
        <v>0</v>
      </c>
      <c r="O12" s="226">
        <f>IF(F10&lt;&gt;"",IF(F10=Variables!$J$3,VLOOKUP(Variables!$J$3,Variables!$J$3:$K$8,2,FALSE),IF(F10=Variables!$J$4,VLOOKUP(F10,Variables!$J$3:$K$8,2,FALSE),IF(F10=Variables!$J$8,VLOOKUP(F10,Variables!$J$3:$K$8,2,FALSE),IF(G12="Ajustar valor",H12,IF(G12="No está disponible",MAX(F11,H11),F12))*ac_dc_conv*Tx_slack))),"Tarifa?")</f>
        <v>600</v>
      </c>
      <c r="P12" s="423"/>
      <c r="V12" s="248"/>
    </row>
    <row r="13" spans="1:22" ht="21" customHeight="1" x14ac:dyDescent="0.25">
      <c r="V13" s="248"/>
    </row>
    <row r="14" spans="1:22" ht="21" customHeight="1" x14ac:dyDescent="0.25">
      <c r="A14" s="217"/>
      <c r="B14" s="419" t="s">
        <v>276</v>
      </c>
      <c r="C14" s="419"/>
      <c r="D14" s="419"/>
      <c r="E14" s="419"/>
      <c r="F14" s="419"/>
      <c r="G14" s="419"/>
      <c r="H14" s="419"/>
      <c r="I14" s="419"/>
      <c r="J14" s="419"/>
      <c r="K14" s="419"/>
      <c r="L14" s="419"/>
      <c r="M14" s="419"/>
      <c r="N14" s="419"/>
      <c r="O14" s="419"/>
      <c r="P14" s="419"/>
      <c r="V14" s="249"/>
    </row>
    <row r="15" spans="1:22" ht="21" customHeight="1" x14ac:dyDescent="0.25">
      <c r="A15" s="217"/>
      <c r="B15" s="190"/>
      <c r="C15" s="419" t="s">
        <v>277</v>
      </c>
      <c r="D15" s="419"/>
      <c r="E15" s="419"/>
      <c r="F15" s="419"/>
      <c r="G15" s="419"/>
      <c r="H15" s="419"/>
      <c r="I15" s="419"/>
      <c r="J15" s="419"/>
      <c r="K15" s="419"/>
      <c r="L15" s="419"/>
      <c r="M15" s="419"/>
      <c r="N15" s="419"/>
      <c r="O15" s="419"/>
      <c r="P15" s="419"/>
      <c r="V15" s="249"/>
    </row>
    <row r="16" spans="1:22" s="231" customFormat="1" ht="21" customHeight="1" x14ac:dyDescent="0.2">
      <c r="B16" s="230"/>
      <c r="C16" s="232">
        <v>1</v>
      </c>
      <c r="D16" s="232">
        <v>2</v>
      </c>
      <c r="E16" s="232">
        <v>3</v>
      </c>
      <c r="F16" s="232">
        <v>4</v>
      </c>
      <c r="G16" s="232">
        <v>5</v>
      </c>
      <c r="H16" s="232">
        <v>6</v>
      </c>
      <c r="I16" s="232">
        <v>7</v>
      </c>
      <c r="J16" s="232">
        <v>8</v>
      </c>
      <c r="K16" s="232">
        <v>9</v>
      </c>
      <c r="L16" s="232">
        <v>10</v>
      </c>
      <c r="M16" s="232">
        <v>11</v>
      </c>
      <c r="N16" s="232">
        <v>12</v>
      </c>
      <c r="O16" s="232">
        <v>13</v>
      </c>
      <c r="P16" s="233" t="s">
        <v>279</v>
      </c>
      <c r="U16" s="243"/>
      <c r="V16" s="245"/>
    </row>
    <row r="17" spans="1:22" ht="21" customHeight="1" x14ac:dyDescent="0.25">
      <c r="A17" s="412">
        <v>2</v>
      </c>
      <c r="B17" s="31"/>
      <c r="C17" s="202"/>
      <c r="D17" s="202"/>
      <c r="E17" s="202"/>
      <c r="F17" s="202"/>
      <c r="G17" s="202"/>
      <c r="H17" s="202"/>
      <c r="I17" s="202"/>
      <c r="J17" s="202"/>
      <c r="K17" s="202"/>
      <c r="L17" s="202"/>
      <c r="M17" s="202"/>
      <c r="N17" s="202"/>
      <c r="O17" s="202"/>
      <c r="P17" s="146" t="s">
        <v>280</v>
      </c>
    </row>
    <row r="18" spans="1:22" ht="21" customHeight="1" x14ac:dyDescent="0.25">
      <c r="A18" s="413"/>
      <c r="B18" s="31" t="s">
        <v>281</v>
      </c>
      <c r="C18" s="201">
        <f t="shared" ref="C18:O18" si="14">IFERROR(IF($P17="Si",AVERAGEIF($C17:$O17,"&lt;&gt;0"),C17),0)</f>
        <v>0</v>
      </c>
      <c r="D18" s="201">
        <f t="shared" si="14"/>
        <v>0</v>
      </c>
      <c r="E18" s="201">
        <f t="shared" si="14"/>
        <v>0</v>
      </c>
      <c r="F18" s="201">
        <f t="shared" si="14"/>
        <v>0</v>
      </c>
      <c r="G18" s="201">
        <f t="shared" si="14"/>
        <v>0</v>
      </c>
      <c r="H18" s="201">
        <f t="shared" si="14"/>
        <v>0</v>
      </c>
      <c r="I18" s="201">
        <f t="shared" si="14"/>
        <v>0</v>
      </c>
      <c r="J18" s="201">
        <f t="shared" si="14"/>
        <v>0</v>
      </c>
      <c r="K18" s="201">
        <f t="shared" si="14"/>
        <v>0</v>
      </c>
      <c r="L18" s="201">
        <f t="shared" si="14"/>
        <v>0</v>
      </c>
      <c r="M18" s="201">
        <f t="shared" si="14"/>
        <v>0</v>
      </c>
      <c r="N18" s="201">
        <f t="shared" si="14"/>
        <v>0</v>
      </c>
      <c r="O18" s="201">
        <f t="shared" si="14"/>
        <v>0</v>
      </c>
      <c r="P18" s="259" t="s">
        <v>282</v>
      </c>
    </row>
    <row r="19" spans="1:22" ht="21" customHeight="1" x14ac:dyDescent="0.25">
      <c r="A19" s="413"/>
      <c r="B19" s="31" t="s">
        <v>283</v>
      </c>
      <c r="C19" s="3"/>
      <c r="D19" s="3"/>
      <c r="E19" s="3"/>
      <c r="F19" s="3"/>
      <c r="G19" s="3"/>
      <c r="H19" s="3"/>
      <c r="I19" s="3"/>
      <c r="J19" s="3"/>
      <c r="K19" s="3"/>
      <c r="L19" s="3"/>
      <c r="M19" s="3"/>
      <c r="N19" s="3"/>
      <c r="O19" s="3"/>
      <c r="P19" s="260" t="str">
        <f>IFERROR(AVERAGEIF(C19:O19,"&lt;&gt;0"),"Factura?")</f>
        <v>Factura?</v>
      </c>
    </row>
    <row r="20" spans="1:22" ht="21" customHeight="1" x14ac:dyDescent="0.25">
      <c r="A20" s="413"/>
      <c r="B20" s="219" t="s">
        <v>284</v>
      </c>
      <c r="C20" s="5">
        <f>IFERROR(IF($P17="NO",C19*C18,C18*$P19),0)</f>
        <v>0</v>
      </c>
      <c r="D20" s="5">
        <f t="shared" ref="D20:O20" si="15">IFERROR(IF($P17="NO",D19*D18,D18*$P19),0)</f>
        <v>0</v>
      </c>
      <c r="E20" s="5">
        <f t="shared" si="15"/>
        <v>0</v>
      </c>
      <c r="F20" s="5">
        <f t="shared" si="15"/>
        <v>0</v>
      </c>
      <c r="G20" s="5">
        <f t="shared" si="15"/>
        <v>0</v>
      </c>
      <c r="H20" s="5">
        <f t="shared" si="15"/>
        <v>0</v>
      </c>
      <c r="I20" s="5">
        <f t="shared" si="15"/>
        <v>0</v>
      </c>
      <c r="J20" s="5">
        <f t="shared" si="15"/>
        <v>0</v>
      </c>
      <c r="K20" s="5">
        <f t="shared" si="15"/>
        <v>0</v>
      </c>
      <c r="L20" s="5">
        <f t="shared" si="15"/>
        <v>0</v>
      </c>
      <c r="M20" s="5">
        <f t="shared" si="15"/>
        <v>0</v>
      </c>
      <c r="N20" s="5">
        <f t="shared" si="15"/>
        <v>0</v>
      </c>
      <c r="O20" s="5">
        <f t="shared" si="15"/>
        <v>0</v>
      </c>
      <c r="P20" s="261"/>
    </row>
    <row r="21" spans="1:22" ht="3" customHeight="1" x14ac:dyDescent="0.25">
      <c r="A21" s="413"/>
      <c r="P21"/>
    </row>
    <row r="22" spans="1:22" ht="21" customHeight="1" x14ac:dyDescent="0.25">
      <c r="A22" s="413"/>
      <c r="B22" s="31" t="s">
        <v>285</v>
      </c>
      <c r="C22" s="57"/>
      <c r="E22" s="138" t="s">
        <v>286</v>
      </c>
      <c r="F22" s="146"/>
      <c r="G22" s="421" t="s">
        <v>287</v>
      </c>
      <c r="H22" s="421"/>
      <c r="J22" s="138" t="s">
        <v>288</v>
      </c>
      <c r="K22" s="239"/>
      <c r="O22" s="26" t="s">
        <v>289</v>
      </c>
      <c r="P22" s="26" t="s">
        <v>290</v>
      </c>
    </row>
    <row r="23" spans="1:22" ht="21" customHeight="1" x14ac:dyDescent="0.25">
      <c r="A23" s="413"/>
      <c r="B23" s="31" t="s">
        <v>291</v>
      </c>
      <c r="C23" s="57"/>
      <c r="E23" s="138" t="s">
        <v>292</v>
      </c>
      <c r="F23" s="239"/>
      <c r="G23" s="146" t="s">
        <v>293</v>
      </c>
      <c r="H23" s="239"/>
      <c r="J23" s="138" t="s">
        <v>294</v>
      </c>
      <c r="K23" s="239"/>
      <c r="O23" s="226" t="str">
        <f>IF(F22&lt;&gt;"",IF(F22=Variables!$J$3,VLOOKUP(Variables!$J$3,Variables!$J$3:$K$8,2,FALSE),IF(F22=Variables!$J$4,VLOOKUP(F22,Variables!$J$3:$K$8,2,FALSE),IF(F22=Variables!$J$8,VLOOKUP(F22,Variables!$J$3:$K$8,2,FALSE),IF(G23="Ajustar valor", H23, F23)*ac_dc_conv*c_cont_slack))),"Tarifa?")</f>
        <v>Tarifa?</v>
      </c>
      <c r="P23" s="422" t="str">
        <f>IFERROR(IF(O23&lt;=O24*c_cont_slack,MIN(O23:O24), "ERROR"),"")</f>
        <v/>
      </c>
    </row>
    <row r="24" spans="1:22" ht="21" customHeight="1" x14ac:dyDescent="0.25">
      <c r="A24" s="414"/>
      <c r="B24" s="219" t="s">
        <v>298</v>
      </c>
      <c r="C24" s="57"/>
      <c r="E24" s="138" t="s">
        <v>296</v>
      </c>
      <c r="F24" s="239"/>
      <c r="G24" s="146" t="s">
        <v>293</v>
      </c>
      <c r="H24" s="239"/>
      <c r="J24" s="138" t="s">
        <v>297</v>
      </c>
      <c r="K24" s="252">
        <f>SUM(K22:K23)</f>
        <v>0</v>
      </c>
      <c r="O24" s="226" t="str">
        <f>IF(F22&lt;&gt;"",IF(F22=Variables!$J$3,VLOOKUP(Variables!$J$3,Variables!$J$3:$K$8,2,FALSE),IF(F22=Variables!$J$4,VLOOKUP(F22,Variables!$J$3:$K$8,2,FALSE),IF(F22=Variables!$J$8,VLOOKUP(F22,Variables!$J$3:$K$8,2,FALSE),IF(G24="Ajustar valor",H24,IF(G24="No está disponible",MAX(F23,H23),F24))*ac_dc_conv*Tx_slack))),"Tarifa?")</f>
        <v>Tarifa?</v>
      </c>
      <c r="P24" s="423"/>
    </row>
    <row r="26" spans="1:22" ht="21" customHeight="1" x14ac:dyDescent="0.25">
      <c r="A26" s="218"/>
      <c r="B26" s="419" t="s">
        <v>276</v>
      </c>
      <c r="C26" s="419"/>
      <c r="D26" s="419"/>
      <c r="E26" s="419"/>
      <c r="F26" s="419"/>
      <c r="G26" s="419"/>
      <c r="H26" s="419"/>
      <c r="I26" s="419"/>
      <c r="J26" s="419"/>
      <c r="K26" s="419"/>
      <c r="L26" s="419"/>
      <c r="M26" s="419"/>
      <c r="N26" s="419"/>
      <c r="O26" s="419"/>
      <c r="P26" s="419"/>
    </row>
    <row r="27" spans="1:22" ht="21" customHeight="1" x14ac:dyDescent="0.25">
      <c r="A27" s="218"/>
      <c r="B27" s="190"/>
      <c r="C27" s="419" t="s">
        <v>277</v>
      </c>
      <c r="D27" s="419"/>
      <c r="E27" s="419"/>
      <c r="F27" s="419"/>
      <c r="G27" s="419"/>
      <c r="H27" s="419"/>
      <c r="I27" s="419"/>
      <c r="J27" s="419"/>
      <c r="K27" s="419"/>
      <c r="L27" s="419"/>
      <c r="M27" s="419"/>
      <c r="N27" s="419"/>
      <c r="O27" s="419"/>
      <c r="P27" s="419"/>
    </row>
    <row r="28" spans="1:22" ht="21" customHeight="1" x14ac:dyDescent="0.25">
      <c r="A28" s="231"/>
      <c r="B28" s="230"/>
      <c r="C28" s="232">
        <v>1</v>
      </c>
      <c r="D28" s="232">
        <v>2</v>
      </c>
      <c r="E28" s="232">
        <v>3</v>
      </c>
      <c r="F28" s="232">
        <v>4</v>
      </c>
      <c r="G28" s="232">
        <v>5</v>
      </c>
      <c r="H28" s="232">
        <v>6</v>
      </c>
      <c r="I28" s="232">
        <v>7</v>
      </c>
      <c r="J28" s="232">
        <v>8</v>
      </c>
      <c r="K28" s="232">
        <v>9</v>
      </c>
      <c r="L28" s="232">
        <v>10</v>
      </c>
      <c r="M28" s="232">
        <v>11</v>
      </c>
      <c r="N28" s="232">
        <v>12</v>
      </c>
      <c r="O28" s="232">
        <v>13</v>
      </c>
      <c r="P28" s="233" t="s">
        <v>279</v>
      </c>
      <c r="R28" s="231"/>
      <c r="S28" s="231"/>
    </row>
    <row r="29" spans="1:22" s="231" customFormat="1" ht="21" customHeight="1" x14ac:dyDescent="0.2">
      <c r="A29" s="415">
        <v>3</v>
      </c>
      <c r="B29" s="31"/>
      <c r="C29" s="202"/>
      <c r="D29" s="202"/>
      <c r="E29" s="202"/>
      <c r="F29" s="202"/>
      <c r="G29" s="202"/>
      <c r="H29" s="202"/>
      <c r="I29" s="202"/>
      <c r="J29" s="202"/>
      <c r="K29" s="202"/>
      <c r="L29" s="202"/>
      <c r="M29" s="202"/>
      <c r="N29" s="202"/>
      <c r="O29" s="202"/>
      <c r="P29" s="146" t="s">
        <v>280</v>
      </c>
      <c r="R29" s="1"/>
      <c r="S29" s="1"/>
      <c r="U29" s="243"/>
      <c r="V29" s="245"/>
    </row>
    <row r="30" spans="1:22" ht="21" customHeight="1" x14ac:dyDescent="0.25">
      <c r="A30" s="416"/>
      <c r="B30" s="31" t="s">
        <v>281</v>
      </c>
      <c r="C30" s="201">
        <f t="shared" ref="C30:O30" si="16">IFERROR(IF($P29="Si",AVERAGEIF($C29:$O29,"&lt;&gt;0"),C29),0)</f>
        <v>0</v>
      </c>
      <c r="D30" s="201">
        <f t="shared" si="16"/>
        <v>0</v>
      </c>
      <c r="E30" s="201">
        <f t="shared" si="16"/>
        <v>0</v>
      </c>
      <c r="F30" s="201">
        <f t="shared" si="16"/>
        <v>0</v>
      </c>
      <c r="G30" s="201">
        <f t="shared" si="16"/>
        <v>0</v>
      </c>
      <c r="H30" s="201">
        <f t="shared" si="16"/>
        <v>0</v>
      </c>
      <c r="I30" s="201">
        <f t="shared" si="16"/>
        <v>0</v>
      </c>
      <c r="J30" s="201">
        <f t="shared" si="16"/>
        <v>0</v>
      </c>
      <c r="K30" s="201">
        <f t="shared" si="16"/>
        <v>0</v>
      </c>
      <c r="L30" s="201">
        <f t="shared" si="16"/>
        <v>0</v>
      </c>
      <c r="M30" s="201">
        <f t="shared" si="16"/>
        <v>0</v>
      </c>
      <c r="N30" s="201">
        <f t="shared" si="16"/>
        <v>0</v>
      </c>
      <c r="O30" s="201">
        <f t="shared" si="16"/>
        <v>0</v>
      </c>
      <c r="P30" s="259" t="s">
        <v>282</v>
      </c>
      <c r="Q30" s="46"/>
    </row>
    <row r="31" spans="1:22" ht="21" customHeight="1" x14ac:dyDescent="0.25">
      <c r="A31" s="416"/>
      <c r="B31" s="31" t="s">
        <v>283</v>
      </c>
      <c r="C31" s="3"/>
      <c r="D31" s="3"/>
      <c r="E31" s="3"/>
      <c r="F31" s="3"/>
      <c r="G31" s="3"/>
      <c r="H31" s="3"/>
      <c r="I31" s="3"/>
      <c r="J31" s="3"/>
      <c r="K31" s="3"/>
      <c r="L31" s="3"/>
      <c r="M31" s="3"/>
      <c r="N31" s="3"/>
      <c r="O31" s="3"/>
      <c r="P31" s="260" t="str">
        <f>IFERROR(AVERAGEIF(C31:O31,"&lt;&gt;0"),"Factura?")</f>
        <v>Factura?</v>
      </c>
      <c r="Q31" s="46"/>
    </row>
    <row r="32" spans="1:22" ht="21" customHeight="1" x14ac:dyDescent="0.25">
      <c r="A32" s="416"/>
      <c r="B32" s="219" t="s">
        <v>284</v>
      </c>
      <c r="C32" s="5">
        <f>IFERROR(IF($P29="NO",C31*C30,C30*$P31),0)</f>
        <v>0</v>
      </c>
      <c r="D32" s="5">
        <f t="shared" ref="D32" si="17">IFERROR(IF($P29="NO",D31*D30,D30*$P31),0)</f>
        <v>0</v>
      </c>
      <c r="E32" s="5">
        <f t="shared" ref="E32" si="18">IFERROR(IF($P29="NO",E31*E30,E30*$P31),0)</f>
        <v>0</v>
      </c>
      <c r="F32" s="5">
        <f t="shared" ref="F32" si="19">IFERROR(IF($P29="NO",F31*F30,F30*$P31),0)</f>
        <v>0</v>
      </c>
      <c r="G32" s="5">
        <f t="shared" ref="G32" si="20">IFERROR(IF($P29="NO",G31*G30,G30*$P31),0)</f>
        <v>0</v>
      </c>
      <c r="H32" s="5">
        <f t="shared" ref="H32" si="21">IFERROR(IF($P29="NO",H31*H30,H30*$P31),0)</f>
        <v>0</v>
      </c>
      <c r="I32" s="5">
        <f t="shared" ref="I32" si="22">IFERROR(IF($P29="NO",I31*I30,I30*$P31),0)</f>
        <v>0</v>
      </c>
      <c r="J32" s="5">
        <f t="shared" ref="J32" si="23">IFERROR(IF($P29="NO",J31*J30,J30*$P31),0)</f>
        <v>0</v>
      </c>
      <c r="K32" s="5">
        <f t="shared" ref="K32" si="24">IFERROR(IF($P29="NO",K31*K30,K30*$P31),0)</f>
        <v>0</v>
      </c>
      <c r="L32" s="5">
        <f t="shared" ref="L32" si="25">IFERROR(IF($P29="NO",L31*L30,L30*$P31),0)</f>
        <v>0</v>
      </c>
      <c r="M32" s="5">
        <f t="shared" ref="M32" si="26">IFERROR(IF($P29="NO",M31*M30,M30*$P31),0)</f>
        <v>0</v>
      </c>
      <c r="N32" s="5">
        <f t="shared" ref="N32" si="27">IFERROR(IF($P29="NO",N31*N30,N30*$P31),0)</f>
        <v>0</v>
      </c>
      <c r="O32" s="5">
        <f t="shared" ref="O32" si="28">IFERROR(IF($P29="NO",O31*O30,O30*$P31),0)</f>
        <v>0</v>
      </c>
      <c r="P32" s="261"/>
    </row>
    <row r="33" spans="1:22" ht="3" customHeight="1" x14ac:dyDescent="0.25">
      <c r="A33" s="416"/>
    </row>
    <row r="34" spans="1:22" ht="21" customHeight="1" x14ac:dyDescent="0.25">
      <c r="A34" s="416"/>
      <c r="B34" s="31" t="s">
        <v>285</v>
      </c>
      <c r="C34" s="57"/>
      <c r="E34" s="138" t="s">
        <v>286</v>
      </c>
      <c r="F34" s="146"/>
      <c r="G34" s="421" t="s">
        <v>287</v>
      </c>
      <c r="H34" s="421"/>
      <c r="J34" s="138" t="s">
        <v>288</v>
      </c>
      <c r="K34" s="239"/>
      <c r="O34" s="26" t="s">
        <v>289</v>
      </c>
      <c r="P34" s="26" t="s">
        <v>290</v>
      </c>
    </row>
    <row r="35" spans="1:22" ht="21" customHeight="1" x14ac:dyDescent="0.25">
      <c r="A35" s="416"/>
      <c r="B35" s="31" t="s">
        <v>291</v>
      </c>
      <c r="C35" s="57"/>
      <c r="E35" s="138" t="s">
        <v>292</v>
      </c>
      <c r="F35" s="239"/>
      <c r="G35" s="146" t="s">
        <v>293</v>
      </c>
      <c r="H35" s="239"/>
      <c r="J35" s="138" t="s">
        <v>294</v>
      </c>
      <c r="K35" s="239"/>
      <c r="O35" s="226" t="str">
        <f>IF(F34&lt;&gt;"",IF(F34=Variables!$J$3,VLOOKUP(Variables!$J$3,Variables!$J$3:$K$8,2,FALSE),IF(F34=Variables!$J$4,VLOOKUP(F34,Variables!$J$3:$K$8,2,FALSE),IF(F34=Variables!$J$8,VLOOKUP(F34,Variables!$J$3:$K$8,2,FALSE),IF(G35="Ajustar valor", H35, F35)*ac_dc_conv*c_cont_slack))),"Tarifa?")</f>
        <v>Tarifa?</v>
      </c>
      <c r="P35" s="422" t="str">
        <f>IFERROR(IF(O35&lt;=O36*c_cont_slack,MIN(O35:O36), "ERROR"),"")</f>
        <v/>
      </c>
    </row>
    <row r="36" spans="1:22" ht="21" customHeight="1" x14ac:dyDescent="0.25">
      <c r="A36" s="417"/>
      <c r="B36" s="219" t="s">
        <v>298</v>
      </c>
      <c r="C36" s="57"/>
      <c r="E36" s="138" t="s">
        <v>296</v>
      </c>
      <c r="F36" s="239"/>
      <c r="G36" s="146" t="s">
        <v>293</v>
      </c>
      <c r="H36" s="239"/>
      <c r="J36" s="138" t="s">
        <v>297</v>
      </c>
      <c r="K36" s="252">
        <f>SUM(K34:K35)</f>
        <v>0</v>
      </c>
      <c r="O36" s="226" t="str">
        <f>IF(F34&lt;&gt;"",IF(F34=Variables!$J$3,VLOOKUP(Variables!$J$3,Variables!$J$3:$K$8,2,FALSE),IF(F34=Variables!$J$4,VLOOKUP(F34,Variables!$J$3:$K$8,2,FALSE),IF(F34=Variables!$J$8,VLOOKUP(F34,Variables!$J$3:$K$8,2,FALSE),IF(G36="Ajustar valor",H36,IF(G36="No está disponible",MAX(F35,H35),F36))*ac_dc_conv*Tx_slack))),"Tarifa?")</f>
        <v>Tarifa?</v>
      </c>
      <c r="P36" s="423"/>
    </row>
    <row r="38" spans="1:22" ht="21" customHeight="1" x14ac:dyDescent="0.25">
      <c r="A38" s="218"/>
      <c r="B38" s="419" t="s">
        <v>276</v>
      </c>
      <c r="C38" s="419"/>
      <c r="D38" s="419"/>
      <c r="E38" s="419"/>
      <c r="F38" s="419"/>
      <c r="G38" s="419"/>
      <c r="H38" s="419"/>
      <c r="I38" s="419"/>
      <c r="J38" s="419"/>
      <c r="K38" s="419"/>
      <c r="L38" s="419"/>
      <c r="M38" s="419"/>
      <c r="N38" s="419"/>
      <c r="O38" s="419"/>
      <c r="P38" s="419"/>
    </row>
    <row r="39" spans="1:22" ht="21" customHeight="1" x14ac:dyDescent="0.25">
      <c r="A39" s="218"/>
      <c r="B39" s="190"/>
      <c r="C39" s="419" t="s">
        <v>277</v>
      </c>
      <c r="D39" s="419"/>
      <c r="E39" s="419"/>
      <c r="F39" s="419"/>
      <c r="G39" s="419"/>
      <c r="H39" s="419"/>
      <c r="I39" s="419"/>
      <c r="J39" s="419"/>
      <c r="K39" s="419"/>
      <c r="L39" s="419"/>
      <c r="M39" s="419"/>
      <c r="N39" s="419"/>
      <c r="O39" s="419"/>
      <c r="P39" s="419"/>
    </row>
    <row r="40" spans="1:22" ht="21" customHeight="1" x14ac:dyDescent="0.25">
      <c r="A40" s="231"/>
      <c r="B40" s="230"/>
      <c r="C40" s="232">
        <v>1</v>
      </c>
      <c r="D40" s="232">
        <v>2</v>
      </c>
      <c r="E40" s="232">
        <v>3</v>
      </c>
      <c r="F40" s="232">
        <v>4</v>
      </c>
      <c r="G40" s="232">
        <v>5</v>
      </c>
      <c r="H40" s="232">
        <v>6</v>
      </c>
      <c r="I40" s="232">
        <v>7</v>
      </c>
      <c r="J40" s="232">
        <v>8</v>
      </c>
      <c r="K40" s="232">
        <v>9</v>
      </c>
      <c r="L40" s="232">
        <v>10</v>
      </c>
      <c r="M40" s="232">
        <v>11</v>
      </c>
      <c r="N40" s="232">
        <v>12</v>
      </c>
      <c r="O40" s="232">
        <v>13</v>
      </c>
      <c r="P40" s="233" t="s">
        <v>279</v>
      </c>
      <c r="R40" s="231"/>
      <c r="S40" s="231"/>
    </row>
    <row r="41" spans="1:22" ht="21" customHeight="1" x14ac:dyDescent="0.25">
      <c r="A41" s="415">
        <v>4</v>
      </c>
      <c r="B41" s="31"/>
      <c r="C41" s="202"/>
      <c r="D41" s="202"/>
      <c r="E41" s="202"/>
      <c r="F41" s="202"/>
      <c r="G41" s="202"/>
      <c r="H41" s="202"/>
      <c r="I41" s="202"/>
      <c r="J41" s="202"/>
      <c r="K41" s="202"/>
      <c r="L41" s="202"/>
      <c r="M41" s="202"/>
      <c r="N41" s="202"/>
      <c r="O41" s="202"/>
      <c r="P41" s="146" t="s">
        <v>280</v>
      </c>
      <c r="Q41" s="231"/>
      <c r="T41" s="231"/>
    </row>
    <row r="42" spans="1:22" s="231" customFormat="1" ht="21" customHeight="1" x14ac:dyDescent="0.2">
      <c r="A42" s="416"/>
      <c r="B42" s="31" t="s">
        <v>281</v>
      </c>
      <c r="C42" s="201">
        <f t="shared" ref="C42:O42" si="29">IFERROR(IF($P41="Si",AVERAGEIF($C41:$O41,"&lt;&gt;0"),C41),0)</f>
        <v>0</v>
      </c>
      <c r="D42" s="201">
        <f t="shared" si="29"/>
        <v>0</v>
      </c>
      <c r="E42" s="201">
        <f t="shared" si="29"/>
        <v>0</v>
      </c>
      <c r="F42" s="201">
        <f t="shared" si="29"/>
        <v>0</v>
      </c>
      <c r="G42" s="201">
        <f t="shared" si="29"/>
        <v>0</v>
      </c>
      <c r="H42" s="201">
        <f t="shared" si="29"/>
        <v>0</v>
      </c>
      <c r="I42" s="201">
        <f t="shared" si="29"/>
        <v>0</v>
      </c>
      <c r="J42" s="201">
        <f t="shared" si="29"/>
        <v>0</v>
      </c>
      <c r="K42" s="201">
        <f t="shared" si="29"/>
        <v>0</v>
      </c>
      <c r="L42" s="201">
        <f t="shared" si="29"/>
        <v>0</v>
      </c>
      <c r="M42" s="201">
        <f t="shared" si="29"/>
        <v>0</v>
      </c>
      <c r="N42" s="201">
        <f t="shared" si="29"/>
        <v>0</v>
      </c>
      <c r="O42" s="201">
        <f t="shared" si="29"/>
        <v>0</v>
      </c>
      <c r="P42" s="259" t="s">
        <v>282</v>
      </c>
      <c r="Q42" s="1"/>
      <c r="R42" s="1"/>
      <c r="S42" s="1"/>
      <c r="T42" s="1"/>
      <c r="U42" s="243"/>
      <c r="V42" s="245"/>
    </row>
    <row r="43" spans="1:22" ht="21" customHeight="1" x14ac:dyDescent="0.25">
      <c r="A43" s="416"/>
      <c r="B43" s="31" t="s">
        <v>283</v>
      </c>
      <c r="C43" s="3"/>
      <c r="D43" s="3"/>
      <c r="E43" s="3"/>
      <c r="F43" s="3"/>
      <c r="G43" s="3"/>
      <c r="H43" s="3"/>
      <c r="I43" s="3"/>
      <c r="J43" s="3"/>
      <c r="K43" s="3"/>
      <c r="L43" s="3"/>
      <c r="M43" s="3"/>
      <c r="N43" s="3"/>
      <c r="O43" s="3"/>
      <c r="P43" s="260" t="str">
        <f>IFERROR(AVERAGEIF(C43:O43,"&lt;&gt;0"),"Factura?")</f>
        <v>Factura?</v>
      </c>
    </row>
    <row r="44" spans="1:22" ht="21" customHeight="1" x14ac:dyDescent="0.25">
      <c r="A44" s="416"/>
      <c r="B44" s="219" t="s">
        <v>284</v>
      </c>
      <c r="C44" s="5">
        <f>IFERROR(IF($P41="NO",C43*C42,C42*$P43),0)</f>
        <v>0</v>
      </c>
      <c r="D44" s="5">
        <f t="shared" ref="D44" si="30">IFERROR(IF($P41="NO",D43*D42,D42*$P43),0)</f>
        <v>0</v>
      </c>
      <c r="E44" s="5">
        <f t="shared" ref="E44" si="31">IFERROR(IF($P41="NO",E43*E42,E42*$P43),0)</f>
        <v>0</v>
      </c>
      <c r="F44" s="5">
        <f t="shared" ref="F44" si="32">IFERROR(IF($P41="NO",F43*F42,F42*$P43),0)</f>
        <v>0</v>
      </c>
      <c r="G44" s="5">
        <f t="shared" ref="G44" si="33">IFERROR(IF($P41="NO",G43*G42,G42*$P43),0)</f>
        <v>0</v>
      </c>
      <c r="H44" s="5">
        <f t="shared" ref="H44" si="34">IFERROR(IF($P41="NO",H43*H42,H42*$P43),0)</f>
        <v>0</v>
      </c>
      <c r="I44" s="5">
        <f t="shared" ref="I44" si="35">IFERROR(IF($P41="NO",I43*I42,I42*$P43),0)</f>
        <v>0</v>
      </c>
      <c r="J44" s="5">
        <f t="shared" ref="J44" si="36">IFERROR(IF($P41="NO",J43*J42,J42*$P43),0)</f>
        <v>0</v>
      </c>
      <c r="K44" s="5">
        <f t="shared" ref="K44" si="37">IFERROR(IF($P41="NO",K43*K42,K42*$P43),0)</f>
        <v>0</v>
      </c>
      <c r="L44" s="5">
        <f t="shared" ref="L44" si="38">IFERROR(IF($P41="NO",L43*L42,L42*$P43),0)</f>
        <v>0</v>
      </c>
      <c r="M44" s="5">
        <f t="shared" ref="M44" si="39">IFERROR(IF($P41="NO",M43*M42,M42*$P43),0)</f>
        <v>0</v>
      </c>
      <c r="N44" s="5">
        <f t="shared" ref="N44" si="40">IFERROR(IF($P41="NO",N43*N42,N42*$P43),0)</f>
        <v>0</v>
      </c>
      <c r="O44" s="5">
        <f t="shared" ref="O44" si="41">IFERROR(IF($P41="NO",O43*O42,O42*$P43),0)</f>
        <v>0</v>
      </c>
      <c r="P44" s="261"/>
    </row>
    <row r="45" spans="1:22" ht="5" customHeight="1" x14ac:dyDescent="0.25">
      <c r="A45" s="416"/>
    </row>
    <row r="46" spans="1:22" ht="21" customHeight="1" x14ac:dyDescent="0.25">
      <c r="A46" s="416"/>
      <c r="B46" s="31" t="s">
        <v>285</v>
      </c>
      <c r="C46" s="57"/>
      <c r="E46" s="138" t="s">
        <v>286</v>
      </c>
      <c r="F46" s="146"/>
      <c r="G46" s="421" t="s">
        <v>287</v>
      </c>
      <c r="H46" s="421"/>
      <c r="J46" s="138" t="s">
        <v>288</v>
      </c>
      <c r="K46" s="239"/>
      <c r="O46" s="26" t="s">
        <v>289</v>
      </c>
      <c r="P46" s="26" t="s">
        <v>290</v>
      </c>
    </row>
    <row r="47" spans="1:22" ht="21" customHeight="1" x14ac:dyDescent="0.25">
      <c r="A47" s="417"/>
      <c r="B47" s="31" t="s">
        <v>291</v>
      </c>
      <c r="C47" s="57"/>
      <c r="E47" s="138" t="s">
        <v>292</v>
      </c>
      <c r="F47" s="239"/>
      <c r="G47" s="146" t="s">
        <v>293</v>
      </c>
      <c r="H47" s="239"/>
      <c r="J47" s="138" t="s">
        <v>294</v>
      </c>
      <c r="K47" s="239"/>
      <c r="O47" s="226" t="str">
        <f>IF(F46&lt;&gt;"",IF(F46=Variables!$J$3,VLOOKUP(Variables!$J$3,Variables!$J$3:$K$8,2,FALSE),IF(F46=Variables!$J$4,VLOOKUP(F46,Variables!$J$3:$K$8,2,FALSE),IF(F46=Variables!$J$8,VLOOKUP(F46,Variables!$J$3:$K$8,2,FALSE),IF(G47="Ajustar valor", H47, F47)*ac_dc_conv*c_cont_slack))),"Tarifa?")</f>
        <v>Tarifa?</v>
      </c>
      <c r="P47" s="422" t="str">
        <f>IFERROR(IF(O47&lt;=O48*c_cont_slack,MIN(O47:O48), "ERROR"),"")</f>
        <v/>
      </c>
    </row>
    <row r="48" spans="1:22" ht="21" customHeight="1" x14ac:dyDescent="0.25">
      <c r="A48" s="250"/>
      <c r="B48" s="219" t="s">
        <v>298</v>
      </c>
      <c r="C48" s="57"/>
      <c r="E48" s="138" t="s">
        <v>296</v>
      </c>
      <c r="F48" s="239"/>
      <c r="G48" s="146" t="s">
        <v>293</v>
      </c>
      <c r="H48" s="239"/>
      <c r="J48" s="138" t="s">
        <v>297</v>
      </c>
      <c r="K48" s="252">
        <f>SUM(K46:K47)</f>
        <v>0</v>
      </c>
      <c r="O48" s="226" t="str">
        <f>IF(F46&lt;&gt;"",IF(F46=Variables!$J$3,VLOOKUP(Variables!$J$3,Variables!$J$3:$K$8,2,FALSE),IF(F46=Variables!$J$4,VLOOKUP(F46,Variables!$J$3:$K$8,2,FALSE),IF(F46=Variables!$J$8,VLOOKUP(F46,Variables!$J$3:$K$8,2,FALSE),IF(G48="Ajustar valor",H48,IF(G48="No está disponible",MAX(F47,H47),F48))*ac_dc_conv*Tx_slack))),"Tarifa?")</f>
        <v>Tarifa?</v>
      </c>
      <c r="P48" s="423"/>
    </row>
    <row r="49" spans="1:22" ht="21" customHeight="1" x14ac:dyDescent="0.25">
      <c r="R49" s="224"/>
    </row>
    <row r="50" spans="1:22" ht="21" customHeight="1" x14ac:dyDescent="0.25">
      <c r="A50" s="218"/>
      <c r="B50" s="419" t="s">
        <v>276</v>
      </c>
      <c r="C50" s="419"/>
      <c r="D50" s="419"/>
      <c r="E50" s="419"/>
      <c r="F50" s="419"/>
      <c r="G50" s="419"/>
      <c r="H50" s="419"/>
      <c r="I50" s="419"/>
      <c r="J50" s="419"/>
      <c r="K50" s="419"/>
      <c r="L50" s="419"/>
      <c r="M50" s="419"/>
      <c r="N50" s="419"/>
      <c r="O50" s="419"/>
      <c r="P50" s="419"/>
    </row>
    <row r="51" spans="1:22" ht="21" customHeight="1" x14ac:dyDescent="0.25">
      <c r="A51" s="218"/>
      <c r="B51" s="190"/>
      <c r="C51" s="419" t="s">
        <v>277</v>
      </c>
      <c r="D51" s="419"/>
      <c r="E51" s="419"/>
      <c r="F51" s="419"/>
      <c r="G51" s="419"/>
      <c r="H51" s="419"/>
      <c r="I51" s="419"/>
      <c r="J51" s="419"/>
      <c r="K51" s="419"/>
      <c r="L51" s="419"/>
      <c r="M51" s="419"/>
      <c r="N51" s="419"/>
      <c r="O51" s="419"/>
      <c r="P51" s="419"/>
    </row>
    <row r="52" spans="1:22" ht="21" customHeight="1" x14ac:dyDescent="0.25">
      <c r="A52" s="231"/>
      <c r="B52" s="230"/>
      <c r="C52" s="232">
        <v>1</v>
      </c>
      <c r="D52" s="232">
        <v>2</v>
      </c>
      <c r="E52" s="232">
        <v>3</v>
      </c>
      <c r="F52" s="232">
        <v>4</v>
      </c>
      <c r="G52" s="232">
        <v>5</v>
      </c>
      <c r="H52" s="232">
        <v>6</v>
      </c>
      <c r="I52" s="232">
        <v>7</v>
      </c>
      <c r="J52" s="232">
        <v>8</v>
      </c>
      <c r="K52" s="232">
        <v>9</v>
      </c>
      <c r="L52" s="232">
        <v>10</v>
      </c>
      <c r="M52" s="232">
        <v>11</v>
      </c>
      <c r="N52" s="232">
        <v>12</v>
      </c>
      <c r="O52" s="232">
        <v>13</v>
      </c>
      <c r="P52" s="233" t="s">
        <v>279</v>
      </c>
      <c r="R52" s="231"/>
      <c r="S52" s="231"/>
    </row>
    <row r="53" spans="1:22" ht="21" customHeight="1" x14ac:dyDescent="0.25">
      <c r="A53" s="415">
        <v>5</v>
      </c>
      <c r="B53" s="31"/>
      <c r="C53" s="202"/>
      <c r="D53" s="202"/>
      <c r="E53" s="202"/>
      <c r="F53" s="202"/>
      <c r="G53" s="202"/>
      <c r="H53" s="202"/>
      <c r="I53" s="202"/>
      <c r="J53" s="202"/>
      <c r="K53" s="202"/>
      <c r="L53" s="202"/>
      <c r="M53" s="202"/>
      <c r="N53" s="202"/>
      <c r="O53" s="202"/>
      <c r="P53" s="146" t="s">
        <v>280</v>
      </c>
      <c r="Q53" s="231"/>
      <c r="T53" s="231"/>
    </row>
    <row r="54" spans="1:22" s="231" customFormat="1" ht="21" customHeight="1" x14ac:dyDescent="0.2">
      <c r="A54" s="416"/>
      <c r="B54" s="31" t="s">
        <v>281</v>
      </c>
      <c r="C54" s="201">
        <f t="shared" ref="C54:O54" si="42">IFERROR(IF($P53="Si",AVERAGEIF($C53:$O53,"&lt;&gt;0"),C53),0)</f>
        <v>0</v>
      </c>
      <c r="D54" s="201">
        <f t="shared" si="42"/>
        <v>0</v>
      </c>
      <c r="E54" s="201">
        <f t="shared" si="42"/>
        <v>0</v>
      </c>
      <c r="F54" s="201">
        <f t="shared" si="42"/>
        <v>0</v>
      </c>
      <c r="G54" s="201">
        <f t="shared" si="42"/>
        <v>0</v>
      </c>
      <c r="H54" s="201">
        <f t="shared" si="42"/>
        <v>0</v>
      </c>
      <c r="I54" s="201">
        <f t="shared" si="42"/>
        <v>0</v>
      </c>
      <c r="J54" s="201">
        <f t="shared" si="42"/>
        <v>0</v>
      </c>
      <c r="K54" s="201">
        <f t="shared" si="42"/>
        <v>0</v>
      </c>
      <c r="L54" s="201">
        <f t="shared" si="42"/>
        <v>0</v>
      </c>
      <c r="M54" s="201">
        <f t="shared" si="42"/>
        <v>0</v>
      </c>
      <c r="N54" s="201">
        <f t="shared" si="42"/>
        <v>0</v>
      </c>
      <c r="O54" s="201">
        <f t="shared" si="42"/>
        <v>0</v>
      </c>
      <c r="P54" s="259" t="s">
        <v>282</v>
      </c>
      <c r="Q54" s="1"/>
      <c r="R54" s="1"/>
      <c r="S54" s="1"/>
      <c r="T54" s="1"/>
      <c r="U54" s="243"/>
      <c r="V54" s="245"/>
    </row>
    <row r="55" spans="1:22" ht="21" customHeight="1" x14ac:dyDescent="0.25">
      <c r="A55" s="416"/>
      <c r="B55" s="31" t="s">
        <v>283</v>
      </c>
      <c r="C55" s="3"/>
      <c r="D55" s="3"/>
      <c r="E55" s="3"/>
      <c r="F55" s="3"/>
      <c r="G55" s="3"/>
      <c r="H55" s="3"/>
      <c r="I55" s="3"/>
      <c r="J55" s="3"/>
      <c r="K55" s="3"/>
      <c r="L55" s="3"/>
      <c r="M55" s="3"/>
      <c r="N55" s="3"/>
      <c r="O55" s="3"/>
      <c r="P55" s="260" t="str">
        <f>IFERROR(AVERAGEIF(C55:O55,"&lt;&gt;0"),"Factura?")</f>
        <v>Factura?</v>
      </c>
    </row>
    <row r="56" spans="1:22" ht="21" customHeight="1" x14ac:dyDescent="0.25">
      <c r="A56" s="416"/>
      <c r="B56" s="219" t="s">
        <v>284</v>
      </c>
      <c r="C56" s="5">
        <f>IFERROR(IF($P53="NO",C55*C54,C54*$P55),0)</f>
        <v>0</v>
      </c>
      <c r="D56" s="5">
        <f t="shared" ref="D56" si="43">IFERROR(IF($P53="NO",D55*D54,D54*$P55),0)</f>
        <v>0</v>
      </c>
      <c r="E56" s="5">
        <f t="shared" ref="E56" si="44">IFERROR(IF($P53="NO",E55*E54,E54*$P55),0)</f>
        <v>0</v>
      </c>
      <c r="F56" s="5">
        <f t="shared" ref="F56" si="45">IFERROR(IF($P53="NO",F55*F54,F54*$P55),0)</f>
        <v>0</v>
      </c>
      <c r="G56" s="5">
        <f t="shared" ref="G56" si="46">IFERROR(IF($P53="NO",G55*G54,G54*$P55),0)</f>
        <v>0</v>
      </c>
      <c r="H56" s="5">
        <f t="shared" ref="H56" si="47">IFERROR(IF($P53="NO",H55*H54,H54*$P55),0)</f>
        <v>0</v>
      </c>
      <c r="I56" s="5">
        <f t="shared" ref="I56" si="48">IFERROR(IF($P53="NO",I55*I54,I54*$P55),0)</f>
        <v>0</v>
      </c>
      <c r="J56" s="5">
        <f t="shared" ref="J56" si="49">IFERROR(IF($P53="NO",J55*J54,J54*$P55),0)</f>
        <v>0</v>
      </c>
      <c r="K56" s="5">
        <f t="shared" ref="K56" si="50">IFERROR(IF($P53="NO",K55*K54,K54*$P55),0)</f>
        <v>0</v>
      </c>
      <c r="L56" s="5">
        <f t="shared" ref="L56" si="51">IFERROR(IF($P53="NO",L55*L54,L54*$P55),0)</f>
        <v>0</v>
      </c>
      <c r="M56" s="5">
        <f t="shared" ref="M56" si="52">IFERROR(IF($P53="NO",M55*M54,M54*$P55),0)</f>
        <v>0</v>
      </c>
      <c r="N56" s="5">
        <f t="shared" ref="N56" si="53">IFERROR(IF($P53="NO",N55*N54,N54*$P55),0)</f>
        <v>0</v>
      </c>
      <c r="O56" s="5">
        <f t="shared" ref="O56" si="54">IFERROR(IF($P53="NO",O55*O54,O54*$P55),0)</f>
        <v>0</v>
      </c>
      <c r="P56" s="261"/>
    </row>
    <row r="57" spans="1:22" ht="6" customHeight="1" x14ac:dyDescent="0.25">
      <c r="A57" s="416"/>
    </row>
    <row r="58" spans="1:22" ht="21" customHeight="1" x14ac:dyDescent="0.25">
      <c r="A58" s="416"/>
      <c r="B58" s="31" t="s">
        <v>285</v>
      </c>
      <c r="C58" s="57"/>
      <c r="E58" s="138" t="s">
        <v>286</v>
      </c>
      <c r="F58" s="146"/>
      <c r="G58" s="421" t="s">
        <v>287</v>
      </c>
      <c r="H58" s="421"/>
      <c r="J58" s="138" t="s">
        <v>288</v>
      </c>
      <c r="K58" s="239"/>
      <c r="O58" s="26" t="s">
        <v>289</v>
      </c>
      <c r="P58" s="26" t="s">
        <v>290</v>
      </c>
    </row>
    <row r="59" spans="1:22" ht="21" customHeight="1" x14ac:dyDescent="0.25">
      <c r="A59" s="416"/>
      <c r="B59" s="31" t="s">
        <v>291</v>
      </c>
      <c r="C59" s="57"/>
      <c r="E59" s="138" t="s">
        <v>292</v>
      </c>
      <c r="F59" s="239"/>
      <c r="G59" s="146" t="s">
        <v>293</v>
      </c>
      <c r="H59" s="239"/>
      <c r="J59" s="138" t="s">
        <v>294</v>
      </c>
      <c r="K59" s="239"/>
      <c r="O59" s="226" t="str">
        <f>IF(F58&lt;&gt;"",IF(F58=Variables!$J$3,VLOOKUP(Variables!$J$3,Variables!$J$3:$K$8,2,FALSE),IF(F58=Variables!$J$4,VLOOKUP(F58,Variables!$J$3:$K$8,2,FALSE),IF(F58=Variables!$J$8,VLOOKUP(F58,Variables!$J$3:$K$8,2,FALSE),IF(G59="Ajustar valor", H59, F59)*ac_dc_conv*c_cont_slack))),"Tarifa?")</f>
        <v>Tarifa?</v>
      </c>
      <c r="P59" s="422" t="str">
        <f>IFERROR(IF(O59&lt;=O60*c_cont_slack,MIN(O59:O60), "ERROR"),"")</f>
        <v/>
      </c>
    </row>
    <row r="60" spans="1:22" ht="21" customHeight="1" x14ac:dyDescent="0.25">
      <c r="A60" s="417"/>
      <c r="B60" s="219" t="s">
        <v>298</v>
      </c>
      <c r="C60" s="57"/>
      <c r="E60" s="138" t="s">
        <v>296</v>
      </c>
      <c r="F60" s="239"/>
      <c r="G60" s="146" t="s">
        <v>293</v>
      </c>
      <c r="H60" s="239"/>
      <c r="J60" s="138" t="s">
        <v>297</v>
      </c>
      <c r="K60" s="252">
        <f>SUM(K58:K59)</f>
        <v>0</v>
      </c>
      <c r="O60" s="226" t="str">
        <f>IF(F58&lt;&gt;"",IF(F58=Variables!$J$3,VLOOKUP(Variables!$J$3,Variables!$J$3:$K$8,2,FALSE),IF(F58=Variables!$J$4,VLOOKUP(F58,Variables!$J$3:$K$8,2,FALSE),IF(F58=Variables!$J$8,VLOOKUP(F58,Variables!$J$3:$K$8,2,FALSE),IF(G60="Ajustar valor",H60,IF(G60="No está disponible",MAX(F59,H59),F60))*ac_dc_conv*Tx_slack))),"Tarifa?")</f>
        <v>Tarifa?</v>
      </c>
      <c r="P60" s="423"/>
    </row>
    <row r="62" spans="1:22" ht="21" customHeight="1" x14ac:dyDescent="0.25">
      <c r="A62" s="218"/>
      <c r="B62" s="419" t="s">
        <v>276</v>
      </c>
      <c r="C62" s="419"/>
      <c r="D62" s="419"/>
      <c r="E62" s="419"/>
      <c r="F62" s="419"/>
      <c r="G62" s="419"/>
      <c r="H62" s="419"/>
      <c r="I62" s="419"/>
      <c r="J62" s="419"/>
      <c r="K62" s="419"/>
      <c r="L62" s="419"/>
      <c r="M62" s="419"/>
      <c r="N62" s="419"/>
      <c r="O62" s="419"/>
      <c r="P62" s="419"/>
    </row>
    <row r="63" spans="1:22" ht="21" customHeight="1" x14ac:dyDescent="0.25">
      <c r="A63" s="218"/>
      <c r="B63" s="190"/>
      <c r="C63" s="419" t="s">
        <v>277</v>
      </c>
      <c r="D63" s="419"/>
      <c r="E63" s="419"/>
      <c r="F63" s="419"/>
      <c r="G63" s="419"/>
      <c r="H63" s="419"/>
      <c r="I63" s="419"/>
      <c r="J63" s="419"/>
      <c r="K63" s="419"/>
      <c r="L63" s="419"/>
      <c r="M63" s="419"/>
      <c r="N63" s="419"/>
      <c r="O63" s="419"/>
      <c r="P63" s="419"/>
    </row>
    <row r="64" spans="1:22" ht="21" customHeight="1" x14ac:dyDescent="0.25">
      <c r="A64" s="231"/>
      <c r="B64" s="230"/>
      <c r="C64" s="232">
        <v>1</v>
      </c>
      <c r="D64" s="232">
        <v>2</v>
      </c>
      <c r="E64" s="232">
        <v>3</v>
      </c>
      <c r="F64" s="232">
        <v>4</v>
      </c>
      <c r="G64" s="232">
        <v>5</v>
      </c>
      <c r="H64" s="232">
        <v>6</v>
      </c>
      <c r="I64" s="232">
        <v>7</v>
      </c>
      <c r="J64" s="232">
        <v>8</v>
      </c>
      <c r="K64" s="232">
        <v>9</v>
      </c>
      <c r="L64" s="232">
        <v>10</v>
      </c>
      <c r="M64" s="232">
        <v>11</v>
      </c>
      <c r="N64" s="232">
        <v>12</v>
      </c>
      <c r="O64" s="232">
        <v>13</v>
      </c>
      <c r="P64" s="233" t="s">
        <v>279</v>
      </c>
      <c r="R64" s="231"/>
      <c r="S64" s="231"/>
    </row>
    <row r="65" spans="1:22" ht="21" customHeight="1" x14ac:dyDescent="0.25">
      <c r="A65" s="415">
        <v>6</v>
      </c>
      <c r="B65" s="31"/>
      <c r="C65" s="202"/>
      <c r="D65" s="202"/>
      <c r="E65" s="202"/>
      <c r="F65" s="202"/>
      <c r="G65" s="202"/>
      <c r="H65" s="202"/>
      <c r="I65" s="202"/>
      <c r="J65" s="202"/>
      <c r="K65" s="202"/>
      <c r="L65" s="202"/>
      <c r="M65" s="202"/>
      <c r="N65" s="202"/>
      <c r="O65" s="202"/>
      <c r="P65" s="146" t="s">
        <v>280</v>
      </c>
      <c r="Q65" s="231"/>
      <c r="T65" s="231"/>
    </row>
    <row r="66" spans="1:22" s="231" customFormat="1" ht="21" customHeight="1" x14ac:dyDescent="0.2">
      <c r="A66" s="416"/>
      <c r="B66" s="31" t="s">
        <v>281</v>
      </c>
      <c r="C66" s="201">
        <f t="shared" ref="C66:O66" si="55">IFERROR(IF($P65="Si",AVERAGEIF($C65:$O65,"&lt;&gt;0"),C65),0)</f>
        <v>0</v>
      </c>
      <c r="D66" s="201">
        <f t="shared" si="55"/>
        <v>0</v>
      </c>
      <c r="E66" s="201">
        <f t="shared" si="55"/>
        <v>0</v>
      </c>
      <c r="F66" s="201">
        <f t="shared" si="55"/>
        <v>0</v>
      </c>
      <c r="G66" s="201">
        <f t="shared" si="55"/>
        <v>0</v>
      </c>
      <c r="H66" s="201">
        <f t="shared" si="55"/>
        <v>0</v>
      </c>
      <c r="I66" s="201">
        <f t="shared" si="55"/>
        <v>0</v>
      </c>
      <c r="J66" s="201">
        <f t="shared" si="55"/>
        <v>0</v>
      </c>
      <c r="K66" s="201">
        <f t="shared" si="55"/>
        <v>0</v>
      </c>
      <c r="L66" s="201">
        <f t="shared" si="55"/>
        <v>0</v>
      </c>
      <c r="M66" s="201">
        <f t="shared" si="55"/>
        <v>0</v>
      </c>
      <c r="N66" s="201">
        <f t="shared" si="55"/>
        <v>0</v>
      </c>
      <c r="O66" s="201">
        <f t="shared" si="55"/>
        <v>0</v>
      </c>
      <c r="P66" s="259" t="s">
        <v>282</v>
      </c>
      <c r="Q66" s="1"/>
      <c r="R66" s="1"/>
      <c r="S66" s="1"/>
      <c r="T66" s="1"/>
      <c r="U66" s="243"/>
      <c r="V66" s="245"/>
    </row>
    <row r="67" spans="1:22" ht="21" customHeight="1" x14ac:dyDescent="0.25">
      <c r="A67" s="416"/>
      <c r="B67" s="31" t="s">
        <v>283</v>
      </c>
      <c r="C67" s="3"/>
      <c r="D67" s="3"/>
      <c r="E67" s="3"/>
      <c r="F67" s="3"/>
      <c r="G67" s="3"/>
      <c r="H67" s="3"/>
      <c r="I67" s="3"/>
      <c r="J67" s="3"/>
      <c r="K67" s="3"/>
      <c r="L67" s="3"/>
      <c r="M67" s="3"/>
      <c r="N67" s="3"/>
      <c r="O67" s="3"/>
      <c r="P67" s="260" t="str">
        <f>IFERROR(AVERAGEIF(C67:O67,"&lt;&gt;0"),"Factura?")</f>
        <v>Factura?</v>
      </c>
    </row>
    <row r="68" spans="1:22" ht="21" customHeight="1" x14ac:dyDescent="0.25">
      <c r="A68" s="416"/>
      <c r="B68" s="219" t="s">
        <v>284</v>
      </c>
      <c r="C68" s="5">
        <f>IFERROR(IF($P65="NO",C67*C66,C66*$P67),0)</f>
        <v>0</v>
      </c>
      <c r="D68" s="5">
        <f t="shared" ref="D68" si="56">IFERROR(IF($P65="NO",D67*D66,D66*$P67),0)</f>
        <v>0</v>
      </c>
      <c r="E68" s="5">
        <f t="shared" ref="E68" si="57">IFERROR(IF($P65="NO",E67*E66,E66*$P67),0)</f>
        <v>0</v>
      </c>
      <c r="F68" s="5">
        <f t="shared" ref="F68" si="58">IFERROR(IF($P65="NO",F67*F66,F66*$P67),0)</f>
        <v>0</v>
      </c>
      <c r="G68" s="5">
        <f t="shared" ref="G68" si="59">IFERROR(IF($P65="NO",G67*G66,G66*$P67),0)</f>
        <v>0</v>
      </c>
      <c r="H68" s="5">
        <f t="shared" ref="H68" si="60">IFERROR(IF($P65="NO",H67*H66,H66*$P67),0)</f>
        <v>0</v>
      </c>
      <c r="I68" s="5">
        <f t="shared" ref="I68" si="61">IFERROR(IF($P65="NO",I67*I66,I66*$P67),0)</f>
        <v>0</v>
      </c>
      <c r="J68" s="5">
        <f t="shared" ref="J68" si="62">IFERROR(IF($P65="NO",J67*J66,J66*$P67),0)</f>
        <v>0</v>
      </c>
      <c r="K68" s="5">
        <f t="shared" ref="K68" si="63">IFERROR(IF($P65="NO",K67*K66,K66*$P67),0)</f>
        <v>0</v>
      </c>
      <c r="L68" s="5">
        <f t="shared" ref="L68" si="64">IFERROR(IF($P65="NO",L67*L66,L66*$P67),0)</f>
        <v>0</v>
      </c>
      <c r="M68" s="5">
        <f t="shared" ref="M68" si="65">IFERROR(IF($P65="NO",M67*M66,M66*$P67),0)</f>
        <v>0</v>
      </c>
      <c r="N68" s="5">
        <f t="shared" ref="N68" si="66">IFERROR(IF($P65="NO",N67*N66,N66*$P67),0)</f>
        <v>0</v>
      </c>
      <c r="O68" s="5">
        <f t="shared" ref="O68" si="67">IFERROR(IF($P65="NO",O67*O66,O66*$P67),0)</f>
        <v>0</v>
      </c>
      <c r="P68" s="261"/>
    </row>
    <row r="69" spans="1:22" ht="5" customHeight="1" x14ac:dyDescent="0.25">
      <c r="A69" s="416"/>
    </row>
    <row r="70" spans="1:22" ht="21" customHeight="1" x14ac:dyDescent="0.25">
      <c r="A70" s="416"/>
      <c r="B70" s="31" t="s">
        <v>285</v>
      </c>
      <c r="C70" s="57"/>
      <c r="E70" s="138" t="s">
        <v>286</v>
      </c>
      <c r="F70" s="146"/>
      <c r="G70" s="421" t="s">
        <v>287</v>
      </c>
      <c r="H70" s="421"/>
      <c r="J70" s="138" t="s">
        <v>288</v>
      </c>
      <c r="K70" s="239"/>
      <c r="O70" s="26" t="s">
        <v>289</v>
      </c>
      <c r="P70" s="26" t="s">
        <v>290</v>
      </c>
    </row>
    <row r="71" spans="1:22" ht="21" customHeight="1" x14ac:dyDescent="0.25">
      <c r="A71" s="416"/>
      <c r="B71" s="31" t="s">
        <v>291</v>
      </c>
      <c r="C71" s="57"/>
      <c r="E71" s="138" t="s">
        <v>292</v>
      </c>
      <c r="F71" s="239"/>
      <c r="G71" s="146" t="s">
        <v>293</v>
      </c>
      <c r="H71" s="239"/>
      <c r="J71" s="138" t="s">
        <v>294</v>
      </c>
      <c r="K71" s="239"/>
      <c r="O71" s="226" t="str">
        <f>IF(F70&lt;&gt;"",IF(F70=Variables!$J$3,VLOOKUP(Variables!$J$3,Variables!$J$3:$K$8,2,FALSE),IF(F70=Variables!$J$4,VLOOKUP(F70,Variables!$J$3:$K$8,2,FALSE),IF(F70=Variables!$J$8,VLOOKUP(F70,Variables!$J$3:$K$8,2,FALSE),IF(G71="Ajustar valor", H71, F71)*ac_dc_conv*c_cont_slack))),"Tarifa?")</f>
        <v>Tarifa?</v>
      </c>
      <c r="P71" s="422" t="str">
        <f>IFERROR(IF(O71&lt;=O72*c_cont_slack,MIN(O71:O72), "ERROR"),"")</f>
        <v/>
      </c>
    </row>
    <row r="72" spans="1:22" ht="21" customHeight="1" x14ac:dyDescent="0.25">
      <c r="A72" s="417"/>
      <c r="B72" s="219" t="s">
        <v>298</v>
      </c>
      <c r="C72" s="57"/>
      <c r="E72" s="138" t="s">
        <v>296</v>
      </c>
      <c r="F72" s="239"/>
      <c r="G72" s="146" t="s">
        <v>293</v>
      </c>
      <c r="H72" s="239"/>
      <c r="J72" s="138" t="s">
        <v>297</v>
      </c>
      <c r="K72" s="252">
        <f>SUM(K70:K71)</f>
        <v>0</v>
      </c>
      <c r="O72" s="226" t="str">
        <f>IF(F70&lt;&gt;"",IF(F70=Variables!$J$3,VLOOKUP(Variables!$J$3,Variables!$J$3:$K$8,2,FALSE),IF(F70=Variables!$J$4,VLOOKUP(F70,Variables!$J$3:$K$8,2,FALSE),IF(F70=Variables!$J$8,VLOOKUP(F70,Variables!$J$3:$K$8,2,FALSE),IF(G72="Ajustar valor",H72,IF(G72="No está disponible",MAX(F71,H71),F72))*ac_dc_conv*Tx_slack))),"Tarifa?")</f>
        <v>Tarifa?</v>
      </c>
      <c r="P72" s="423"/>
    </row>
    <row r="74" spans="1:22" ht="21" customHeight="1" x14ac:dyDescent="0.25">
      <c r="A74" s="218"/>
      <c r="B74" s="419" t="s">
        <v>276</v>
      </c>
      <c r="C74" s="419"/>
      <c r="D74" s="419"/>
      <c r="E74" s="419"/>
      <c r="F74" s="419"/>
      <c r="G74" s="419"/>
      <c r="H74" s="419"/>
      <c r="I74" s="419"/>
      <c r="J74" s="419"/>
      <c r="K74" s="419"/>
      <c r="L74" s="419"/>
      <c r="M74" s="419"/>
      <c r="N74" s="419"/>
      <c r="O74" s="419"/>
      <c r="P74" s="419"/>
    </row>
    <row r="75" spans="1:22" ht="21" customHeight="1" x14ac:dyDescent="0.25">
      <c r="A75" s="218"/>
      <c r="B75" s="190"/>
      <c r="C75" s="419" t="s">
        <v>277</v>
      </c>
      <c r="D75" s="419"/>
      <c r="E75" s="419"/>
      <c r="F75" s="419"/>
      <c r="G75" s="419"/>
      <c r="H75" s="419"/>
      <c r="I75" s="419"/>
      <c r="J75" s="419"/>
      <c r="K75" s="419"/>
      <c r="L75" s="419"/>
      <c r="M75" s="419"/>
      <c r="N75" s="419"/>
      <c r="O75" s="419"/>
      <c r="P75" s="419"/>
    </row>
    <row r="76" spans="1:22" ht="21" customHeight="1" x14ac:dyDescent="0.25">
      <c r="A76" s="231"/>
      <c r="B76" s="230"/>
      <c r="C76" s="232">
        <v>1</v>
      </c>
      <c r="D76" s="232">
        <v>2</v>
      </c>
      <c r="E76" s="232">
        <v>3</v>
      </c>
      <c r="F76" s="232">
        <v>4</v>
      </c>
      <c r="G76" s="232">
        <v>5</v>
      </c>
      <c r="H76" s="232">
        <v>6</v>
      </c>
      <c r="I76" s="232">
        <v>7</v>
      </c>
      <c r="J76" s="232">
        <v>8</v>
      </c>
      <c r="K76" s="232">
        <v>9</v>
      </c>
      <c r="L76" s="232">
        <v>10</v>
      </c>
      <c r="M76" s="232">
        <v>11</v>
      </c>
      <c r="N76" s="232">
        <v>12</v>
      </c>
      <c r="O76" s="232">
        <v>13</v>
      </c>
      <c r="P76" s="233" t="s">
        <v>279</v>
      </c>
      <c r="R76" s="231"/>
      <c r="S76" s="231"/>
    </row>
    <row r="77" spans="1:22" ht="21" customHeight="1" x14ac:dyDescent="0.25">
      <c r="A77" s="415">
        <v>7</v>
      </c>
      <c r="B77" s="31"/>
      <c r="C77" s="202"/>
      <c r="D77" s="202"/>
      <c r="E77" s="202"/>
      <c r="F77" s="202"/>
      <c r="G77" s="202"/>
      <c r="H77" s="202"/>
      <c r="I77" s="202"/>
      <c r="J77" s="202"/>
      <c r="K77" s="202"/>
      <c r="L77" s="202"/>
      <c r="M77" s="202"/>
      <c r="N77" s="202"/>
      <c r="O77" s="202"/>
      <c r="P77" s="146" t="s">
        <v>280</v>
      </c>
      <c r="Q77" s="231"/>
      <c r="T77" s="231"/>
    </row>
    <row r="78" spans="1:22" s="231" customFormat="1" ht="21" customHeight="1" x14ac:dyDescent="0.2">
      <c r="A78" s="416"/>
      <c r="B78" s="31" t="s">
        <v>281</v>
      </c>
      <c r="C78" s="201">
        <f t="shared" ref="C78:O78" si="68">IFERROR(IF($P77="Si",AVERAGEIF($C77:$O77,"&lt;&gt;0"),C77),0)</f>
        <v>0</v>
      </c>
      <c r="D78" s="201">
        <f t="shared" si="68"/>
        <v>0</v>
      </c>
      <c r="E78" s="201">
        <f t="shared" si="68"/>
        <v>0</v>
      </c>
      <c r="F78" s="201">
        <f t="shared" si="68"/>
        <v>0</v>
      </c>
      <c r="G78" s="201">
        <f t="shared" si="68"/>
        <v>0</v>
      </c>
      <c r="H78" s="201">
        <f t="shared" si="68"/>
        <v>0</v>
      </c>
      <c r="I78" s="201">
        <f t="shared" si="68"/>
        <v>0</v>
      </c>
      <c r="J78" s="201">
        <f t="shared" si="68"/>
        <v>0</v>
      </c>
      <c r="K78" s="201">
        <f t="shared" si="68"/>
        <v>0</v>
      </c>
      <c r="L78" s="201">
        <f t="shared" si="68"/>
        <v>0</v>
      </c>
      <c r="M78" s="201">
        <f t="shared" si="68"/>
        <v>0</v>
      </c>
      <c r="N78" s="201">
        <f t="shared" si="68"/>
        <v>0</v>
      </c>
      <c r="O78" s="201">
        <f t="shared" si="68"/>
        <v>0</v>
      </c>
      <c r="P78" s="259" t="s">
        <v>282</v>
      </c>
      <c r="Q78" s="1"/>
      <c r="R78" s="1"/>
      <c r="S78" s="1"/>
      <c r="T78" s="1"/>
      <c r="U78" s="243"/>
      <c r="V78" s="245"/>
    </row>
    <row r="79" spans="1:22" ht="21" customHeight="1" x14ac:dyDescent="0.25">
      <c r="A79" s="416"/>
      <c r="B79" s="31" t="s">
        <v>283</v>
      </c>
      <c r="C79" s="3"/>
      <c r="D79" s="3"/>
      <c r="E79" s="3"/>
      <c r="F79" s="3"/>
      <c r="G79" s="3"/>
      <c r="H79" s="3"/>
      <c r="I79" s="3"/>
      <c r="J79" s="3"/>
      <c r="K79" s="3"/>
      <c r="L79" s="3"/>
      <c r="M79" s="3"/>
      <c r="N79" s="3"/>
      <c r="O79" s="3"/>
      <c r="P79" s="260" t="str">
        <f>IFERROR(AVERAGEIF(C79:O79,"&lt;&gt;0"),"Factura?")</f>
        <v>Factura?</v>
      </c>
    </row>
    <row r="80" spans="1:22" ht="21" customHeight="1" x14ac:dyDescent="0.25">
      <c r="A80" s="416"/>
      <c r="B80" s="219" t="s">
        <v>284</v>
      </c>
      <c r="C80" s="5">
        <f>IFERROR(IF($P77="NO",C79*C78,C78*$P79),0)</f>
        <v>0</v>
      </c>
      <c r="D80" s="5">
        <f t="shared" ref="D80" si="69">IFERROR(IF($P77="NO",D79*D78,D78*$P79),0)</f>
        <v>0</v>
      </c>
      <c r="E80" s="5">
        <f t="shared" ref="E80" si="70">IFERROR(IF($P77="NO",E79*E78,E78*$P79),0)</f>
        <v>0</v>
      </c>
      <c r="F80" s="5">
        <f t="shared" ref="F80" si="71">IFERROR(IF($P77="NO",F79*F78,F78*$P79),0)</f>
        <v>0</v>
      </c>
      <c r="G80" s="5">
        <f t="shared" ref="G80" si="72">IFERROR(IF($P77="NO",G79*G78,G78*$P79),0)</f>
        <v>0</v>
      </c>
      <c r="H80" s="5">
        <f t="shared" ref="H80" si="73">IFERROR(IF($P77="NO",H79*H78,H78*$P79),0)</f>
        <v>0</v>
      </c>
      <c r="I80" s="5">
        <f t="shared" ref="I80" si="74">IFERROR(IF($P77="NO",I79*I78,I78*$P79),0)</f>
        <v>0</v>
      </c>
      <c r="J80" s="5">
        <f t="shared" ref="J80" si="75">IFERROR(IF($P77="NO",J79*J78,J78*$P79),0)</f>
        <v>0</v>
      </c>
      <c r="K80" s="5">
        <f t="shared" ref="K80" si="76">IFERROR(IF($P77="NO",K79*K78,K78*$P79),0)</f>
        <v>0</v>
      </c>
      <c r="L80" s="5">
        <f t="shared" ref="L80" si="77">IFERROR(IF($P77="NO",L79*L78,L78*$P79),0)</f>
        <v>0</v>
      </c>
      <c r="M80" s="5">
        <f t="shared" ref="M80" si="78">IFERROR(IF($P77="NO",M79*M78,M78*$P79),0)</f>
        <v>0</v>
      </c>
      <c r="N80" s="5">
        <f t="shared" ref="N80" si="79">IFERROR(IF($P77="NO",N79*N78,N78*$P79),0)</f>
        <v>0</v>
      </c>
      <c r="O80" s="5">
        <f t="shared" ref="O80" si="80">IFERROR(IF($P77="NO",O79*O78,O78*$P79),0)</f>
        <v>0</v>
      </c>
      <c r="P80" s="261"/>
    </row>
    <row r="81" spans="1:22" ht="6" customHeight="1" x14ac:dyDescent="0.25">
      <c r="A81" s="416"/>
    </row>
    <row r="82" spans="1:22" ht="21" customHeight="1" x14ac:dyDescent="0.25">
      <c r="A82" s="416"/>
      <c r="B82" s="31" t="s">
        <v>285</v>
      </c>
      <c r="C82" s="57"/>
      <c r="E82" s="138" t="s">
        <v>286</v>
      </c>
      <c r="F82" s="146"/>
      <c r="G82" s="421" t="s">
        <v>287</v>
      </c>
      <c r="H82" s="421"/>
      <c r="J82" s="138" t="s">
        <v>288</v>
      </c>
      <c r="K82" s="239"/>
      <c r="O82" s="26" t="s">
        <v>289</v>
      </c>
      <c r="P82" s="26" t="s">
        <v>290</v>
      </c>
    </row>
    <row r="83" spans="1:22" ht="21" customHeight="1" x14ac:dyDescent="0.25">
      <c r="A83" s="416"/>
      <c r="B83" s="31" t="s">
        <v>291</v>
      </c>
      <c r="C83" s="57"/>
      <c r="E83" s="138" t="s">
        <v>292</v>
      </c>
      <c r="F83" s="239"/>
      <c r="G83" s="146" t="s">
        <v>293</v>
      </c>
      <c r="H83" s="239"/>
      <c r="J83" s="138" t="s">
        <v>294</v>
      </c>
      <c r="K83" s="239"/>
      <c r="O83" s="226" t="str">
        <f>IF(F82&lt;&gt;"",IF(F82=Variables!$J$3,VLOOKUP(Variables!$J$3,Variables!$J$3:$K$8,2,FALSE),IF(F82=Variables!$J$4,VLOOKUP(F82,Variables!$J$3:$K$8,2,FALSE),IF(F82=Variables!$J$8,VLOOKUP(F82,Variables!$J$3:$K$8,2,FALSE),IF(G83="Ajustar valor", H83, F83)*ac_dc_conv*c_cont_slack))),"Tarifa?")</f>
        <v>Tarifa?</v>
      </c>
      <c r="P83" s="422" t="str">
        <f>IFERROR(IF(O83&lt;=O84*c_cont_slack,MIN(O83:O84), "ERROR"),"")</f>
        <v/>
      </c>
    </row>
    <row r="84" spans="1:22" ht="21" customHeight="1" x14ac:dyDescent="0.25">
      <c r="A84" s="417"/>
      <c r="B84" s="219" t="s">
        <v>298</v>
      </c>
      <c r="C84" s="57"/>
      <c r="E84" s="138" t="s">
        <v>296</v>
      </c>
      <c r="F84" s="239"/>
      <c r="G84" s="146" t="s">
        <v>293</v>
      </c>
      <c r="H84" s="239"/>
      <c r="J84" s="138" t="s">
        <v>297</v>
      </c>
      <c r="K84" s="252">
        <f>SUM(K82:K83)</f>
        <v>0</v>
      </c>
      <c r="O84" s="226" t="str">
        <f>IF(F82&lt;&gt;"",IF(F82=Variables!$J$3,VLOOKUP(Variables!$J$3,Variables!$J$3:$K$8,2,FALSE),IF(F82=Variables!$J$4,VLOOKUP(F82,Variables!$J$3:$K$8,2,FALSE),IF(F82=Variables!$J$8,VLOOKUP(F82,Variables!$J$3:$K$8,2,FALSE),IF(G84="Ajustar valor",H84,IF(G84="No está disponible",MAX(F83,H83),F84))*ac_dc_conv*Tx_slack))),"Tarifa?")</f>
        <v>Tarifa?</v>
      </c>
      <c r="P84" s="423"/>
    </row>
    <row r="86" spans="1:22" ht="21" customHeight="1" x14ac:dyDescent="0.25">
      <c r="A86" s="218"/>
      <c r="B86" s="419" t="s">
        <v>276</v>
      </c>
      <c r="C86" s="419"/>
      <c r="D86" s="419"/>
      <c r="E86" s="419"/>
      <c r="F86" s="419"/>
      <c r="G86" s="419"/>
      <c r="H86" s="419"/>
      <c r="I86" s="419"/>
      <c r="J86" s="419"/>
      <c r="K86" s="419"/>
      <c r="L86" s="419"/>
      <c r="M86" s="419"/>
      <c r="N86" s="419"/>
      <c r="O86" s="419"/>
      <c r="P86" s="419"/>
    </row>
    <row r="87" spans="1:22" ht="21" customHeight="1" x14ac:dyDescent="0.25">
      <c r="A87" s="218"/>
      <c r="B87" s="190"/>
      <c r="C87" s="419" t="s">
        <v>277</v>
      </c>
      <c r="D87" s="419"/>
      <c r="E87" s="419"/>
      <c r="F87" s="419"/>
      <c r="G87" s="419"/>
      <c r="H87" s="419"/>
      <c r="I87" s="419"/>
      <c r="J87" s="419"/>
      <c r="K87" s="419"/>
      <c r="L87" s="419"/>
      <c r="M87" s="419"/>
      <c r="N87" s="419"/>
      <c r="O87" s="419"/>
      <c r="P87" s="419"/>
    </row>
    <row r="88" spans="1:22" ht="21" customHeight="1" x14ac:dyDescent="0.25">
      <c r="A88" s="231"/>
      <c r="B88" s="230"/>
      <c r="C88" s="232">
        <v>1</v>
      </c>
      <c r="D88" s="232">
        <v>2</v>
      </c>
      <c r="E88" s="232">
        <v>3</v>
      </c>
      <c r="F88" s="232">
        <v>4</v>
      </c>
      <c r="G88" s="232">
        <v>5</v>
      </c>
      <c r="H88" s="232">
        <v>6</v>
      </c>
      <c r="I88" s="232">
        <v>7</v>
      </c>
      <c r="J88" s="232">
        <v>8</v>
      </c>
      <c r="K88" s="232">
        <v>9</v>
      </c>
      <c r="L88" s="232">
        <v>10</v>
      </c>
      <c r="M88" s="232">
        <v>11</v>
      </c>
      <c r="N88" s="232">
        <v>12</v>
      </c>
      <c r="O88" s="232">
        <v>13</v>
      </c>
      <c r="P88" s="233" t="s">
        <v>279</v>
      </c>
      <c r="R88" s="231"/>
      <c r="S88" s="231"/>
    </row>
    <row r="89" spans="1:22" ht="21" customHeight="1" x14ac:dyDescent="0.25">
      <c r="A89" s="415">
        <v>8</v>
      </c>
      <c r="B89" s="31"/>
      <c r="C89" s="202"/>
      <c r="D89" s="202"/>
      <c r="E89" s="202"/>
      <c r="F89" s="202"/>
      <c r="G89" s="202"/>
      <c r="H89" s="202"/>
      <c r="I89" s="202"/>
      <c r="J89" s="202"/>
      <c r="K89" s="202"/>
      <c r="L89" s="202"/>
      <c r="M89" s="202"/>
      <c r="N89" s="202"/>
      <c r="O89" s="202"/>
      <c r="P89" s="146" t="s">
        <v>280</v>
      </c>
      <c r="Q89" s="231"/>
      <c r="T89" s="231"/>
    </row>
    <row r="90" spans="1:22" s="231" customFormat="1" ht="21" customHeight="1" x14ac:dyDescent="0.2">
      <c r="A90" s="416"/>
      <c r="B90" s="31" t="s">
        <v>281</v>
      </c>
      <c r="C90" s="201">
        <f t="shared" ref="C90:O90" si="81">IFERROR(IF($P89="Si",AVERAGEIF($C89:$O89,"&lt;&gt;0"),C89),0)</f>
        <v>0</v>
      </c>
      <c r="D90" s="201">
        <f t="shared" si="81"/>
        <v>0</v>
      </c>
      <c r="E90" s="201">
        <f t="shared" si="81"/>
        <v>0</v>
      </c>
      <c r="F90" s="201">
        <f t="shared" si="81"/>
        <v>0</v>
      </c>
      <c r="G90" s="201">
        <f t="shared" si="81"/>
        <v>0</v>
      </c>
      <c r="H90" s="201">
        <f t="shared" si="81"/>
        <v>0</v>
      </c>
      <c r="I90" s="201">
        <f t="shared" si="81"/>
        <v>0</v>
      </c>
      <c r="J90" s="201">
        <f t="shared" si="81"/>
        <v>0</v>
      </c>
      <c r="K90" s="201">
        <f t="shared" si="81"/>
        <v>0</v>
      </c>
      <c r="L90" s="201">
        <f t="shared" si="81"/>
        <v>0</v>
      </c>
      <c r="M90" s="201">
        <f t="shared" si="81"/>
        <v>0</v>
      </c>
      <c r="N90" s="201">
        <f t="shared" si="81"/>
        <v>0</v>
      </c>
      <c r="O90" s="201">
        <f t="shared" si="81"/>
        <v>0</v>
      </c>
      <c r="P90" s="259" t="s">
        <v>282</v>
      </c>
      <c r="Q90" s="1"/>
      <c r="R90" s="1"/>
      <c r="S90" s="1"/>
      <c r="T90" s="1"/>
      <c r="U90" s="243"/>
      <c r="V90" s="245"/>
    </row>
    <row r="91" spans="1:22" ht="21" customHeight="1" x14ac:dyDescent="0.25">
      <c r="A91" s="416"/>
      <c r="B91" s="31" t="s">
        <v>283</v>
      </c>
      <c r="C91" s="3"/>
      <c r="D91" s="3"/>
      <c r="E91" s="3"/>
      <c r="F91" s="3"/>
      <c r="G91" s="3"/>
      <c r="H91" s="3"/>
      <c r="I91" s="3"/>
      <c r="J91" s="3"/>
      <c r="K91" s="3"/>
      <c r="L91" s="3"/>
      <c r="M91" s="3"/>
      <c r="N91" s="3"/>
      <c r="O91" s="3"/>
      <c r="P91" s="260" t="str">
        <f>IFERROR(AVERAGEIF(C91:O91,"&lt;&gt;0"),"Factura?")</f>
        <v>Factura?</v>
      </c>
    </row>
    <row r="92" spans="1:22" ht="21" customHeight="1" x14ac:dyDescent="0.25">
      <c r="A92" s="416"/>
      <c r="B92" s="219" t="s">
        <v>284</v>
      </c>
      <c r="C92" s="5">
        <f>IFERROR(IF($P89="NO",C91*C90,C90*$P91),0)</f>
        <v>0</v>
      </c>
      <c r="D92" s="5">
        <f t="shared" ref="D92" si="82">IFERROR(IF($P89="NO",D91*D90,D90*$P91),0)</f>
        <v>0</v>
      </c>
      <c r="E92" s="5">
        <f t="shared" ref="E92" si="83">IFERROR(IF($P89="NO",E91*E90,E90*$P91),0)</f>
        <v>0</v>
      </c>
      <c r="F92" s="5">
        <f t="shared" ref="F92" si="84">IFERROR(IF($P89="NO",F91*F90,F90*$P91),0)</f>
        <v>0</v>
      </c>
      <c r="G92" s="5">
        <f t="shared" ref="G92" si="85">IFERROR(IF($P89="NO",G91*G90,G90*$P91),0)</f>
        <v>0</v>
      </c>
      <c r="H92" s="5">
        <f t="shared" ref="H92" si="86">IFERROR(IF($P89="NO",H91*H90,H90*$P91),0)</f>
        <v>0</v>
      </c>
      <c r="I92" s="5">
        <f t="shared" ref="I92" si="87">IFERROR(IF($P89="NO",I91*I90,I90*$P91),0)</f>
        <v>0</v>
      </c>
      <c r="J92" s="5">
        <f t="shared" ref="J92" si="88">IFERROR(IF($P89="NO",J91*J90,J90*$P91),0)</f>
        <v>0</v>
      </c>
      <c r="K92" s="5">
        <f t="shared" ref="K92" si="89">IFERROR(IF($P89="NO",K91*K90,K90*$P91),0)</f>
        <v>0</v>
      </c>
      <c r="L92" s="5">
        <f t="shared" ref="L92" si="90">IFERROR(IF($P89="NO",L91*L90,L90*$P91),0)</f>
        <v>0</v>
      </c>
      <c r="M92" s="5">
        <f t="shared" ref="M92" si="91">IFERROR(IF($P89="NO",M91*M90,M90*$P91),0)</f>
        <v>0</v>
      </c>
      <c r="N92" s="5">
        <f t="shared" ref="N92" si="92">IFERROR(IF($P89="NO",N91*N90,N90*$P91),0)</f>
        <v>0</v>
      </c>
      <c r="O92" s="5">
        <f t="shared" ref="O92" si="93">IFERROR(IF($P89="NO",O91*O90,O90*$P91),0)</f>
        <v>0</v>
      </c>
      <c r="P92" s="261"/>
    </row>
    <row r="93" spans="1:22" ht="7" customHeight="1" x14ac:dyDescent="0.25">
      <c r="A93" s="416"/>
    </row>
    <row r="94" spans="1:22" ht="21" customHeight="1" x14ac:dyDescent="0.25">
      <c r="A94" s="416"/>
      <c r="B94" s="31" t="s">
        <v>285</v>
      </c>
      <c r="C94" s="57"/>
      <c r="E94" s="138" t="s">
        <v>286</v>
      </c>
      <c r="F94" s="146"/>
      <c r="G94" s="421" t="s">
        <v>287</v>
      </c>
      <c r="H94" s="421"/>
      <c r="J94" s="138" t="s">
        <v>288</v>
      </c>
      <c r="K94" s="239"/>
      <c r="O94" s="26" t="s">
        <v>289</v>
      </c>
      <c r="P94" s="26" t="s">
        <v>290</v>
      </c>
    </row>
    <row r="95" spans="1:22" ht="21" customHeight="1" x14ac:dyDescent="0.25">
      <c r="A95" s="416"/>
      <c r="B95" s="31" t="s">
        <v>291</v>
      </c>
      <c r="C95" s="57"/>
      <c r="E95" s="138" t="s">
        <v>292</v>
      </c>
      <c r="F95" s="239"/>
      <c r="G95" s="146" t="s">
        <v>293</v>
      </c>
      <c r="H95" s="239"/>
      <c r="J95" s="138" t="s">
        <v>294</v>
      </c>
      <c r="K95" s="239"/>
      <c r="O95" s="226" t="str">
        <f>IF(F94&lt;&gt;"",IF(F94=Variables!$J$3,VLOOKUP(Variables!$J$3,Variables!$J$3:$K$8,2,FALSE),IF(F94=Variables!$J$4,VLOOKUP(F94,Variables!$J$3:$K$8,2,FALSE),IF(F94=Variables!$J$8,VLOOKUP(F94,Variables!$J$3:$K$8,2,FALSE),IF(G95="Ajustar valor", H95, F95)*ac_dc_conv*c_cont_slack))),"Tarifa?")</f>
        <v>Tarifa?</v>
      </c>
      <c r="P95" s="422" t="str">
        <f>IFERROR(IF(O95&lt;=O96*c_cont_slack,MIN(O95:O96), "ERROR"),"")</f>
        <v/>
      </c>
    </row>
    <row r="96" spans="1:22" ht="21" customHeight="1" x14ac:dyDescent="0.25">
      <c r="A96" s="417"/>
      <c r="B96" s="219" t="s">
        <v>298</v>
      </c>
      <c r="C96" s="57"/>
      <c r="E96" s="138" t="s">
        <v>296</v>
      </c>
      <c r="F96" s="239"/>
      <c r="G96" s="146" t="s">
        <v>293</v>
      </c>
      <c r="H96" s="239"/>
      <c r="J96" s="138" t="s">
        <v>297</v>
      </c>
      <c r="K96" s="252">
        <f>SUM(K94:K95)</f>
        <v>0</v>
      </c>
      <c r="O96" s="226" t="str">
        <f>IF(F94&lt;&gt;"",IF(F94=Variables!$J$3,VLOOKUP(Variables!$J$3,Variables!$J$3:$K$8,2,FALSE),IF(F94=Variables!$J$4,VLOOKUP(F94,Variables!$J$3:$K$8,2,FALSE),IF(F94=Variables!$J$8,VLOOKUP(F94,Variables!$J$3:$K$8,2,FALSE),IF(G96="Ajustar valor",H96,IF(G96="No está disponible",MAX(F95,H95),F96))*ac_dc_conv*Tx_slack))),"Tarifa?")</f>
        <v>Tarifa?</v>
      </c>
      <c r="P96" s="423"/>
    </row>
    <row r="98" spans="1:22" ht="21" customHeight="1" x14ac:dyDescent="0.25">
      <c r="A98" s="218"/>
      <c r="B98" s="419" t="s">
        <v>276</v>
      </c>
      <c r="C98" s="419"/>
      <c r="D98" s="419"/>
      <c r="E98" s="419"/>
      <c r="F98" s="419"/>
      <c r="G98" s="419"/>
      <c r="H98" s="419"/>
      <c r="I98" s="419"/>
      <c r="J98" s="419"/>
      <c r="K98" s="419"/>
      <c r="L98" s="419"/>
      <c r="M98" s="419"/>
      <c r="N98" s="419"/>
      <c r="O98" s="419"/>
      <c r="P98" s="419"/>
    </row>
    <row r="99" spans="1:22" ht="21" customHeight="1" x14ac:dyDescent="0.25">
      <c r="A99" s="218"/>
      <c r="B99" s="190"/>
      <c r="C99" s="419" t="s">
        <v>277</v>
      </c>
      <c r="D99" s="419"/>
      <c r="E99" s="419"/>
      <c r="F99" s="419"/>
      <c r="G99" s="419"/>
      <c r="H99" s="419"/>
      <c r="I99" s="419"/>
      <c r="J99" s="419"/>
      <c r="K99" s="419"/>
      <c r="L99" s="419"/>
      <c r="M99" s="419"/>
      <c r="N99" s="419"/>
      <c r="O99" s="419"/>
      <c r="P99" s="419"/>
    </row>
    <row r="100" spans="1:22" ht="21" customHeight="1" x14ac:dyDescent="0.25">
      <c r="A100" s="231"/>
      <c r="B100" s="230"/>
      <c r="C100" s="232">
        <v>1</v>
      </c>
      <c r="D100" s="232">
        <v>2</v>
      </c>
      <c r="E100" s="232">
        <v>3</v>
      </c>
      <c r="F100" s="232">
        <v>4</v>
      </c>
      <c r="G100" s="232">
        <v>5</v>
      </c>
      <c r="H100" s="232">
        <v>6</v>
      </c>
      <c r="I100" s="232">
        <v>7</v>
      </c>
      <c r="J100" s="232">
        <v>8</v>
      </c>
      <c r="K100" s="232">
        <v>9</v>
      </c>
      <c r="L100" s="232">
        <v>10</v>
      </c>
      <c r="M100" s="232">
        <v>11</v>
      </c>
      <c r="N100" s="232">
        <v>12</v>
      </c>
      <c r="O100" s="232">
        <v>13</v>
      </c>
      <c r="P100" s="233" t="s">
        <v>279</v>
      </c>
      <c r="R100" s="231"/>
      <c r="S100" s="231"/>
    </row>
    <row r="101" spans="1:22" ht="21" customHeight="1" x14ac:dyDescent="0.25">
      <c r="A101" s="415">
        <v>9</v>
      </c>
      <c r="B101" s="31"/>
      <c r="C101" s="202"/>
      <c r="D101" s="202"/>
      <c r="E101" s="202"/>
      <c r="F101" s="202"/>
      <c r="G101" s="202"/>
      <c r="H101" s="202"/>
      <c r="I101" s="202"/>
      <c r="J101" s="202"/>
      <c r="K101" s="202"/>
      <c r="L101" s="202"/>
      <c r="M101" s="202"/>
      <c r="N101" s="202"/>
      <c r="O101" s="202"/>
      <c r="P101" s="146" t="s">
        <v>280</v>
      </c>
      <c r="Q101" s="231"/>
      <c r="T101" s="231"/>
    </row>
    <row r="102" spans="1:22" s="231" customFormat="1" ht="21" customHeight="1" x14ac:dyDescent="0.2">
      <c r="A102" s="416"/>
      <c r="B102" s="31" t="s">
        <v>281</v>
      </c>
      <c r="C102" s="201">
        <f t="shared" ref="C102:O102" si="94">IFERROR(IF($P101="Si",AVERAGEIF($C101:$O101,"&lt;&gt;0"),C101),0)</f>
        <v>0</v>
      </c>
      <c r="D102" s="201">
        <f t="shared" si="94"/>
        <v>0</v>
      </c>
      <c r="E102" s="201">
        <f t="shared" si="94"/>
        <v>0</v>
      </c>
      <c r="F102" s="201">
        <f t="shared" si="94"/>
        <v>0</v>
      </c>
      <c r="G102" s="201">
        <f t="shared" si="94"/>
        <v>0</v>
      </c>
      <c r="H102" s="201">
        <f t="shared" si="94"/>
        <v>0</v>
      </c>
      <c r="I102" s="201">
        <f t="shared" si="94"/>
        <v>0</v>
      </c>
      <c r="J102" s="201">
        <f t="shared" si="94"/>
        <v>0</v>
      </c>
      <c r="K102" s="201">
        <f t="shared" si="94"/>
        <v>0</v>
      </c>
      <c r="L102" s="201">
        <f t="shared" si="94"/>
        <v>0</v>
      </c>
      <c r="M102" s="201">
        <f t="shared" si="94"/>
        <v>0</v>
      </c>
      <c r="N102" s="201">
        <f t="shared" si="94"/>
        <v>0</v>
      </c>
      <c r="O102" s="201">
        <f t="shared" si="94"/>
        <v>0</v>
      </c>
      <c r="P102" s="259" t="s">
        <v>282</v>
      </c>
      <c r="Q102" s="1"/>
      <c r="R102" s="1"/>
      <c r="S102" s="1"/>
      <c r="T102" s="1"/>
      <c r="U102" s="243"/>
      <c r="V102" s="245"/>
    </row>
    <row r="103" spans="1:22" ht="21" customHeight="1" x14ac:dyDescent="0.25">
      <c r="A103" s="416"/>
      <c r="B103" s="31" t="s">
        <v>283</v>
      </c>
      <c r="C103" s="3"/>
      <c r="D103" s="3"/>
      <c r="E103" s="3"/>
      <c r="F103" s="3"/>
      <c r="G103" s="3"/>
      <c r="H103" s="3"/>
      <c r="I103" s="3"/>
      <c r="J103" s="3"/>
      <c r="K103" s="3"/>
      <c r="L103" s="3"/>
      <c r="M103" s="3"/>
      <c r="N103" s="3"/>
      <c r="O103" s="3"/>
      <c r="P103" s="260" t="str">
        <f>IFERROR(AVERAGEIF(C103:O103,"&lt;&gt;0"),"Factura?")</f>
        <v>Factura?</v>
      </c>
    </row>
    <row r="104" spans="1:22" ht="21" customHeight="1" x14ac:dyDescent="0.25">
      <c r="A104" s="416"/>
      <c r="B104" s="219" t="s">
        <v>284</v>
      </c>
      <c r="C104" s="5">
        <f>IFERROR(IF($P101="NO",C103*C102,C102*$P103),0)</f>
        <v>0</v>
      </c>
      <c r="D104" s="5">
        <f t="shared" ref="D104" si="95">IFERROR(IF($P101="NO",D103*D102,D102*$P103),0)</f>
        <v>0</v>
      </c>
      <c r="E104" s="5">
        <f t="shared" ref="E104" si="96">IFERROR(IF($P101="NO",E103*E102,E102*$P103),0)</f>
        <v>0</v>
      </c>
      <c r="F104" s="5">
        <f t="shared" ref="F104" si="97">IFERROR(IF($P101="NO",F103*F102,F102*$P103),0)</f>
        <v>0</v>
      </c>
      <c r="G104" s="5">
        <f t="shared" ref="G104" si="98">IFERROR(IF($P101="NO",G103*G102,G102*$P103),0)</f>
        <v>0</v>
      </c>
      <c r="H104" s="5">
        <f t="shared" ref="H104" si="99">IFERROR(IF($P101="NO",H103*H102,H102*$P103),0)</f>
        <v>0</v>
      </c>
      <c r="I104" s="5">
        <f t="shared" ref="I104" si="100">IFERROR(IF($P101="NO",I103*I102,I102*$P103),0)</f>
        <v>0</v>
      </c>
      <c r="J104" s="5">
        <f t="shared" ref="J104" si="101">IFERROR(IF($P101="NO",J103*J102,J102*$P103),0)</f>
        <v>0</v>
      </c>
      <c r="K104" s="5">
        <f t="shared" ref="K104" si="102">IFERROR(IF($P101="NO",K103*K102,K102*$P103),0)</f>
        <v>0</v>
      </c>
      <c r="L104" s="5">
        <f t="shared" ref="L104" si="103">IFERROR(IF($P101="NO",L103*L102,L102*$P103),0)</f>
        <v>0</v>
      </c>
      <c r="M104" s="5">
        <f t="shared" ref="M104" si="104">IFERROR(IF($P101="NO",M103*M102,M102*$P103),0)</f>
        <v>0</v>
      </c>
      <c r="N104" s="5">
        <f t="shared" ref="N104" si="105">IFERROR(IF($P101="NO",N103*N102,N102*$P103),0)</f>
        <v>0</v>
      </c>
      <c r="O104" s="5">
        <f t="shared" ref="O104" si="106">IFERROR(IF($P101="NO",O103*O102,O102*$P103),0)</f>
        <v>0</v>
      </c>
      <c r="P104" s="261"/>
    </row>
    <row r="105" spans="1:22" ht="6" customHeight="1" x14ac:dyDescent="0.25">
      <c r="A105" s="416"/>
    </row>
    <row r="106" spans="1:22" ht="21" customHeight="1" x14ac:dyDescent="0.25">
      <c r="A106" s="416"/>
      <c r="B106" s="31" t="s">
        <v>285</v>
      </c>
      <c r="C106" s="57"/>
      <c r="E106" s="138" t="s">
        <v>286</v>
      </c>
      <c r="F106" s="146"/>
      <c r="G106" s="421" t="s">
        <v>287</v>
      </c>
      <c r="H106" s="421"/>
      <c r="J106" s="138" t="s">
        <v>288</v>
      </c>
      <c r="K106" s="239"/>
      <c r="O106" s="26" t="s">
        <v>289</v>
      </c>
      <c r="P106" s="26" t="s">
        <v>290</v>
      </c>
    </row>
    <row r="107" spans="1:22" ht="21" customHeight="1" x14ac:dyDescent="0.25">
      <c r="A107" s="416"/>
      <c r="B107" s="31" t="s">
        <v>291</v>
      </c>
      <c r="C107" s="57"/>
      <c r="E107" s="138" t="s">
        <v>292</v>
      </c>
      <c r="F107" s="239"/>
      <c r="G107" s="146" t="s">
        <v>293</v>
      </c>
      <c r="H107" s="239"/>
      <c r="J107" s="138" t="s">
        <v>294</v>
      </c>
      <c r="K107" s="239"/>
      <c r="O107" s="226" t="str">
        <f>IF(F106&lt;&gt;"",IF(F106=Variables!$J$3,VLOOKUP(Variables!$J$3,Variables!$J$3:$K$8,2,FALSE),IF(F106=Variables!$J$4,VLOOKUP(F106,Variables!$J$3:$K$8,2,FALSE),IF(F106=Variables!$J$8,VLOOKUP(F106,Variables!$J$3:$K$8,2,FALSE),IF(G107="Ajustar valor", H107, F107)*ac_dc_conv*c_cont_slack))),"Tarifa?")</f>
        <v>Tarifa?</v>
      </c>
      <c r="P107" s="422" t="str">
        <f>IFERROR(IF(O107&lt;=O108*c_cont_slack,MIN(O107:O108), "ERROR"),"")</f>
        <v/>
      </c>
    </row>
    <row r="108" spans="1:22" ht="21" customHeight="1" x14ac:dyDescent="0.25">
      <c r="A108" s="417"/>
      <c r="B108" s="219" t="s">
        <v>298</v>
      </c>
      <c r="C108" s="57"/>
      <c r="E108" s="138" t="s">
        <v>296</v>
      </c>
      <c r="F108" s="239"/>
      <c r="G108" s="146" t="s">
        <v>293</v>
      </c>
      <c r="H108" s="239"/>
      <c r="J108" s="138" t="s">
        <v>297</v>
      </c>
      <c r="K108" s="252">
        <f>SUM(K106:K107)</f>
        <v>0</v>
      </c>
      <c r="O108" s="226" t="str">
        <f>IF(F106&lt;&gt;"",IF(F106=Variables!$J$3,VLOOKUP(Variables!$J$3,Variables!$J$3:$K$8,2,FALSE),IF(F106=Variables!$J$4,VLOOKUP(F106,Variables!$J$3:$K$8,2,FALSE),IF(F106=Variables!$J$8,VLOOKUP(F106,Variables!$J$3:$K$8,2,FALSE),IF(G108="Ajustar valor",H108,IF(G108="No está disponible",MAX(F107,H107),F108))*ac_dc_conv*Tx_slack))),"Tarifa?")</f>
        <v>Tarifa?</v>
      </c>
      <c r="P108" s="423"/>
    </row>
    <row r="110" spans="1:22" ht="21" customHeight="1" x14ac:dyDescent="0.25">
      <c r="A110" s="218"/>
      <c r="B110" s="419" t="s">
        <v>276</v>
      </c>
      <c r="C110" s="419"/>
      <c r="D110" s="419"/>
      <c r="E110" s="419"/>
      <c r="F110" s="419"/>
      <c r="G110" s="419"/>
      <c r="H110" s="419"/>
      <c r="I110" s="419"/>
      <c r="J110" s="419"/>
      <c r="K110" s="419"/>
      <c r="L110" s="419"/>
      <c r="M110" s="419"/>
      <c r="N110" s="419"/>
      <c r="O110" s="419"/>
      <c r="P110" s="419"/>
    </row>
    <row r="111" spans="1:22" ht="21" customHeight="1" x14ac:dyDescent="0.25">
      <c r="A111" s="218"/>
      <c r="B111" s="190"/>
      <c r="C111" s="419" t="s">
        <v>277</v>
      </c>
      <c r="D111" s="419"/>
      <c r="E111" s="419"/>
      <c r="F111" s="419"/>
      <c r="G111" s="419"/>
      <c r="H111" s="419"/>
      <c r="I111" s="419"/>
      <c r="J111" s="419"/>
      <c r="K111" s="419"/>
      <c r="L111" s="419"/>
      <c r="M111" s="419"/>
      <c r="N111" s="419"/>
      <c r="O111" s="419"/>
      <c r="P111" s="419"/>
    </row>
    <row r="112" spans="1:22" ht="21" customHeight="1" x14ac:dyDescent="0.25">
      <c r="A112" s="231"/>
      <c r="B112" s="230"/>
      <c r="C112" s="232">
        <v>1</v>
      </c>
      <c r="D112" s="232">
        <v>2</v>
      </c>
      <c r="E112" s="232">
        <v>3</v>
      </c>
      <c r="F112" s="232">
        <v>4</v>
      </c>
      <c r="G112" s="232">
        <v>5</v>
      </c>
      <c r="H112" s="232">
        <v>6</v>
      </c>
      <c r="I112" s="232">
        <v>7</v>
      </c>
      <c r="J112" s="232">
        <v>8</v>
      </c>
      <c r="K112" s="232">
        <v>9</v>
      </c>
      <c r="L112" s="232">
        <v>10</v>
      </c>
      <c r="M112" s="232">
        <v>11</v>
      </c>
      <c r="N112" s="232">
        <v>12</v>
      </c>
      <c r="O112" s="232">
        <v>13</v>
      </c>
      <c r="P112" s="233" t="s">
        <v>279</v>
      </c>
      <c r="R112" s="231"/>
      <c r="S112" s="231"/>
    </row>
    <row r="113" spans="1:22" ht="21" customHeight="1" x14ac:dyDescent="0.25">
      <c r="A113" s="415">
        <v>10</v>
      </c>
      <c r="B113" s="31"/>
      <c r="C113" s="202"/>
      <c r="D113" s="202"/>
      <c r="E113" s="202"/>
      <c r="F113" s="202"/>
      <c r="G113" s="202"/>
      <c r="H113" s="202"/>
      <c r="I113" s="202"/>
      <c r="J113" s="202"/>
      <c r="K113" s="202"/>
      <c r="L113" s="202"/>
      <c r="M113" s="202"/>
      <c r="N113" s="202"/>
      <c r="O113" s="202"/>
      <c r="P113" s="146" t="s">
        <v>280</v>
      </c>
      <c r="Q113" s="231"/>
      <c r="T113" s="231"/>
    </row>
    <row r="114" spans="1:22" s="231" customFormat="1" ht="21" customHeight="1" x14ac:dyDescent="0.2">
      <c r="A114" s="416"/>
      <c r="B114" s="31" t="s">
        <v>281</v>
      </c>
      <c r="C114" s="201">
        <f t="shared" ref="C114:O114" si="107">IFERROR(IF($P113="Si",AVERAGEIF($C113:$O113,"&lt;&gt;0"),C113),0)</f>
        <v>0</v>
      </c>
      <c r="D114" s="201">
        <f t="shared" si="107"/>
        <v>0</v>
      </c>
      <c r="E114" s="201">
        <f t="shared" si="107"/>
        <v>0</v>
      </c>
      <c r="F114" s="201">
        <f t="shared" si="107"/>
        <v>0</v>
      </c>
      <c r="G114" s="201">
        <f t="shared" si="107"/>
        <v>0</v>
      </c>
      <c r="H114" s="201">
        <f t="shared" si="107"/>
        <v>0</v>
      </c>
      <c r="I114" s="201">
        <f t="shared" si="107"/>
        <v>0</v>
      </c>
      <c r="J114" s="201">
        <f t="shared" si="107"/>
        <v>0</v>
      </c>
      <c r="K114" s="201">
        <f t="shared" si="107"/>
        <v>0</v>
      </c>
      <c r="L114" s="201">
        <f t="shared" si="107"/>
        <v>0</v>
      </c>
      <c r="M114" s="201">
        <f t="shared" si="107"/>
        <v>0</v>
      </c>
      <c r="N114" s="201">
        <f t="shared" si="107"/>
        <v>0</v>
      </c>
      <c r="O114" s="201">
        <f t="shared" si="107"/>
        <v>0</v>
      </c>
      <c r="P114" s="259" t="s">
        <v>282</v>
      </c>
      <c r="Q114" s="1"/>
      <c r="R114" s="1"/>
      <c r="S114" s="1"/>
      <c r="T114" s="1"/>
      <c r="U114" s="243"/>
      <c r="V114" s="245"/>
    </row>
    <row r="115" spans="1:22" ht="21" customHeight="1" x14ac:dyDescent="0.25">
      <c r="A115" s="416"/>
      <c r="B115" s="31" t="s">
        <v>283</v>
      </c>
      <c r="C115" s="3"/>
      <c r="D115" s="3"/>
      <c r="E115" s="3"/>
      <c r="F115" s="3"/>
      <c r="G115" s="3"/>
      <c r="H115" s="3"/>
      <c r="I115" s="3"/>
      <c r="J115" s="3"/>
      <c r="K115" s="3"/>
      <c r="L115" s="3"/>
      <c r="M115" s="3"/>
      <c r="N115" s="3"/>
      <c r="O115" s="3"/>
      <c r="P115" s="260" t="str">
        <f>IFERROR(AVERAGEIF(C115:O115,"&lt;&gt;0"),"Factura?")</f>
        <v>Factura?</v>
      </c>
    </row>
    <row r="116" spans="1:22" ht="21" customHeight="1" x14ac:dyDescent="0.25">
      <c r="A116" s="416"/>
      <c r="B116" s="219" t="s">
        <v>284</v>
      </c>
      <c r="C116" s="5">
        <f>IFERROR(IF($P113="NO",C115*C114,C114*$P115),0)</f>
        <v>0</v>
      </c>
      <c r="D116" s="5">
        <f t="shared" ref="D116" si="108">IFERROR(IF($P113="NO",D115*D114,D114*$P115),0)</f>
        <v>0</v>
      </c>
      <c r="E116" s="5">
        <f t="shared" ref="E116" si="109">IFERROR(IF($P113="NO",E115*E114,E114*$P115),0)</f>
        <v>0</v>
      </c>
      <c r="F116" s="5">
        <f t="shared" ref="F116" si="110">IFERROR(IF($P113="NO",F115*F114,F114*$P115),0)</f>
        <v>0</v>
      </c>
      <c r="G116" s="5">
        <f t="shared" ref="G116" si="111">IFERROR(IF($P113="NO",G115*G114,G114*$P115),0)</f>
        <v>0</v>
      </c>
      <c r="H116" s="5">
        <f t="shared" ref="H116" si="112">IFERROR(IF($P113="NO",H115*H114,H114*$P115),0)</f>
        <v>0</v>
      </c>
      <c r="I116" s="5">
        <f t="shared" ref="I116" si="113">IFERROR(IF($P113="NO",I115*I114,I114*$P115),0)</f>
        <v>0</v>
      </c>
      <c r="J116" s="5">
        <f t="shared" ref="J116" si="114">IFERROR(IF($P113="NO",J115*J114,J114*$P115),0)</f>
        <v>0</v>
      </c>
      <c r="K116" s="5">
        <f t="shared" ref="K116" si="115">IFERROR(IF($P113="NO",K115*K114,K114*$P115),0)</f>
        <v>0</v>
      </c>
      <c r="L116" s="5">
        <f t="shared" ref="L116" si="116">IFERROR(IF($P113="NO",L115*L114,L114*$P115),0)</f>
        <v>0</v>
      </c>
      <c r="M116" s="5">
        <f t="shared" ref="M116" si="117">IFERROR(IF($P113="NO",M115*M114,M114*$P115),0)</f>
        <v>0</v>
      </c>
      <c r="N116" s="5">
        <f t="shared" ref="N116" si="118">IFERROR(IF($P113="NO",N115*N114,N114*$P115),0)</f>
        <v>0</v>
      </c>
      <c r="O116" s="5">
        <f t="shared" ref="O116" si="119">IFERROR(IF($P113="NO",O115*O114,O114*$P115),0)</f>
        <v>0</v>
      </c>
      <c r="P116" s="261"/>
    </row>
    <row r="117" spans="1:22" ht="6" customHeight="1" x14ac:dyDescent="0.25">
      <c r="A117" s="416"/>
    </row>
    <row r="118" spans="1:22" ht="21" customHeight="1" x14ac:dyDescent="0.25">
      <c r="A118" s="416"/>
      <c r="B118" s="31" t="s">
        <v>285</v>
      </c>
      <c r="C118" s="57"/>
      <c r="E118" s="138" t="s">
        <v>286</v>
      </c>
      <c r="F118" s="146"/>
      <c r="G118" s="421" t="s">
        <v>287</v>
      </c>
      <c r="H118" s="421"/>
      <c r="J118" s="138" t="s">
        <v>288</v>
      </c>
      <c r="K118" s="239"/>
      <c r="O118" s="26" t="s">
        <v>289</v>
      </c>
      <c r="P118" s="26" t="s">
        <v>290</v>
      </c>
    </row>
    <row r="119" spans="1:22" ht="21" customHeight="1" x14ac:dyDescent="0.25">
      <c r="A119" s="416"/>
      <c r="B119" s="31" t="s">
        <v>291</v>
      </c>
      <c r="C119" s="57"/>
      <c r="E119" s="138" t="s">
        <v>292</v>
      </c>
      <c r="F119" s="239"/>
      <c r="G119" s="146" t="s">
        <v>293</v>
      </c>
      <c r="H119" s="239"/>
      <c r="J119" s="138" t="s">
        <v>294</v>
      </c>
      <c r="K119" s="239"/>
      <c r="O119" s="226" t="str">
        <f>IF(F118&lt;&gt;"",IF(F118=Variables!$J$3,VLOOKUP(Variables!$J$3,Variables!$J$3:$K$8,2,FALSE),IF(F118=Variables!$J$4,VLOOKUP(F118,Variables!$J$3:$K$8,2,FALSE),IF(F118=Variables!$J$8,VLOOKUP(F118,Variables!$J$3:$K$8,2,FALSE),IF(G119="Ajustar valor", H119, F119)*ac_dc_conv*c_cont_slack))),"Tarifa?")</f>
        <v>Tarifa?</v>
      </c>
      <c r="P119" s="422" t="str">
        <f>IFERROR(IF(O119&lt;=O120*c_cont_slack,MIN(O119:O120), "ERROR"),"")</f>
        <v/>
      </c>
    </row>
    <row r="120" spans="1:22" ht="21" customHeight="1" x14ac:dyDescent="0.25">
      <c r="A120" s="417"/>
      <c r="B120" s="219" t="s">
        <v>298</v>
      </c>
      <c r="C120" s="57"/>
      <c r="E120" s="138" t="s">
        <v>296</v>
      </c>
      <c r="F120" s="239"/>
      <c r="G120" s="146" t="s">
        <v>293</v>
      </c>
      <c r="H120" s="239"/>
      <c r="J120" s="138" t="s">
        <v>297</v>
      </c>
      <c r="K120" s="252">
        <f>SUM(K118:K119)</f>
        <v>0</v>
      </c>
      <c r="O120" s="226" t="str">
        <f>IF(F118&lt;&gt;"",IF(F118=Variables!$J$3,VLOOKUP(Variables!$J$3,Variables!$J$3:$K$8,2,FALSE),IF(F118=Variables!$J$4,VLOOKUP(F118,Variables!$J$3:$K$8,2,FALSE),IF(F118=Variables!$J$8,VLOOKUP(F118,Variables!$J$3:$K$8,2,FALSE),IF(G120="Ajustar valor",H120,IF(G120="No está disponible",MAX(F119,H119),F120))*ac_dc_conv*Tx_slack))),"Tarifa?")</f>
        <v>Tarifa?</v>
      </c>
      <c r="P120" s="423"/>
    </row>
    <row r="121" spans="1:22" ht="21" customHeight="1" x14ac:dyDescent="0.25">
      <c r="R121" s="224"/>
    </row>
    <row r="122" spans="1:22" ht="21" customHeight="1" x14ac:dyDescent="0.25">
      <c r="A122" s="410" t="s">
        <v>299</v>
      </c>
      <c r="B122" s="50" t="s">
        <v>300</v>
      </c>
      <c r="C122" s="5">
        <f>SUM(C116,C104,C92,C80,C68,C56,C44,C32,C20,C8)</f>
        <v>7968.75</v>
      </c>
      <c r="D122" s="5">
        <f t="shared" ref="D122:O122" si="120">SUM(D116,D104,D92,D80,D68,D56,D44,D32,D20,D8)</f>
        <v>7968.75</v>
      </c>
      <c r="E122" s="5">
        <f t="shared" si="120"/>
        <v>7968.75</v>
      </c>
      <c r="F122" s="5">
        <f t="shared" si="120"/>
        <v>7968.75</v>
      </c>
      <c r="G122" s="5">
        <f t="shared" si="120"/>
        <v>7968.75</v>
      </c>
      <c r="H122" s="5">
        <f t="shared" si="120"/>
        <v>7968.75</v>
      </c>
      <c r="I122" s="5">
        <f t="shared" si="120"/>
        <v>7968.75</v>
      </c>
      <c r="J122" s="5">
        <f t="shared" si="120"/>
        <v>7968.75</v>
      </c>
      <c r="K122" s="5">
        <f t="shared" si="120"/>
        <v>7968.75</v>
      </c>
      <c r="L122" s="5">
        <f t="shared" si="120"/>
        <v>7968.75</v>
      </c>
      <c r="M122" s="5">
        <f t="shared" si="120"/>
        <v>7968.75</v>
      </c>
      <c r="N122" s="5">
        <f t="shared" si="120"/>
        <v>7968.75</v>
      </c>
      <c r="O122" s="5">
        <f t="shared" si="120"/>
        <v>7968.75</v>
      </c>
    </row>
    <row r="123" spans="1:22" ht="21" customHeight="1" x14ac:dyDescent="0.25">
      <c r="A123" s="411"/>
      <c r="B123" s="50" t="s">
        <v>301</v>
      </c>
      <c r="C123" s="201">
        <f t="shared" ref="C123:O123" si="121">SUM(C6,C18,C30,C42,C54,C66,C78,C90,C102,C114)</f>
        <v>31875</v>
      </c>
      <c r="D123" s="201">
        <f t="shared" si="121"/>
        <v>31875</v>
      </c>
      <c r="E123" s="201">
        <f t="shared" si="121"/>
        <v>31875</v>
      </c>
      <c r="F123" s="201">
        <f t="shared" si="121"/>
        <v>31875</v>
      </c>
      <c r="G123" s="201">
        <f t="shared" si="121"/>
        <v>31875</v>
      </c>
      <c r="H123" s="201">
        <f t="shared" si="121"/>
        <v>31875</v>
      </c>
      <c r="I123" s="201">
        <f t="shared" si="121"/>
        <v>31875</v>
      </c>
      <c r="J123" s="201">
        <f t="shared" si="121"/>
        <v>31875</v>
      </c>
      <c r="K123" s="201">
        <f t="shared" si="121"/>
        <v>31875</v>
      </c>
      <c r="L123" s="201">
        <f t="shared" si="121"/>
        <v>31875</v>
      </c>
      <c r="M123" s="201">
        <f t="shared" si="121"/>
        <v>31875</v>
      </c>
      <c r="N123" s="201">
        <f t="shared" si="121"/>
        <v>31875</v>
      </c>
      <c r="O123" s="201">
        <f t="shared" si="121"/>
        <v>31875</v>
      </c>
    </row>
    <row r="124" spans="1:22" ht="21" customHeight="1" x14ac:dyDescent="0.25">
      <c r="A124" s="411"/>
      <c r="B124" s="50" t="s">
        <v>302</v>
      </c>
      <c r="C124" s="5">
        <f>IFERROR(C122/C123,0)</f>
        <v>0.25</v>
      </c>
      <c r="D124" s="5">
        <f t="shared" ref="D124:O124" si="122">IFERROR(D122/D123,0)</f>
        <v>0.25</v>
      </c>
      <c r="E124" s="5">
        <f t="shared" si="122"/>
        <v>0.25</v>
      </c>
      <c r="F124" s="5">
        <f t="shared" si="122"/>
        <v>0.25</v>
      </c>
      <c r="G124" s="5">
        <f t="shared" si="122"/>
        <v>0.25</v>
      </c>
      <c r="H124" s="5">
        <f t="shared" si="122"/>
        <v>0.25</v>
      </c>
      <c r="I124" s="5">
        <f t="shared" si="122"/>
        <v>0.25</v>
      </c>
      <c r="J124" s="5">
        <f t="shared" si="122"/>
        <v>0.25</v>
      </c>
      <c r="K124" s="5">
        <f t="shared" si="122"/>
        <v>0.25</v>
      </c>
      <c r="L124" s="5">
        <f t="shared" si="122"/>
        <v>0.25</v>
      </c>
      <c r="M124" s="5">
        <f t="shared" si="122"/>
        <v>0.25</v>
      </c>
      <c r="N124" s="5">
        <f t="shared" si="122"/>
        <v>0.25</v>
      </c>
      <c r="O124" s="5">
        <f t="shared" si="122"/>
        <v>0.25</v>
      </c>
    </row>
    <row r="125" spans="1:22" ht="6" customHeight="1" x14ac:dyDescent="0.25">
      <c r="A125" s="411"/>
    </row>
    <row r="126" spans="1:22" ht="21" customHeight="1" x14ac:dyDescent="0.25">
      <c r="A126" s="411"/>
      <c r="B126" s="49" t="s">
        <v>303</v>
      </c>
      <c r="C126" s="5">
        <f>SUM(C10,C22,C34,C46,C58,C70,C82,C94,C106,C118)</f>
        <v>5</v>
      </c>
      <c r="E126" s="33"/>
      <c r="F126" s="56"/>
      <c r="J126" s="138" t="s">
        <v>304</v>
      </c>
      <c r="K126" s="252">
        <f>SUM(K10,K22,K34,K46,K58,K70,K82,K94,K106,K118)</f>
        <v>0</v>
      </c>
    </row>
    <row r="127" spans="1:22" ht="21" customHeight="1" x14ac:dyDescent="0.25">
      <c r="A127" s="411"/>
      <c r="B127" s="49" t="s">
        <v>305</v>
      </c>
      <c r="C127" s="5">
        <f>SUM(C11,C23,C35,C47,C59,C71,C83,C95,C107,C119)</f>
        <v>0</v>
      </c>
      <c r="E127" s="33"/>
      <c r="F127" s="211"/>
      <c r="J127" s="138" t="s">
        <v>306</v>
      </c>
      <c r="K127" s="252">
        <f>SUM(K11,K23,K35,K47,K59,K71,K83,K95,K107,K119)</f>
        <v>0</v>
      </c>
    </row>
    <row r="128" spans="1:22" ht="21" customHeight="1" x14ac:dyDescent="0.25">
      <c r="A128" s="411"/>
      <c r="B128" s="50" t="s">
        <v>307</v>
      </c>
      <c r="C128" s="5">
        <f>SUM(C12,C24,C36,C48,C60,C72,C84,C96,C108,C120)</f>
        <v>0</v>
      </c>
      <c r="E128" s="33"/>
      <c r="F128" s="211"/>
      <c r="J128" s="138" t="s">
        <v>297</v>
      </c>
      <c r="K128" s="252">
        <f>SUM(K126:K127)</f>
        <v>0</v>
      </c>
    </row>
    <row r="129" spans="1:3" ht="21" customHeight="1" x14ac:dyDescent="0.25">
      <c r="A129" s="411"/>
      <c r="B129" s="50" t="s">
        <v>308</v>
      </c>
      <c r="C129" s="253" t="s">
        <v>309</v>
      </c>
    </row>
    <row r="130" spans="1:3" ht="21" customHeight="1" x14ac:dyDescent="0.25">
      <c r="A130" s="220"/>
    </row>
  </sheetData>
  <sheetProtection sheet="1" objects="1" scenarios="1" selectLockedCells="1"/>
  <mergeCells count="52">
    <mergeCell ref="G118:H118"/>
    <mergeCell ref="G34:H34"/>
    <mergeCell ref="G46:H46"/>
    <mergeCell ref="G58:H58"/>
    <mergeCell ref="G70:H70"/>
    <mergeCell ref="G82:H82"/>
    <mergeCell ref="B62:P62"/>
    <mergeCell ref="B74:P74"/>
    <mergeCell ref="C111:P111"/>
    <mergeCell ref="C87:P87"/>
    <mergeCell ref="B86:P86"/>
    <mergeCell ref="B98:P98"/>
    <mergeCell ref="B110:P110"/>
    <mergeCell ref="C99:P99"/>
    <mergeCell ref="P119:P120"/>
    <mergeCell ref="P11:P12"/>
    <mergeCell ref="P23:P24"/>
    <mergeCell ref="P35:P36"/>
    <mergeCell ref="P47:P48"/>
    <mergeCell ref="P59:P60"/>
    <mergeCell ref="P71:P72"/>
    <mergeCell ref="P83:P84"/>
    <mergeCell ref="P95:P96"/>
    <mergeCell ref="P107:P108"/>
    <mergeCell ref="C63:P63"/>
    <mergeCell ref="C75:P75"/>
    <mergeCell ref="C51:P51"/>
    <mergeCell ref="B50:P50"/>
    <mergeCell ref="G94:H94"/>
    <mergeCell ref="G106:H106"/>
    <mergeCell ref="A2:A3"/>
    <mergeCell ref="C27:P27"/>
    <mergeCell ref="C39:P39"/>
    <mergeCell ref="B2:P2"/>
    <mergeCell ref="C3:P3"/>
    <mergeCell ref="B14:P14"/>
    <mergeCell ref="C15:P15"/>
    <mergeCell ref="B26:P26"/>
    <mergeCell ref="B38:P38"/>
    <mergeCell ref="A5:A12"/>
    <mergeCell ref="G10:H10"/>
    <mergeCell ref="G22:H22"/>
    <mergeCell ref="A122:A129"/>
    <mergeCell ref="A17:A24"/>
    <mergeCell ref="A29:A36"/>
    <mergeCell ref="A41:A47"/>
    <mergeCell ref="A113:A120"/>
    <mergeCell ref="A53:A60"/>
    <mergeCell ref="A65:A72"/>
    <mergeCell ref="A77:A84"/>
    <mergeCell ref="A89:A96"/>
    <mergeCell ref="A101:A108"/>
  </mergeCells>
  <conditionalFormatting sqref="H11:H12">
    <cfRule type="expression" dxfId="18" priority="19">
      <formula>IF(OR($G11="Usar valor existente", $G11="No está disponible"),TRUE, FALSE)</formula>
    </cfRule>
  </conditionalFormatting>
  <conditionalFormatting sqref="H23">
    <cfRule type="expression" dxfId="17" priority="18">
      <formula>IF($G23="Usar valor existente", TRUE, FALSE)</formula>
    </cfRule>
  </conditionalFormatting>
  <conditionalFormatting sqref="H35">
    <cfRule type="expression" dxfId="16" priority="17">
      <formula>IF($G35="Usar valor existente", TRUE, FALSE)</formula>
    </cfRule>
  </conditionalFormatting>
  <conditionalFormatting sqref="H47">
    <cfRule type="expression" dxfId="15" priority="16">
      <formula>IF($G47="Usar valor existente", TRUE, FALSE)</formula>
    </cfRule>
  </conditionalFormatting>
  <conditionalFormatting sqref="H59">
    <cfRule type="expression" dxfId="14" priority="15">
      <formula>IF($G59="Usar valor existente", TRUE, FALSE)</formula>
    </cfRule>
  </conditionalFormatting>
  <conditionalFormatting sqref="H71">
    <cfRule type="expression" dxfId="13" priority="14">
      <formula>IF($G71="Usar valor existente", TRUE, FALSE)</formula>
    </cfRule>
  </conditionalFormatting>
  <conditionalFormatting sqref="H83">
    <cfRule type="expression" dxfId="12" priority="13">
      <formula>IF($G83="Usar valor existente", TRUE, FALSE)</formula>
    </cfRule>
  </conditionalFormatting>
  <conditionalFormatting sqref="H95">
    <cfRule type="expression" dxfId="11" priority="12">
      <formula>IF($G95="Usar valor existente", TRUE, FALSE)</formula>
    </cfRule>
  </conditionalFormatting>
  <conditionalFormatting sqref="H107">
    <cfRule type="expression" dxfId="10" priority="11">
      <formula>IF($G107="Usar valor existente", TRUE, FALSE)</formula>
    </cfRule>
  </conditionalFormatting>
  <conditionalFormatting sqref="H119">
    <cfRule type="expression" dxfId="9" priority="10">
      <formula>IF($G119="Usar valor existente", TRUE, FALSE)</formula>
    </cfRule>
  </conditionalFormatting>
  <conditionalFormatting sqref="H24">
    <cfRule type="expression" dxfId="8" priority="9">
      <formula>IF(OR($G24="Usar valor existente", $G24="No está disponible"),TRUE, FALSE)</formula>
    </cfRule>
  </conditionalFormatting>
  <conditionalFormatting sqref="H36">
    <cfRule type="expression" dxfId="7" priority="8">
      <formula>IF(OR($G36="Usar valor existente", $G36="No está disponible"),TRUE, FALSE)</formula>
    </cfRule>
  </conditionalFormatting>
  <conditionalFormatting sqref="H48">
    <cfRule type="expression" dxfId="6" priority="7">
      <formula>IF(OR($G48="Usar valor existente", $G48="No está disponible"),TRUE, FALSE)</formula>
    </cfRule>
  </conditionalFormatting>
  <conditionalFormatting sqref="H60">
    <cfRule type="expression" dxfId="5" priority="6">
      <formula>IF(OR($G60="Usar valor existente", $G60="No está disponible"),TRUE, FALSE)</formula>
    </cfRule>
  </conditionalFormatting>
  <conditionalFormatting sqref="H72">
    <cfRule type="expression" dxfId="4" priority="5">
      <formula>IF(OR($G72="Usar valor existente", $G72="No está disponible"),TRUE, FALSE)</formula>
    </cfRule>
  </conditionalFormatting>
  <conditionalFormatting sqref="H84">
    <cfRule type="expression" dxfId="3" priority="4">
      <formula>IF(OR($G84="Usar valor existente", $G84="No está disponible"),TRUE, FALSE)</formula>
    </cfRule>
  </conditionalFormatting>
  <conditionalFormatting sqref="H96">
    <cfRule type="expression" dxfId="2" priority="3">
      <formula>IF(OR($G96="Usar valor existente", $G96="No está disponible"),TRUE, FALSE)</formula>
    </cfRule>
  </conditionalFormatting>
  <conditionalFormatting sqref="H108">
    <cfRule type="expression" dxfId="1" priority="2">
      <formula>IF(OR($G108="Usar valor existente", $G108="No está disponible"),TRUE, FALSE)</formula>
    </cfRule>
  </conditionalFormatting>
  <conditionalFormatting sqref="H120">
    <cfRule type="expression" dxfId="0" priority="1">
      <formula>IF(OR($G120="Usar valor existente", $G120="No está disponible"),TRUE, FALSE)</formula>
    </cfRule>
  </conditionalFormatting>
  <dataValidations count="3">
    <dataValidation type="list" allowBlank="1" showInputMessage="1" showErrorMessage="1" sqref="B1 P5 P89 P101 P17 P29 P41 P53 P65 P77 P113" xr:uid="{C332B1CB-7478-8B47-AA53-3437C4AD4435}">
      <formula1>"Si, No"</formula1>
    </dataValidation>
    <dataValidation type="list" allowBlank="1" showInputMessage="1" showErrorMessage="1" sqref="G107 G11 G23 G35 G47 G59 G71 G83 G95 G119" xr:uid="{52F9447C-A1BF-9E4D-B8CC-226149FC154C}">
      <formula1>"Usar valor existente, Ajustar valor"</formula1>
    </dataValidation>
    <dataValidation type="list" allowBlank="1" showInputMessage="1" showErrorMessage="1" sqref="G12 G24 G36 G48 G60 G72 G84 G96 G108 G120" xr:uid="{D0DEED59-B678-6C4F-871F-17C370ED6C3A}">
      <formula1>"Usar valor existente, No está disponible, Ajustar valor"</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allowBlank="1" showInputMessage="1" showErrorMessage="1" xr:uid="{3E8FECBF-3B67-C44B-A8AD-8FCD1C66B999}">
          <x14:formula1>
            <xm:f>Variables!$J$3:$J$6</xm:f>
          </x14:formula1>
          <xm:sqref>F126</xm:sqref>
        </x14:dataValidation>
        <x14:dataValidation type="list" allowBlank="1" showInputMessage="1" showErrorMessage="1" xr:uid="{4A65D83F-65FA-3647-A75C-24344F05B8F9}">
          <x14:formula1>
            <xm:f>Variables!$J$3:$J$8</xm:f>
          </x14:formula1>
          <xm:sqref>F10 F22 F34 F46 F58 F70 F82 F94 F106 F118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5B451-A7C6-444A-8335-6053E9985E6C}">
  <sheetPr codeName="Sheet9"/>
  <dimension ref="A1:N87"/>
  <sheetViews>
    <sheetView zoomScale="160" zoomScaleNormal="160" workbookViewId="0">
      <pane xSplit="1" topLeftCell="B1" activePane="topRight" state="frozen"/>
      <selection activeCell="F17" sqref="F17"/>
      <selection pane="topRight" activeCell="C2" sqref="C2"/>
    </sheetView>
  </sheetViews>
  <sheetFormatPr baseColWidth="10" defaultColWidth="11" defaultRowHeight="16" x14ac:dyDescent="0.2"/>
  <cols>
    <col min="1" max="1" width="11.5" customWidth="1"/>
    <col min="2" max="2" width="62.83203125" customWidth="1"/>
    <col min="3" max="3" width="48" customWidth="1"/>
    <col min="4" max="4" width="11" customWidth="1"/>
    <col min="5" max="5" width="18.1640625" customWidth="1"/>
    <col min="6" max="6" width="15.33203125" customWidth="1"/>
    <col min="7" max="7" width="11.1640625" customWidth="1"/>
    <col min="8" max="8" width="19.1640625" customWidth="1"/>
    <col min="9" max="9" width="22.1640625" customWidth="1"/>
    <col min="10" max="10" width="16.33203125" customWidth="1"/>
    <col min="11" max="11" width="5.33203125" customWidth="1"/>
    <col min="12" max="12" width="45.6640625" style="7" customWidth="1"/>
    <col min="13" max="13" width="37.5" style="212" customWidth="1"/>
    <col min="14" max="14" width="10.83203125" style="7" hidden="1" customWidth="1"/>
  </cols>
  <sheetData>
    <row r="1" spans="1:14" x14ac:dyDescent="0.2">
      <c r="A1" s="429">
        <v>1</v>
      </c>
      <c r="B1" s="373" t="s">
        <v>310</v>
      </c>
      <c r="C1" s="385" t="str">
        <f>IF('Lista de Facturas'!B4="","",'Lista de Facturas'!B4)</f>
        <v>Sede principal</v>
      </c>
      <c r="E1" s="156" t="s">
        <v>311</v>
      </c>
      <c r="F1" s="329" t="s">
        <v>312</v>
      </c>
      <c r="G1" s="329" t="s">
        <v>313</v>
      </c>
      <c r="H1" s="329" t="s">
        <v>175</v>
      </c>
      <c r="I1" s="329" t="s">
        <v>314</v>
      </c>
      <c r="J1" s="330" t="s">
        <v>315</v>
      </c>
      <c r="K1" s="328"/>
      <c r="L1" s="208" t="s">
        <v>316</v>
      </c>
      <c r="M1" s="208" t="s">
        <v>317</v>
      </c>
    </row>
    <row r="2" spans="1:14" x14ac:dyDescent="0.2">
      <c r="A2" s="430"/>
      <c r="B2" s="79" t="s">
        <v>318</v>
      </c>
      <c r="C2" s="386">
        <v>26</v>
      </c>
      <c r="D2" s="123"/>
      <c r="E2" s="200" t="s">
        <v>319</v>
      </c>
      <c r="F2" s="396">
        <v>26</v>
      </c>
      <c r="G2" s="331">
        <v>2.5</v>
      </c>
      <c r="H2" s="332"/>
      <c r="I2" s="370">
        <f>IFERROR(H2/F2,"")</f>
        <v>0</v>
      </c>
      <c r="J2" s="332">
        <f>G2*F2*10^3</f>
        <v>65000</v>
      </c>
      <c r="K2" s="123"/>
      <c r="L2" s="210">
        <f>'Lista de Facturas'!P11</f>
        <v>360</v>
      </c>
      <c r="M2" s="216" t="str">
        <f>IF(C2&gt;L2,"ERROR: Sistema excede el criterio de diseño","")</f>
        <v/>
      </c>
      <c r="N2" s="7">
        <f>IF(M2="",0,1)</f>
        <v>0</v>
      </c>
    </row>
    <row r="3" spans="1:14" x14ac:dyDescent="0.2">
      <c r="A3" s="430"/>
      <c r="B3" s="79" t="s">
        <v>173</v>
      </c>
      <c r="C3" s="387">
        <v>0</v>
      </c>
      <c r="E3" s="200" t="s">
        <v>320</v>
      </c>
      <c r="F3" s="396"/>
      <c r="G3" s="331"/>
      <c r="H3" s="332"/>
      <c r="I3" s="370" t="str">
        <f t="shared" ref="I3:I5" si="0">IFERROR(H3/F3,"")</f>
        <v/>
      </c>
      <c r="J3" s="332">
        <f t="shared" ref="J3:J4" si="1">G3*F3*10^3</f>
        <v>0</v>
      </c>
    </row>
    <row r="4" spans="1:14" x14ac:dyDescent="0.2">
      <c r="A4" s="430"/>
      <c r="B4" s="79" t="s">
        <v>321</v>
      </c>
      <c r="C4" s="388">
        <v>65000</v>
      </c>
      <c r="D4" s="162"/>
      <c r="E4" s="200" t="s">
        <v>322</v>
      </c>
      <c r="F4" s="397"/>
      <c r="G4" s="331"/>
      <c r="H4" s="332"/>
      <c r="I4" s="370" t="str">
        <f t="shared" si="0"/>
        <v/>
      </c>
      <c r="J4" s="332">
        <f t="shared" si="1"/>
        <v>0</v>
      </c>
      <c r="K4" s="162"/>
      <c r="L4" s="208" t="s">
        <v>323</v>
      </c>
      <c r="M4" s="214"/>
    </row>
    <row r="5" spans="1:14" ht="17" thickBot="1" x14ac:dyDescent="0.25">
      <c r="A5" s="431"/>
      <c r="B5" s="375" t="s">
        <v>324</v>
      </c>
      <c r="C5" s="389">
        <v>0</v>
      </c>
      <c r="D5" s="162"/>
      <c r="E5" s="200" t="s">
        <v>325</v>
      </c>
      <c r="F5" s="366">
        <f>SUM(F2:F4)</f>
        <v>26</v>
      </c>
      <c r="G5" s="334">
        <f>IFERROR(J5/(F5*10^3),0)</f>
        <v>2.5</v>
      </c>
      <c r="H5" s="392"/>
      <c r="I5" s="370">
        <f t="shared" si="0"/>
        <v>0</v>
      </c>
      <c r="J5" s="335">
        <f>SUM(J2:J4)</f>
        <v>65000</v>
      </c>
      <c r="K5" s="162"/>
      <c r="L5" s="210" t="str">
        <f>IF('Lista de Facturas'!K12&lt;&gt;0,IF(C2/ac_dc_conv&gt;'Lista de Facturas'!K12, "SI", "NO"),"NO")</f>
        <v>NO</v>
      </c>
      <c r="M5" s="214"/>
    </row>
    <row r="6" spans="1:14" ht="17" thickBot="1" x14ac:dyDescent="0.25"/>
    <row r="7" spans="1:14" x14ac:dyDescent="0.2">
      <c r="A7" s="429">
        <v>2</v>
      </c>
      <c r="B7" s="373" t="s">
        <v>310</v>
      </c>
      <c r="C7" s="385" t="str">
        <f>IF('Lista de Facturas'!B16="","",'Lista de Facturas'!B16)</f>
        <v/>
      </c>
      <c r="E7" s="156" t="s">
        <v>311</v>
      </c>
      <c r="F7" s="329" t="s">
        <v>312</v>
      </c>
      <c r="G7" s="329" t="s">
        <v>313</v>
      </c>
      <c r="H7" s="329" t="s">
        <v>175</v>
      </c>
      <c r="I7" s="329" t="s">
        <v>314</v>
      </c>
      <c r="J7" s="330" t="s">
        <v>315</v>
      </c>
      <c r="L7" s="208" t="s">
        <v>316</v>
      </c>
      <c r="M7" s="208" t="s">
        <v>317</v>
      </c>
    </row>
    <row r="8" spans="1:14" x14ac:dyDescent="0.2">
      <c r="A8" s="430"/>
      <c r="B8" s="79" t="s">
        <v>318</v>
      </c>
      <c r="C8" s="386"/>
      <c r="D8" s="123"/>
      <c r="E8" s="200" t="s">
        <v>319</v>
      </c>
      <c r="F8" s="365"/>
      <c r="G8" s="331"/>
      <c r="H8" s="332"/>
      <c r="I8" s="319"/>
      <c r="J8" s="332">
        <f>G8*F8*10^3</f>
        <v>0</v>
      </c>
      <c r="K8" s="123"/>
      <c r="L8" s="210" t="str">
        <f>'Lista de Facturas'!P23</f>
        <v/>
      </c>
      <c r="M8" s="216" t="str">
        <f>IF(C8&gt;L8,"ERROR: Sistema excede el criterio de diseño","")</f>
        <v/>
      </c>
      <c r="N8" s="7">
        <f>IF(M8="",0,1)</f>
        <v>0</v>
      </c>
    </row>
    <row r="9" spans="1:14" x14ac:dyDescent="0.2">
      <c r="A9" s="430"/>
      <c r="B9" s="79" t="s">
        <v>173</v>
      </c>
      <c r="C9" s="387"/>
      <c r="E9" s="200" t="s">
        <v>320</v>
      </c>
      <c r="F9" s="365"/>
      <c r="G9" s="331"/>
      <c r="H9" s="332"/>
      <c r="I9" s="319"/>
      <c r="J9" s="332">
        <f t="shared" ref="J9:J10" si="2">G9*F9*10^3</f>
        <v>0</v>
      </c>
    </row>
    <row r="10" spans="1:14" x14ac:dyDescent="0.2">
      <c r="A10" s="430"/>
      <c r="B10" s="79" t="s">
        <v>321</v>
      </c>
      <c r="C10" s="388"/>
      <c r="E10" s="200" t="s">
        <v>322</v>
      </c>
      <c r="F10" s="365"/>
      <c r="G10" s="331"/>
      <c r="H10" s="332"/>
      <c r="I10" s="319"/>
      <c r="J10" s="332">
        <f t="shared" si="2"/>
        <v>0</v>
      </c>
      <c r="L10" s="208" t="s">
        <v>323</v>
      </c>
    </row>
    <row r="11" spans="1:14" ht="17" thickBot="1" x14ac:dyDescent="0.25">
      <c r="A11" s="431"/>
      <c r="B11" s="375" t="s">
        <v>324</v>
      </c>
      <c r="C11" s="389"/>
      <c r="E11" s="200" t="s">
        <v>325</v>
      </c>
      <c r="F11" s="333">
        <f>SUM(F8:F10)</f>
        <v>0</v>
      </c>
      <c r="G11" s="334">
        <f>IFERROR(J11/(F11*10^3),0)</f>
        <v>0</v>
      </c>
      <c r="H11" s="371"/>
      <c r="I11" s="370" t="str">
        <f t="shared" ref="I11" si="3">IFERROR(H11/F11,"")</f>
        <v/>
      </c>
      <c r="J11" s="335">
        <f>SUM(J8:J10)</f>
        <v>0</v>
      </c>
      <c r="L11" s="210" t="str">
        <f>IF('Lista de Facturas'!K24&lt;&gt;0,IF(C8/ac_dc_conv&gt;'Lista de Facturas'!K24, "SI", "NO"),"NO")</f>
        <v>NO</v>
      </c>
    </row>
    <row r="12" spans="1:14" ht="17" thickBot="1" x14ac:dyDescent="0.25"/>
    <row r="13" spans="1:14" x14ac:dyDescent="0.2">
      <c r="A13" s="429">
        <v>3</v>
      </c>
      <c r="B13" s="373" t="s">
        <v>310</v>
      </c>
      <c r="C13" s="385" t="str">
        <f>IF('Lista de Facturas'!B28="","",'Lista de Facturas'!B28)</f>
        <v/>
      </c>
      <c r="D13" s="123"/>
      <c r="E13" s="156" t="s">
        <v>311</v>
      </c>
      <c r="F13" s="329" t="s">
        <v>312</v>
      </c>
      <c r="G13" s="329" t="s">
        <v>313</v>
      </c>
      <c r="H13" s="329" t="s">
        <v>175</v>
      </c>
      <c r="I13" s="329" t="s">
        <v>314</v>
      </c>
      <c r="J13" s="330" t="s">
        <v>315</v>
      </c>
      <c r="K13" s="123"/>
      <c r="L13" s="208" t="s">
        <v>316</v>
      </c>
      <c r="M13" s="208" t="s">
        <v>317</v>
      </c>
    </row>
    <row r="14" spans="1:14" x14ac:dyDescent="0.2">
      <c r="A14" s="430"/>
      <c r="B14" s="79" t="s">
        <v>318</v>
      </c>
      <c r="C14" s="386"/>
      <c r="D14" s="123"/>
      <c r="E14" s="200" t="s">
        <v>319</v>
      </c>
      <c r="F14" s="365"/>
      <c r="G14" s="331"/>
      <c r="H14" s="332"/>
      <c r="I14" s="319"/>
      <c r="J14" s="332">
        <f>G14*F14*10^3</f>
        <v>0</v>
      </c>
      <c r="K14" s="123"/>
      <c r="L14" s="210" t="str">
        <f>'Lista de Facturas'!P35</f>
        <v/>
      </c>
      <c r="M14" s="216" t="str">
        <f>IF(C14&gt;L14,"ERROR: Sistema excede el criterio de diseño","")</f>
        <v/>
      </c>
      <c r="N14" s="7">
        <f>IF(M14="",0,1)</f>
        <v>0</v>
      </c>
    </row>
    <row r="15" spans="1:14" x14ac:dyDescent="0.2">
      <c r="A15" s="430"/>
      <c r="B15" s="79" t="s">
        <v>173</v>
      </c>
      <c r="C15" s="387"/>
      <c r="E15" s="200" t="s">
        <v>320</v>
      </c>
      <c r="F15" s="365"/>
      <c r="G15" s="331"/>
      <c r="H15" s="332"/>
      <c r="I15" s="319"/>
      <c r="J15" s="332">
        <f t="shared" ref="J15:J16" si="4">G15*F15*10^3</f>
        <v>0</v>
      </c>
    </row>
    <row r="16" spans="1:14" x14ac:dyDescent="0.2">
      <c r="A16" s="430"/>
      <c r="B16" s="79" t="s">
        <v>321</v>
      </c>
      <c r="C16" s="388"/>
      <c r="E16" s="200" t="s">
        <v>322</v>
      </c>
      <c r="F16" s="365"/>
      <c r="G16" s="331"/>
      <c r="H16" s="332"/>
      <c r="I16" s="319"/>
      <c r="J16" s="332">
        <f t="shared" si="4"/>
        <v>0</v>
      </c>
      <c r="L16" s="208" t="s">
        <v>323</v>
      </c>
    </row>
    <row r="17" spans="1:14" ht="17" thickBot="1" x14ac:dyDescent="0.25">
      <c r="A17" s="431"/>
      <c r="B17" s="375" t="s">
        <v>324</v>
      </c>
      <c r="C17" s="389"/>
      <c r="E17" s="200" t="s">
        <v>325</v>
      </c>
      <c r="F17" s="333">
        <f>SUM(F14:F16)</f>
        <v>0</v>
      </c>
      <c r="G17" s="334">
        <f>IFERROR(J17/(F17*10^3),0)</f>
        <v>0</v>
      </c>
      <c r="H17" s="371"/>
      <c r="I17" s="370" t="str">
        <f t="shared" ref="I17" si="5">IFERROR(H17/F17,"")</f>
        <v/>
      </c>
      <c r="J17" s="335">
        <f>SUM(J14:J16)</f>
        <v>0</v>
      </c>
      <c r="L17" s="210" t="str">
        <f>IF('Lista de Facturas'!K36&lt;&gt;0,IF(C14/ac_dc_conv&gt;'Lista de Facturas'!K36, "SI", "NO"),"NO")</f>
        <v>NO</v>
      </c>
    </row>
    <row r="18" spans="1:14" ht="17" thickBot="1" x14ac:dyDescent="0.25">
      <c r="D18" s="123"/>
      <c r="E18" s="123"/>
      <c r="F18" s="123"/>
      <c r="G18" s="123"/>
      <c r="H18" s="123"/>
      <c r="I18" s="123"/>
      <c r="J18" s="123"/>
      <c r="K18" s="123"/>
      <c r="M18" s="213"/>
    </row>
    <row r="19" spans="1:14" ht="16" customHeight="1" x14ac:dyDescent="0.2">
      <c r="A19" s="429">
        <v>4</v>
      </c>
      <c r="B19" s="373" t="s">
        <v>310</v>
      </c>
      <c r="C19" s="385" t="str">
        <f>IF('Lista de Facturas'!B40="","",'Lista de Facturas'!B40)</f>
        <v/>
      </c>
      <c r="E19" s="156" t="s">
        <v>311</v>
      </c>
      <c r="F19" s="329" t="s">
        <v>312</v>
      </c>
      <c r="G19" s="329" t="s">
        <v>313</v>
      </c>
      <c r="H19" s="329" t="s">
        <v>175</v>
      </c>
      <c r="I19" s="329" t="s">
        <v>314</v>
      </c>
      <c r="J19" s="330" t="s">
        <v>315</v>
      </c>
      <c r="L19" s="208" t="s">
        <v>323</v>
      </c>
      <c r="M19" s="208" t="s">
        <v>317</v>
      </c>
    </row>
    <row r="20" spans="1:14" ht="16" customHeight="1" x14ac:dyDescent="0.2">
      <c r="A20" s="430"/>
      <c r="B20" s="79" t="s">
        <v>318</v>
      </c>
      <c r="C20" s="386"/>
      <c r="D20" s="123"/>
      <c r="E20" s="200" t="s">
        <v>319</v>
      </c>
      <c r="F20" s="365"/>
      <c r="G20" s="331"/>
      <c r="H20" s="332"/>
      <c r="I20" s="319"/>
      <c r="J20" s="332">
        <f>G20*F20*10^3</f>
        <v>0</v>
      </c>
      <c r="K20" s="123"/>
      <c r="L20" s="210" t="str">
        <f>'Lista de Facturas'!P47</f>
        <v/>
      </c>
      <c r="M20" s="216" t="str">
        <f>IF(C20&gt;L20,"ERROR: Sistema excede el criterio de diseño","")</f>
        <v/>
      </c>
      <c r="N20" s="7">
        <f>IF(M20="",0,1)</f>
        <v>0</v>
      </c>
    </row>
    <row r="21" spans="1:14" ht="16" customHeight="1" x14ac:dyDescent="0.2">
      <c r="A21" s="430"/>
      <c r="B21" s="79" t="s">
        <v>173</v>
      </c>
      <c r="C21" s="387"/>
      <c r="E21" s="200" t="s">
        <v>320</v>
      </c>
      <c r="F21" s="365"/>
      <c r="G21" s="331"/>
      <c r="H21" s="332"/>
      <c r="I21" s="319"/>
      <c r="J21" s="332">
        <f t="shared" ref="J21:J22" si="6">G21*F21*10^3</f>
        <v>0</v>
      </c>
    </row>
    <row r="22" spans="1:14" ht="16" customHeight="1" x14ac:dyDescent="0.2">
      <c r="A22" s="430"/>
      <c r="B22" s="79" t="s">
        <v>321</v>
      </c>
      <c r="C22" s="388"/>
      <c r="E22" s="200" t="s">
        <v>322</v>
      </c>
      <c r="F22" s="365"/>
      <c r="G22" s="331"/>
      <c r="H22" s="332"/>
      <c r="I22" s="319"/>
      <c r="J22" s="332">
        <f t="shared" si="6"/>
        <v>0</v>
      </c>
      <c r="L22" s="208" t="s">
        <v>323</v>
      </c>
    </row>
    <row r="23" spans="1:14" ht="16" customHeight="1" thickBot="1" x14ac:dyDescent="0.25">
      <c r="A23" s="431"/>
      <c r="B23" s="375" t="s">
        <v>324</v>
      </c>
      <c r="C23" s="389"/>
      <c r="E23" s="200" t="s">
        <v>325</v>
      </c>
      <c r="F23" s="333">
        <f>SUM(F20:F22)</f>
        <v>0</v>
      </c>
      <c r="G23" s="334">
        <f>IFERROR(J23/(F23*10^3),0)</f>
        <v>0</v>
      </c>
      <c r="H23" s="371"/>
      <c r="I23" s="370" t="str">
        <f t="shared" ref="I23" si="7">IFERROR(H23/F23,"")</f>
        <v/>
      </c>
      <c r="J23" s="335">
        <f>SUM(J20:J22)</f>
        <v>0</v>
      </c>
      <c r="L23" s="210" t="str">
        <f>IF('Lista de Facturas'!K48&lt;&gt;0,IF(C20/ac_dc_conv&gt;'Lista de Facturas'!K48, "SI", "NO"),"NO")</f>
        <v>NO</v>
      </c>
    </row>
    <row r="24" spans="1:14" ht="17" thickBot="1" x14ac:dyDescent="0.25">
      <c r="D24" s="123"/>
      <c r="E24" s="123"/>
      <c r="F24" s="123"/>
      <c r="G24" s="123"/>
      <c r="H24" s="123"/>
      <c r="I24" s="123"/>
      <c r="J24" s="123"/>
      <c r="K24" s="123"/>
      <c r="M24" s="213"/>
    </row>
    <row r="25" spans="1:14" x14ac:dyDescent="0.2">
      <c r="A25" s="429">
        <v>5</v>
      </c>
      <c r="B25" s="373" t="s">
        <v>310</v>
      </c>
      <c r="C25" s="385" t="str">
        <f>IF('Lista de Facturas'!B52="","",'Lista de Facturas'!B52)</f>
        <v/>
      </c>
      <c r="E25" s="156" t="s">
        <v>311</v>
      </c>
      <c r="F25" s="329" t="s">
        <v>312</v>
      </c>
      <c r="G25" s="329" t="s">
        <v>313</v>
      </c>
      <c r="H25" s="329" t="s">
        <v>175</v>
      </c>
      <c r="I25" s="329" t="s">
        <v>314</v>
      </c>
      <c r="J25" s="330" t="s">
        <v>315</v>
      </c>
      <c r="L25" s="208" t="s">
        <v>316</v>
      </c>
      <c r="M25" s="208" t="s">
        <v>317</v>
      </c>
    </row>
    <row r="26" spans="1:14" x14ac:dyDescent="0.2">
      <c r="A26" s="430"/>
      <c r="B26" s="79" t="s">
        <v>318</v>
      </c>
      <c r="C26" s="386"/>
      <c r="D26" s="123"/>
      <c r="E26" s="200" t="s">
        <v>319</v>
      </c>
      <c r="F26" s="365"/>
      <c r="G26" s="331"/>
      <c r="H26" s="332"/>
      <c r="I26" s="319"/>
      <c r="J26" s="332">
        <f>G26*F26*10^3</f>
        <v>0</v>
      </c>
      <c r="K26" s="123"/>
      <c r="L26" s="210" t="str">
        <f>'Lista de Facturas'!P59</f>
        <v/>
      </c>
      <c r="M26" s="216" t="str">
        <f>IF(C26&gt;L26,"ERROR: Sistema excede el criterio de diseño","")</f>
        <v/>
      </c>
      <c r="N26" s="7">
        <f>IF(M26="",0,1)</f>
        <v>0</v>
      </c>
    </row>
    <row r="27" spans="1:14" x14ac:dyDescent="0.2">
      <c r="A27" s="430"/>
      <c r="B27" s="79" t="s">
        <v>173</v>
      </c>
      <c r="C27" s="387"/>
      <c r="E27" s="200" t="s">
        <v>320</v>
      </c>
      <c r="F27" s="365"/>
      <c r="G27" s="331"/>
      <c r="H27" s="332"/>
      <c r="I27" s="319"/>
      <c r="J27" s="332">
        <f t="shared" ref="J27:J28" si="8">G27*F27*10^3</f>
        <v>0</v>
      </c>
    </row>
    <row r="28" spans="1:14" x14ac:dyDescent="0.2">
      <c r="A28" s="430"/>
      <c r="B28" s="79" t="s">
        <v>321</v>
      </c>
      <c r="C28" s="388"/>
      <c r="E28" s="200" t="s">
        <v>322</v>
      </c>
      <c r="F28" s="365"/>
      <c r="G28" s="331"/>
      <c r="H28" s="332"/>
      <c r="I28" s="319"/>
      <c r="J28" s="332">
        <f t="shared" si="8"/>
        <v>0</v>
      </c>
      <c r="L28" s="208" t="s">
        <v>323</v>
      </c>
    </row>
    <row r="29" spans="1:14" ht="17" thickBot="1" x14ac:dyDescent="0.25">
      <c r="A29" s="431"/>
      <c r="B29" s="375" t="s">
        <v>324</v>
      </c>
      <c r="C29" s="389"/>
      <c r="E29" s="200" t="s">
        <v>325</v>
      </c>
      <c r="F29" s="333">
        <f>SUM(F26:F28)</f>
        <v>0</v>
      </c>
      <c r="G29" s="334">
        <f>IFERROR(J29/(F29*10^3),0)</f>
        <v>0</v>
      </c>
      <c r="H29" s="371"/>
      <c r="I29" s="370" t="str">
        <f t="shared" ref="I29" si="9">IFERROR(H29/F29,"")</f>
        <v/>
      </c>
      <c r="J29" s="335">
        <f>SUM(J26:J28)</f>
        <v>0</v>
      </c>
      <c r="L29" s="210" t="str">
        <f>IF('Lista de Facturas'!K60&lt;&gt;0,IF(C26/ac_dc_conv&gt;'Lista de Facturas'!K60, "SI", "NO"),"NO")</f>
        <v>NO</v>
      </c>
    </row>
    <row r="30" spans="1:14" ht="17" thickBot="1" x14ac:dyDescent="0.25"/>
    <row r="31" spans="1:14" x14ac:dyDescent="0.2">
      <c r="A31" s="429">
        <v>6</v>
      </c>
      <c r="B31" s="373" t="s">
        <v>310</v>
      </c>
      <c r="C31" s="385" t="str">
        <f>IF('Lista de Facturas'!B64="","",'Lista de Facturas'!B64)</f>
        <v/>
      </c>
      <c r="E31" s="156" t="s">
        <v>311</v>
      </c>
      <c r="F31" s="329" t="s">
        <v>312</v>
      </c>
      <c r="G31" s="329" t="s">
        <v>313</v>
      </c>
      <c r="H31" s="329" t="s">
        <v>175</v>
      </c>
      <c r="I31" s="329" t="s">
        <v>314</v>
      </c>
      <c r="J31" s="330" t="s">
        <v>315</v>
      </c>
      <c r="L31" s="208" t="s">
        <v>316</v>
      </c>
      <c r="M31" s="208" t="s">
        <v>317</v>
      </c>
    </row>
    <row r="32" spans="1:14" x14ac:dyDescent="0.2">
      <c r="A32" s="430"/>
      <c r="B32" s="79" t="s">
        <v>318</v>
      </c>
      <c r="C32" s="386"/>
      <c r="D32" s="123"/>
      <c r="E32" s="200" t="s">
        <v>319</v>
      </c>
      <c r="F32" s="365"/>
      <c r="G32" s="331"/>
      <c r="H32" s="332"/>
      <c r="I32" s="319"/>
      <c r="J32" s="332">
        <f>G32*F32*10^3</f>
        <v>0</v>
      </c>
      <c r="K32" s="123"/>
      <c r="L32" s="210" t="str">
        <f>'Lista de Facturas'!P71</f>
        <v/>
      </c>
      <c r="M32" s="216" t="str">
        <f>IF(C32&gt;L32,"ERROR: Sistema excede el criterio de diseño","")</f>
        <v/>
      </c>
      <c r="N32" s="7">
        <f>IF(M32="",0,1)</f>
        <v>0</v>
      </c>
    </row>
    <row r="33" spans="1:14" x14ac:dyDescent="0.2">
      <c r="A33" s="430"/>
      <c r="B33" s="79" t="s">
        <v>173</v>
      </c>
      <c r="C33" s="387"/>
      <c r="E33" s="200" t="s">
        <v>320</v>
      </c>
      <c r="F33" s="365"/>
      <c r="G33" s="331"/>
      <c r="H33" s="332"/>
      <c r="I33" s="319"/>
      <c r="J33" s="332">
        <f t="shared" ref="J33:J34" si="10">G33*F33*10^3</f>
        <v>0</v>
      </c>
    </row>
    <row r="34" spans="1:14" x14ac:dyDescent="0.2">
      <c r="A34" s="430"/>
      <c r="B34" s="79" t="s">
        <v>321</v>
      </c>
      <c r="C34" s="388"/>
      <c r="E34" s="200" t="s">
        <v>322</v>
      </c>
      <c r="F34" s="365"/>
      <c r="G34" s="331"/>
      <c r="H34" s="332"/>
      <c r="I34" s="319"/>
      <c r="J34" s="332">
        <f t="shared" si="10"/>
        <v>0</v>
      </c>
      <c r="L34" s="208" t="s">
        <v>323</v>
      </c>
    </row>
    <row r="35" spans="1:14" ht="17" thickBot="1" x14ac:dyDescent="0.25">
      <c r="A35" s="431"/>
      <c r="B35" s="375" t="s">
        <v>324</v>
      </c>
      <c r="C35" s="389"/>
      <c r="E35" s="200" t="s">
        <v>325</v>
      </c>
      <c r="F35" s="333">
        <f>SUM(F32:F34)</f>
        <v>0</v>
      </c>
      <c r="G35" s="334">
        <f>IFERROR(J35/(F35*10^3),0)</f>
        <v>0</v>
      </c>
      <c r="H35" s="371"/>
      <c r="I35" s="370" t="str">
        <f t="shared" ref="I35" si="11">IFERROR(H35/F35,"")</f>
        <v/>
      </c>
      <c r="J35" s="335">
        <f>SUM(J32:J34)</f>
        <v>0</v>
      </c>
      <c r="L35" s="210" t="str">
        <f>IF('Lista de Facturas'!K72&lt;&gt;0,IF(C32/ac_dc_conv&gt;'Lista de Facturas'!K72, "SI", "NO"),"NO")</f>
        <v>NO</v>
      </c>
    </row>
    <row r="36" spans="1:14" ht="17" thickBot="1" x14ac:dyDescent="0.25"/>
    <row r="37" spans="1:14" x14ac:dyDescent="0.2">
      <c r="A37" s="429">
        <v>7</v>
      </c>
      <c r="B37" s="373" t="s">
        <v>310</v>
      </c>
      <c r="C37" s="385" t="str">
        <f>IF('Lista de Facturas'!B76="","",'Lista de Facturas'!B76)</f>
        <v/>
      </c>
      <c r="E37" s="156" t="s">
        <v>311</v>
      </c>
      <c r="F37" s="329" t="s">
        <v>312</v>
      </c>
      <c r="G37" s="329" t="s">
        <v>313</v>
      </c>
      <c r="H37" s="329" t="s">
        <v>175</v>
      </c>
      <c r="I37" s="329" t="s">
        <v>314</v>
      </c>
      <c r="J37" s="330" t="s">
        <v>315</v>
      </c>
      <c r="L37" s="208" t="s">
        <v>316</v>
      </c>
      <c r="M37" s="208" t="s">
        <v>317</v>
      </c>
    </row>
    <row r="38" spans="1:14" x14ac:dyDescent="0.2">
      <c r="A38" s="430"/>
      <c r="B38" s="79" t="s">
        <v>318</v>
      </c>
      <c r="C38" s="386"/>
      <c r="D38" s="123"/>
      <c r="E38" s="200" t="s">
        <v>319</v>
      </c>
      <c r="F38" s="365"/>
      <c r="G38" s="331"/>
      <c r="H38" s="332"/>
      <c r="I38" s="319"/>
      <c r="J38" s="332">
        <f>G38*F38*10^3</f>
        <v>0</v>
      </c>
      <c r="K38" s="123"/>
      <c r="L38" s="210" t="str">
        <f>'Lista de Facturas'!P83</f>
        <v/>
      </c>
      <c r="M38" s="216" t="str">
        <f>IF(C38&gt;L38,"ERROR: Sistema excede el criterio de diseño","")</f>
        <v/>
      </c>
      <c r="N38" s="7">
        <f>IF(M38="",0,1)</f>
        <v>0</v>
      </c>
    </row>
    <row r="39" spans="1:14" x14ac:dyDescent="0.2">
      <c r="A39" s="430"/>
      <c r="B39" s="79" t="s">
        <v>173</v>
      </c>
      <c r="C39" s="387"/>
      <c r="E39" s="200" t="s">
        <v>320</v>
      </c>
      <c r="F39" s="365"/>
      <c r="G39" s="331"/>
      <c r="H39" s="332"/>
      <c r="I39" s="319"/>
      <c r="J39" s="332">
        <f t="shared" ref="J39:J40" si="12">G39*F39*10^3</f>
        <v>0</v>
      </c>
    </row>
    <row r="40" spans="1:14" x14ac:dyDescent="0.2">
      <c r="A40" s="430"/>
      <c r="B40" s="79" t="s">
        <v>321</v>
      </c>
      <c r="C40" s="388"/>
      <c r="E40" s="200" t="s">
        <v>322</v>
      </c>
      <c r="F40" s="365"/>
      <c r="G40" s="331"/>
      <c r="H40" s="332"/>
      <c r="I40" s="319"/>
      <c r="J40" s="332">
        <f t="shared" si="12"/>
        <v>0</v>
      </c>
      <c r="L40" s="208" t="s">
        <v>323</v>
      </c>
    </row>
    <row r="41" spans="1:14" ht="17" thickBot="1" x14ac:dyDescent="0.25">
      <c r="A41" s="431"/>
      <c r="B41" s="375" t="s">
        <v>324</v>
      </c>
      <c r="C41" s="389"/>
      <c r="E41" s="200" t="s">
        <v>325</v>
      </c>
      <c r="F41" s="333">
        <f>SUM(F38:F40)</f>
        <v>0</v>
      </c>
      <c r="G41" s="334">
        <f>IFERROR(J41/(F41*10^3),0)</f>
        <v>0</v>
      </c>
      <c r="H41" s="371"/>
      <c r="I41" s="370" t="str">
        <f t="shared" ref="I41" si="13">IFERROR(H41/F41,"")</f>
        <v/>
      </c>
      <c r="J41" s="335">
        <f>SUM(J38:J40)</f>
        <v>0</v>
      </c>
      <c r="L41" s="210" t="str">
        <f>IF('Lista de Facturas'!K84&lt;&gt;0,IF(C38/ac_dc_conv&gt;'Lista de Facturas'!K84, "SI", "NO"),"NO")</f>
        <v>NO</v>
      </c>
    </row>
    <row r="42" spans="1:14" ht="17" thickBot="1" x14ac:dyDescent="0.25"/>
    <row r="43" spans="1:14" x14ac:dyDescent="0.2">
      <c r="A43" s="429">
        <v>8</v>
      </c>
      <c r="B43" s="373" t="s">
        <v>310</v>
      </c>
      <c r="C43" s="385" t="str">
        <f>IF('Lista de Facturas'!B88="","",'Lista de Facturas'!B88)</f>
        <v/>
      </c>
      <c r="E43" s="156" t="s">
        <v>311</v>
      </c>
      <c r="F43" s="329" t="s">
        <v>312</v>
      </c>
      <c r="G43" s="329" t="s">
        <v>313</v>
      </c>
      <c r="H43" s="329" t="s">
        <v>175</v>
      </c>
      <c r="I43" s="329" t="s">
        <v>314</v>
      </c>
      <c r="J43" s="330" t="s">
        <v>315</v>
      </c>
      <c r="L43" s="208" t="s">
        <v>316</v>
      </c>
      <c r="M43" s="208" t="s">
        <v>317</v>
      </c>
    </row>
    <row r="44" spans="1:14" x14ac:dyDescent="0.2">
      <c r="A44" s="430"/>
      <c r="B44" s="79" t="s">
        <v>318</v>
      </c>
      <c r="C44" s="386"/>
      <c r="D44" s="123"/>
      <c r="E44" s="200" t="s">
        <v>319</v>
      </c>
      <c r="F44" s="365"/>
      <c r="G44" s="331"/>
      <c r="H44" s="332"/>
      <c r="I44" s="319"/>
      <c r="J44" s="332">
        <f>G44*F44*10^3</f>
        <v>0</v>
      </c>
      <c r="K44" s="123"/>
      <c r="L44" s="210" t="str">
        <f>'Lista de Facturas'!P95</f>
        <v/>
      </c>
      <c r="M44" s="216" t="str">
        <f>IF(C44&gt;L44,"ERROR: Sistema excede el criterio de diseño","")</f>
        <v/>
      </c>
      <c r="N44" s="7">
        <f>IF(M44="",0,1)</f>
        <v>0</v>
      </c>
    </row>
    <row r="45" spans="1:14" x14ac:dyDescent="0.2">
      <c r="A45" s="430"/>
      <c r="B45" s="79" t="s">
        <v>173</v>
      </c>
      <c r="C45" s="387"/>
      <c r="E45" s="200" t="s">
        <v>320</v>
      </c>
      <c r="F45" s="365"/>
      <c r="G45" s="331"/>
      <c r="H45" s="332"/>
      <c r="I45" s="319"/>
      <c r="J45" s="332">
        <f t="shared" ref="J45:J46" si="14">G45*F45*10^3</f>
        <v>0</v>
      </c>
    </row>
    <row r="46" spans="1:14" x14ac:dyDescent="0.2">
      <c r="A46" s="430"/>
      <c r="B46" s="79" t="s">
        <v>321</v>
      </c>
      <c r="C46" s="388"/>
      <c r="E46" s="200" t="s">
        <v>322</v>
      </c>
      <c r="F46" s="365"/>
      <c r="G46" s="331"/>
      <c r="H46" s="332"/>
      <c r="I46" s="319"/>
      <c r="J46" s="332">
        <f t="shared" si="14"/>
        <v>0</v>
      </c>
      <c r="L46" s="208" t="s">
        <v>323</v>
      </c>
    </row>
    <row r="47" spans="1:14" ht="17" thickBot="1" x14ac:dyDescent="0.25">
      <c r="A47" s="431"/>
      <c r="B47" s="375" t="s">
        <v>324</v>
      </c>
      <c r="C47" s="389"/>
      <c r="E47" s="200" t="s">
        <v>325</v>
      </c>
      <c r="F47" s="333">
        <f>SUM(F44:F46)</f>
        <v>0</v>
      </c>
      <c r="G47" s="334">
        <f>IFERROR(J47/(F47*10^3),0)</f>
        <v>0</v>
      </c>
      <c r="H47" s="371"/>
      <c r="I47" s="370" t="str">
        <f t="shared" ref="I47" si="15">IFERROR(H47/F47,"")</f>
        <v/>
      </c>
      <c r="J47" s="335">
        <f>SUM(J44:J46)</f>
        <v>0</v>
      </c>
      <c r="L47" s="210" t="str">
        <f>IF('Lista de Facturas'!K96&lt;&gt;0,IF(C44/ac_dc_conv&gt;'Lista de Facturas'!K96, "SI", "NO"),"NO")</f>
        <v>NO</v>
      </c>
    </row>
    <row r="48" spans="1:14" ht="17" thickBot="1" x14ac:dyDescent="0.25"/>
    <row r="49" spans="1:14" x14ac:dyDescent="0.2">
      <c r="A49" s="429">
        <v>9</v>
      </c>
      <c r="B49" s="373" t="s">
        <v>310</v>
      </c>
      <c r="C49" s="385" t="str">
        <f>IF('Lista de Facturas'!B100="","",'Lista de Facturas'!B100)</f>
        <v/>
      </c>
      <c r="E49" s="156" t="s">
        <v>311</v>
      </c>
      <c r="F49" s="329" t="s">
        <v>312</v>
      </c>
      <c r="G49" s="329" t="s">
        <v>313</v>
      </c>
      <c r="H49" s="329" t="s">
        <v>175</v>
      </c>
      <c r="I49" s="329" t="s">
        <v>314</v>
      </c>
      <c r="J49" s="330" t="s">
        <v>315</v>
      </c>
      <c r="L49" s="208" t="s">
        <v>316</v>
      </c>
      <c r="M49" s="208" t="s">
        <v>317</v>
      </c>
    </row>
    <row r="50" spans="1:14" x14ac:dyDescent="0.2">
      <c r="A50" s="430"/>
      <c r="B50" s="79" t="s">
        <v>318</v>
      </c>
      <c r="C50" s="386"/>
      <c r="D50" s="123"/>
      <c r="E50" s="200" t="s">
        <v>319</v>
      </c>
      <c r="F50" s="365"/>
      <c r="G50" s="331"/>
      <c r="H50" s="332"/>
      <c r="I50" s="319"/>
      <c r="J50" s="332">
        <f>G50*F50*10^3</f>
        <v>0</v>
      </c>
      <c r="K50" s="123"/>
      <c r="L50" s="210" t="str">
        <f>'Lista de Facturas'!P107</f>
        <v/>
      </c>
      <c r="M50" s="216" t="str">
        <f>IF(C50&gt;L50,"ERROR: Sistema excede el criterio de diseño","")</f>
        <v/>
      </c>
      <c r="N50" s="7">
        <f>IF(M50="",0,1)</f>
        <v>0</v>
      </c>
    </row>
    <row r="51" spans="1:14" x14ac:dyDescent="0.2">
      <c r="A51" s="430"/>
      <c r="B51" s="79" t="s">
        <v>173</v>
      </c>
      <c r="C51" s="387"/>
      <c r="E51" s="200" t="s">
        <v>320</v>
      </c>
      <c r="F51" s="365"/>
      <c r="G51" s="331"/>
      <c r="H51" s="332"/>
      <c r="I51" s="319"/>
      <c r="J51" s="332">
        <f t="shared" ref="J51:J52" si="16">G51*F51*10^3</f>
        <v>0</v>
      </c>
    </row>
    <row r="52" spans="1:14" x14ac:dyDescent="0.2">
      <c r="A52" s="430"/>
      <c r="B52" s="79" t="s">
        <v>321</v>
      </c>
      <c r="C52" s="388"/>
      <c r="E52" s="200" t="s">
        <v>322</v>
      </c>
      <c r="F52" s="365"/>
      <c r="G52" s="331"/>
      <c r="H52" s="332"/>
      <c r="I52" s="319"/>
      <c r="J52" s="332">
        <f t="shared" si="16"/>
        <v>0</v>
      </c>
      <c r="L52" s="208" t="s">
        <v>323</v>
      </c>
    </row>
    <row r="53" spans="1:14" ht="17" thickBot="1" x14ac:dyDescent="0.25">
      <c r="A53" s="431"/>
      <c r="B53" s="375" t="s">
        <v>324</v>
      </c>
      <c r="C53" s="389"/>
      <c r="E53" s="200" t="s">
        <v>325</v>
      </c>
      <c r="F53" s="333">
        <f>SUM(F50:F52)</f>
        <v>0</v>
      </c>
      <c r="G53" s="334">
        <f>IFERROR(J53/(F53*10^3),0)</f>
        <v>0</v>
      </c>
      <c r="H53" s="371"/>
      <c r="I53" s="370" t="str">
        <f t="shared" ref="I53" si="17">IFERROR(H53/F53,"")</f>
        <v/>
      </c>
      <c r="J53" s="335">
        <f>SUM(J50:J52)</f>
        <v>0</v>
      </c>
      <c r="L53" s="210" t="str">
        <f>IF('Lista de Facturas'!K108&lt;&gt;0,IF(C50/ac_dc_conv&gt;'Lista de Facturas'!K108, "SI", "NO"),"NO")</f>
        <v>NO</v>
      </c>
    </row>
    <row r="54" spans="1:14" ht="17" thickBot="1" x14ac:dyDescent="0.25"/>
    <row r="55" spans="1:14" x14ac:dyDescent="0.2">
      <c r="A55" s="429">
        <v>10</v>
      </c>
      <c r="B55" s="373" t="s">
        <v>310</v>
      </c>
      <c r="C55" s="385" t="str">
        <f>IF('Lista de Facturas'!B112="","",'Lista de Facturas'!B112)</f>
        <v/>
      </c>
      <c r="E55" s="156" t="s">
        <v>311</v>
      </c>
      <c r="F55" s="329" t="s">
        <v>312</v>
      </c>
      <c r="G55" s="329" t="s">
        <v>313</v>
      </c>
      <c r="H55" s="329" t="s">
        <v>175</v>
      </c>
      <c r="I55" s="329" t="s">
        <v>314</v>
      </c>
      <c r="J55" s="330" t="s">
        <v>315</v>
      </c>
      <c r="L55" s="208" t="s">
        <v>316</v>
      </c>
      <c r="M55" s="208" t="s">
        <v>317</v>
      </c>
    </row>
    <row r="56" spans="1:14" x14ac:dyDescent="0.2">
      <c r="A56" s="430"/>
      <c r="B56" s="79" t="s">
        <v>318</v>
      </c>
      <c r="C56" s="386"/>
      <c r="D56" s="123"/>
      <c r="E56" s="200" t="s">
        <v>319</v>
      </c>
      <c r="F56" s="365"/>
      <c r="G56" s="331"/>
      <c r="H56" s="332"/>
      <c r="I56" s="319"/>
      <c r="J56" s="332">
        <f>G56*F56*10^3</f>
        <v>0</v>
      </c>
      <c r="K56" s="123"/>
      <c r="L56" s="210" t="str">
        <f>'Lista de Facturas'!P119</f>
        <v/>
      </c>
      <c r="M56" s="216" t="str">
        <f>IF(C56&gt;L56,"ERROR: Sistema excede el criterio de diseño","")</f>
        <v/>
      </c>
      <c r="N56" s="7">
        <f>IF(M56="",0,1)</f>
        <v>0</v>
      </c>
    </row>
    <row r="57" spans="1:14" x14ac:dyDescent="0.2">
      <c r="A57" s="430"/>
      <c r="B57" s="79" t="s">
        <v>173</v>
      </c>
      <c r="C57" s="387"/>
      <c r="E57" s="200" t="s">
        <v>320</v>
      </c>
      <c r="F57" s="365"/>
      <c r="G57" s="331"/>
      <c r="H57" s="332"/>
      <c r="I57" s="319"/>
      <c r="J57" s="332">
        <f t="shared" ref="J57:J58" si="18">G57*F57*10^3</f>
        <v>0</v>
      </c>
    </row>
    <row r="58" spans="1:14" x14ac:dyDescent="0.2">
      <c r="A58" s="430"/>
      <c r="B58" s="79" t="s">
        <v>321</v>
      </c>
      <c r="C58" s="388"/>
      <c r="E58" s="200" t="s">
        <v>322</v>
      </c>
      <c r="F58" s="365"/>
      <c r="G58" s="331"/>
      <c r="H58" s="332"/>
      <c r="I58" s="319"/>
      <c r="J58" s="332">
        <f t="shared" si="18"/>
        <v>0</v>
      </c>
      <c r="L58" s="208" t="s">
        <v>323</v>
      </c>
    </row>
    <row r="59" spans="1:14" ht="17" thickBot="1" x14ac:dyDescent="0.25">
      <c r="A59" s="431"/>
      <c r="B59" s="375" t="s">
        <v>324</v>
      </c>
      <c r="C59" s="389"/>
      <c r="E59" s="200" t="s">
        <v>325</v>
      </c>
      <c r="F59" s="333">
        <f>SUM(F56:F58)</f>
        <v>0</v>
      </c>
      <c r="G59" s="334">
        <f>IFERROR(J59/(F59*10^3),0)</f>
        <v>0</v>
      </c>
      <c r="H59" s="371"/>
      <c r="I59" s="370" t="str">
        <f t="shared" ref="I59" si="19">IFERROR(H59/F59,"")</f>
        <v/>
      </c>
      <c r="J59" s="335">
        <f>SUM(J56:J58)</f>
        <v>0</v>
      </c>
      <c r="L59" s="210" t="str">
        <f>IF('Lista de Facturas'!K120&lt;&gt;0,IF(C56/ac_dc_conv&gt;'Lista de Facturas'!K120, "SI", "NO"),"NO")</f>
        <v>NO</v>
      </c>
    </row>
    <row r="60" spans="1:14" ht="17" thickBot="1" x14ac:dyDescent="0.25"/>
    <row r="61" spans="1:14" ht="16" customHeight="1" x14ac:dyDescent="0.2">
      <c r="A61" s="432" t="s">
        <v>299</v>
      </c>
      <c r="B61" s="381" t="s">
        <v>326</v>
      </c>
      <c r="C61" s="382">
        <f>IF(N61=0,SUM(C2,C8,C14,C20,C26,C32,C38,C44,C50,C56),"ERROR: REVISAR CRITERIO DE DISEÑO")</f>
        <v>26</v>
      </c>
      <c r="E61" s="156" t="s">
        <v>311</v>
      </c>
      <c r="F61" s="329" t="s">
        <v>312</v>
      </c>
      <c r="G61" s="329" t="s">
        <v>313</v>
      </c>
      <c r="H61" s="329" t="s">
        <v>175</v>
      </c>
      <c r="I61" s="329" t="s">
        <v>314</v>
      </c>
      <c r="J61" s="330" t="s">
        <v>315</v>
      </c>
      <c r="L61" s="208" t="s">
        <v>327</v>
      </c>
      <c r="M61" s="213"/>
      <c r="N61" s="7">
        <f>SUM(N2,N8,N14,N20,N26,N32,N38,N44,N50,N56)</f>
        <v>0</v>
      </c>
    </row>
    <row r="62" spans="1:14" ht="16" customHeight="1" x14ac:dyDescent="0.2">
      <c r="A62" s="433"/>
      <c r="B62" s="156" t="s">
        <v>328</v>
      </c>
      <c r="C62" s="383">
        <f>SUM(C4,C10,C16,C22,C28,C34,C40,C46,C52,C58)</f>
        <v>65000</v>
      </c>
      <c r="E62" s="200" t="s">
        <v>319</v>
      </c>
      <c r="F62" s="336">
        <f>SUM(F56,F50,F44,F38,F32,F26,F20,F14,F8,F2)</f>
        <v>26</v>
      </c>
      <c r="G62" s="332">
        <f t="shared" ref="G62:G64" si="20">IFERROR(J62/(F62*10^3),0)</f>
        <v>2.5</v>
      </c>
      <c r="H62" s="332"/>
      <c r="I62" s="332"/>
      <c r="J62" s="332">
        <f>SUM(J56,J50,J44,J38,J32,J26,J20,J14,J8,J2)</f>
        <v>65000</v>
      </c>
      <c r="L62" s="210" t="str">
        <f>IF(COUNTIF(L5:L59,"=SI"),"SI","NO")</f>
        <v>NO</v>
      </c>
      <c r="M62" s="221"/>
    </row>
    <row r="63" spans="1:14" ht="16" customHeight="1" x14ac:dyDescent="0.2">
      <c r="A63" s="433"/>
      <c r="B63" s="79" t="s">
        <v>329</v>
      </c>
      <c r="C63" s="349">
        <f>IFERROR(IF(AND($C$61&lt;= MAX('Tabla de Precios'!$B$6:$C$6), $C$61 &gt; MIN('Tabla de Precios'!$B$6:$C$6)), 'Tabla de Precios'!$D$6, IF(AND($C$61&lt;=MAX('Tabla de Precios'!$B$7:$C$7),$C$61&gt;MIN('Tabla de Precios'!$B$7:$C$7)),'Tabla de Precios'!$D$7,IF(AND($C$61&lt;=MAX('Tabla de Precios'!$B$8:$C$8),$C$61&gt;MIN('Tabla de Precios'!$B$8:$C$8)),'Tabla de Precios'!$D$8,IF(AND($C$61&lt;=MAX('Tabla de Precios'!$B$9:$C$9),$C$61&gt;MIN('Tabla de Precios'!$B$9:$B$9)),'Tabla de Precios'!$D$9,IF(AND($C$61&lt;= MAX('Tabla de Precios'!$B$4:$C$4), $C$61 &gt; MIN('Tabla de Precios'!$B$4:$C$4)), 'Tabla de Precios'!$D$4, IF(AND($C$61&lt;=MAX('Tabla de Precios'!$B$5:$C$5),$C$61&gt;MIN('Tabla de Precios'!$B$5:$C$5)),'Tabla de Precios'!$D$5,_xlfn.CONCAT("PRECIO FUERA DEL RANGO ",TEXT('Tabla de Precios'!D9,"$#,0.00")," - ",TEXT('Tabla de Precios'!D4,"$#,0.00")))))))),"ERROR: Ingresar Capacidad de generación")</f>
        <v>2.9</v>
      </c>
      <c r="E63" s="200" t="s">
        <v>320</v>
      </c>
      <c r="F63" s="336">
        <f t="shared" ref="F63:J64" si="21">SUM(F57,F51,F45,F39,F33,F27,F21,F15,F9,F3)</f>
        <v>0</v>
      </c>
      <c r="G63" s="332">
        <f t="shared" si="20"/>
        <v>0</v>
      </c>
      <c r="H63" s="332"/>
      <c r="I63" s="332"/>
      <c r="J63" s="332">
        <f t="shared" si="21"/>
        <v>0</v>
      </c>
    </row>
    <row r="64" spans="1:14" ht="16" customHeight="1" x14ac:dyDescent="0.2">
      <c r="A64" s="433"/>
      <c r="B64" s="79" t="s">
        <v>330</v>
      </c>
      <c r="C64" s="384">
        <v>2.5</v>
      </c>
      <c r="E64" s="200" t="s">
        <v>322</v>
      </c>
      <c r="F64" s="333">
        <f t="shared" si="21"/>
        <v>0</v>
      </c>
      <c r="G64" s="332">
        <f t="shared" si="20"/>
        <v>0</v>
      </c>
      <c r="H64" s="332"/>
      <c r="I64" s="332"/>
      <c r="J64" s="332">
        <f t="shared" si="21"/>
        <v>0</v>
      </c>
      <c r="M64"/>
      <c r="N64"/>
    </row>
    <row r="65" spans="1:14" ht="16" customHeight="1" thickBot="1" x14ac:dyDescent="0.25">
      <c r="A65" s="434"/>
      <c r="B65" s="375" t="s">
        <v>331</v>
      </c>
      <c r="C65" s="380">
        <f>IFERROR(C64*10^3*C61,"ERROR: REVISAR CRITERIO DE DISEÑO")</f>
        <v>65000</v>
      </c>
      <c r="D65" s="18"/>
      <c r="E65" s="200" t="s">
        <v>325</v>
      </c>
      <c r="F65" s="333">
        <f>SUM(F62:F64)</f>
        <v>26</v>
      </c>
      <c r="G65" s="337">
        <f>IFERROR(J65/(F65*10^3),0)</f>
        <v>2.5</v>
      </c>
      <c r="H65" s="372">
        <f>SUM(H59,H53,H47,H41,H35,H29,H23,H17,H11,H5)</f>
        <v>0</v>
      </c>
      <c r="I65" s="370">
        <f>IFERROR(H65/F65,0)</f>
        <v>0</v>
      </c>
      <c r="J65" s="335">
        <f>SUM(J62:J64)</f>
        <v>65000</v>
      </c>
      <c r="K65" s="18"/>
      <c r="M65"/>
      <c r="N65"/>
    </row>
    <row r="66" spans="1:14" ht="17" thickBot="1" x14ac:dyDescent="0.25">
      <c r="B66" s="191"/>
      <c r="C66" s="192"/>
      <c r="D66" s="18"/>
      <c r="E66" s="18"/>
      <c r="F66" s="18"/>
      <c r="G66" s="18"/>
      <c r="H66" s="18"/>
      <c r="I66" s="18"/>
      <c r="J66" s="18"/>
      <c r="K66" s="18"/>
      <c r="M66" s="215"/>
    </row>
    <row r="67" spans="1:14" x14ac:dyDescent="0.2">
      <c r="A67" s="427" t="s">
        <v>332</v>
      </c>
      <c r="B67" s="373" t="s">
        <v>333</v>
      </c>
      <c r="C67" s="374">
        <f>SUM(C5,C11,C17,C23,C29,C35,C41,C47,C53,C59)</f>
        <v>0</v>
      </c>
      <c r="D67" s="18"/>
      <c r="E67" s="18"/>
      <c r="F67" s="18"/>
      <c r="G67" s="18"/>
      <c r="H67" s="18"/>
      <c r="I67" s="18"/>
      <c r="J67" s="18"/>
      <c r="K67" s="18"/>
      <c r="M67" s="215"/>
    </row>
    <row r="68" spans="1:14" ht="17" thickBot="1" x14ac:dyDescent="0.25">
      <c r="A68" s="428"/>
      <c r="B68" s="375" t="s">
        <v>334</v>
      </c>
      <c r="C68" s="376">
        <v>0</v>
      </c>
      <c r="D68" s="18"/>
      <c r="E68" s="18"/>
      <c r="F68" s="18"/>
      <c r="G68" s="18"/>
      <c r="H68" s="18"/>
      <c r="I68" s="18"/>
      <c r="J68" s="18"/>
      <c r="K68" s="18"/>
      <c r="M68" s="215"/>
    </row>
    <row r="69" spans="1:14" ht="17" thickBot="1" x14ac:dyDescent="0.25">
      <c r="B69" s="191"/>
      <c r="C69" s="192"/>
      <c r="D69" s="18"/>
      <c r="E69" s="18"/>
      <c r="F69" s="18"/>
      <c r="G69" s="18"/>
      <c r="H69" s="18"/>
      <c r="I69" s="18"/>
      <c r="J69" s="18"/>
      <c r="K69" s="18"/>
      <c r="M69" s="215"/>
    </row>
    <row r="70" spans="1:14" ht="21" x14ac:dyDescent="0.2">
      <c r="A70" s="435" t="s">
        <v>335</v>
      </c>
      <c r="B70" s="377" t="s">
        <v>336</v>
      </c>
      <c r="C70" s="378" t="s">
        <v>38</v>
      </c>
      <c r="D70" s="18"/>
      <c r="E70" s="18"/>
      <c r="F70" s="18"/>
      <c r="G70" s="18"/>
      <c r="H70" s="18"/>
      <c r="I70" s="18"/>
      <c r="J70" s="18"/>
      <c r="K70" s="18"/>
      <c r="M70" s="215"/>
    </row>
    <row r="71" spans="1:14" ht="17" thickBot="1" x14ac:dyDescent="0.25">
      <c r="A71" s="436"/>
      <c r="B71" s="379" t="s">
        <v>337</v>
      </c>
      <c r="C71" s="380">
        <f>C62*VLOOKUP(C70,Variables!$I$45:$K$46,2,FALSE)/1000</f>
        <v>0</v>
      </c>
      <c r="D71" s="18"/>
      <c r="E71" s="18"/>
      <c r="F71" s="18"/>
      <c r="G71" s="18"/>
      <c r="H71" s="18"/>
      <c r="I71" s="18"/>
      <c r="J71" s="18"/>
      <c r="K71" s="18"/>
      <c r="M71" s="215"/>
    </row>
    <row r="72" spans="1:14" ht="17" customHeight="1" thickBot="1" x14ac:dyDescent="0.25">
      <c r="B72" s="191"/>
      <c r="C72" s="192"/>
      <c r="D72" s="18"/>
      <c r="E72" s="18"/>
      <c r="F72" s="18"/>
      <c r="G72" s="18"/>
      <c r="H72" s="18"/>
      <c r="I72" s="18"/>
      <c r="J72" s="18"/>
      <c r="K72" s="18"/>
      <c r="M72" s="215"/>
    </row>
    <row r="73" spans="1:14" ht="17" customHeight="1" x14ac:dyDescent="0.2">
      <c r="A73" s="424" t="s">
        <v>338</v>
      </c>
      <c r="B73" s="356" t="s">
        <v>339</v>
      </c>
      <c r="C73" s="347">
        <f>SUM(C3,C9,C15,C21,C27,C33,C39,C45,C51,C57)</f>
        <v>0</v>
      </c>
      <c r="D73" s="18"/>
      <c r="E73" s="18"/>
      <c r="F73" s="18"/>
      <c r="G73" s="18"/>
      <c r="H73" s="18"/>
      <c r="I73" s="18"/>
      <c r="J73" s="18"/>
      <c r="K73" s="18"/>
      <c r="M73" s="215"/>
    </row>
    <row r="74" spans="1:14" x14ac:dyDescent="0.2">
      <c r="A74" s="425"/>
      <c r="B74" s="348" t="s">
        <v>340</v>
      </c>
      <c r="C74" s="349">
        <f>VLOOKUP(C73,Variables!$E$36:$G$136,2,FALSE)</f>
        <v>0</v>
      </c>
    </row>
    <row r="75" spans="1:14" x14ac:dyDescent="0.2">
      <c r="A75" s="425"/>
      <c r="B75" s="348" t="s">
        <v>341</v>
      </c>
      <c r="C75" s="350">
        <v>0</v>
      </c>
    </row>
    <row r="76" spans="1:14" x14ac:dyDescent="0.2">
      <c r="A76" s="425"/>
      <c r="B76" s="348"/>
      <c r="C76" s="358"/>
    </row>
    <row r="77" spans="1:14" x14ac:dyDescent="0.2">
      <c r="A77" s="425"/>
      <c r="B77" s="357" t="s">
        <v>342</v>
      </c>
      <c r="C77" s="352">
        <f>'Cotización Baterias (custom)'!C10</f>
        <v>0</v>
      </c>
    </row>
    <row r="78" spans="1:14" x14ac:dyDescent="0.2">
      <c r="A78" s="425"/>
      <c r="B78" s="351" t="s">
        <v>343</v>
      </c>
      <c r="C78" s="353">
        <f>'Cotización Baterias (custom)'!C28</f>
        <v>0</v>
      </c>
    </row>
    <row r="79" spans="1:14" x14ac:dyDescent="0.2">
      <c r="A79" s="425"/>
      <c r="B79" s="351" t="s">
        <v>344</v>
      </c>
      <c r="C79" s="350"/>
    </row>
    <row r="80" spans="1:14" x14ac:dyDescent="0.2">
      <c r="A80" s="425"/>
      <c r="B80" s="348"/>
      <c r="C80" s="358"/>
    </row>
    <row r="81" spans="1:3" x14ac:dyDescent="0.2">
      <c r="A81" s="425"/>
      <c r="B81" s="357" t="s">
        <v>345</v>
      </c>
      <c r="C81" s="352">
        <f>IF(sys_size &gt;= 1000, IF(C77 &lt;&gt; 0, "GRAN ALMACENAMIENTO DEBE CUMPLIR CON LOS ATRs",'Calculo ATR'!G2), 0)</f>
        <v>0</v>
      </c>
    </row>
    <row r="82" spans="1:3" x14ac:dyDescent="0.2">
      <c r="A82" s="425"/>
      <c r="B82" s="351" t="s">
        <v>343</v>
      </c>
      <c r="C82" s="349">
        <f>IF(C77&lt;&gt;0, 0, 'Calculo ATR'!C12)</f>
        <v>50760</v>
      </c>
    </row>
    <row r="83" spans="1:3" x14ac:dyDescent="0.2">
      <c r="A83" s="425"/>
      <c r="B83" s="351" t="s">
        <v>344</v>
      </c>
      <c r="C83" s="350"/>
    </row>
    <row r="84" spans="1:3" x14ac:dyDescent="0.2">
      <c r="A84" s="425"/>
      <c r="B84" s="348"/>
      <c r="C84" s="358"/>
    </row>
    <row r="85" spans="1:3" ht="20" thickBot="1" x14ac:dyDescent="0.3">
      <c r="A85" s="426"/>
      <c r="B85" s="355" t="s">
        <v>346</v>
      </c>
      <c r="C85" s="354">
        <f>SUM(C75,C83,C79)</f>
        <v>0</v>
      </c>
    </row>
    <row r="86" spans="1:3" ht="17" thickBot="1" x14ac:dyDescent="0.25">
      <c r="B86" s="191"/>
      <c r="C86" s="193"/>
    </row>
    <row r="87" spans="1:3" ht="20" thickBot="1" x14ac:dyDescent="0.3">
      <c r="A87" s="360" t="s">
        <v>347</v>
      </c>
      <c r="B87" s="361" t="s">
        <v>348</v>
      </c>
      <c r="C87" s="359">
        <f>ROUNDUP(SUM(C65,C68,C85),0)</f>
        <v>65000</v>
      </c>
    </row>
  </sheetData>
  <sheetProtection sheet="1" objects="1" scenarios="1" selectLockedCells="1"/>
  <mergeCells count="14">
    <mergeCell ref="A73:A85"/>
    <mergeCell ref="A67:A68"/>
    <mergeCell ref="A1:A5"/>
    <mergeCell ref="A7:A11"/>
    <mergeCell ref="A13:A17"/>
    <mergeCell ref="A19:A23"/>
    <mergeCell ref="A25:A29"/>
    <mergeCell ref="A61:A65"/>
    <mergeCell ref="A31:A35"/>
    <mergeCell ref="A37:A41"/>
    <mergeCell ref="A43:A47"/>
    <mergeCell ref="A49:A53"/>
    <mergeCell ref="A55:A59"/>
    <mergeCell ref="A70:A71"/>
  </mergeCells>
  <pageMargins left="0.7" right="0.7" top="0.75" bottom="0.75" header="0.3" footer="0.3"/>
  <pageSetup orientation="portrait" horizontalDpi="0" verticalDpi="0"/>
  <ignoredErrors>
    <ignoredError sqref="G5 G11 G17 G23 G29 G35 G41 G47 G53 G59 G62:G65 I5"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Copy_meter_2">
                <anchor moveWithCells="1" sizeWithCells="1">
                  <from>
                    <xdr:col>3</xdr:col>
                    <xdr:colOff>25400</xdr:colOff>
                    <xdr:row>9</xdr:row>
                    <xdr:rowOff>25400</xdr:rowOff>
                  </from>
                  <to>
                    <xdr:col>3</xdr:col>
                    <xdr:colOff>825500</xdr:colOff>
                    <xdr:row>11</xdr:row>
                    <xdr:rowOff>0</xdr:rowOff>
                  </to>
                </anchor>
              </controlPr>
            </control>
          </mc:Choice>
        </mc:AlternateContent>
        <mc:AlternateContent xmlns:mc="http://schemas.openxmlformats.org/markup-compatibility/2006">
          <mc:Choice Requires="x14">
            <control shapeId="9218" r:id="rId4" name="Button 2">
              <controlPr defaultSize="0" print="0" autoFill="0" autoPict="0" macro="[0]!Copy_meter_1">
                <anchor moveWithCells="1" sizeWithCells="1">
                  <from>
                    <xdr:col>3</xdr:col>
                    <xdr:colOff>25400</xdr:colOff>
                    <xdr:row>3</xdr:row>
                    <xdr:rowOff>25400</xdr:rowOff>
                  </from>
                  <to>
                    <xdr:col>3</xdr:col>
                    <xdr:colOff>825500</xdr:colOff>
                    <xdr:row>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Copy_meter_3">
                <anchor moveWithCells="1" sizeWithCells="1">
                  <from>
                    <xdr:col>3</xdr:col>
                    <xdr:colOff>12700</xdr:colOff>
                    <xdr:row>15</xdr:row>
                    <xdr:rowOff>25400</xdr:rowOff>
                  </from>
                  <to>
                    <xdr:col>3</xdr:col>
                    <xdr:colOff>812800</xdr:colOff>
                    <xdr:row>17</xdr:row>
                    <xdr:rowOff>0</xdr:rowOff>
                  </to>
                </anchor>
              </controlPr>
            </control>
          </mc:Choice>
        </mc:AlternateContent>
        <mc:AlternateContent xmlns:mc="http://schemas.openxmlformats.org/markup-compatibility/2006">
          <mc:Choice Requires="x14">
            <control shapeId="9221" r:id="rId6" name="Button 5">
              <controlPr defaultSize="0" print="0" autoFill="0" autoPict="0" macro="[0]!Copy_meter_4">
                <anchor moveWithCells="1" sizeWithCells="1">
                  <from>
                    <xdr:col>3</xdr:col>
                    <xdr:colOff>25400</xdr:colOff>
                    <xdr:row>21</xdr:row>
                    <xdr:rowOff>12700</xdr:rowOff>
                  </from>
                  <to>
                    <xdr:col>3</xdr:col>
                    <xdr:colOff>825500</xdr:colOff>
                    <xdr:row>22</xdr:row>
                    <xdr:rowOff>190500</xdr:rowOff>
                  </to>
                </anchor>
              </controlPr>
            </control>
          </mc:Choice>
        </mc:AlternateContent>
        <mc:AlternateContent xmlns:mc="http://schemas.openxmlformats.org/markup-compatibility/2006">
          <mc:Choice Requires="x14">
            <control shapeId="9222" r:id="rId7" name="Button 6">
              <controlPr defaultSize="0" print="0" autoFill="0" autoPict="0" macro="[0]!Copy_meter_5">
                <anchor moveWithCells="1" sizeWithCells="1">
                  <from>
                    <xdr:col>3</xdr:col>
                    <xdr:colOff>38100</xdr:colOff>
                    <xdr:row>27</xdr:row>
                    <xdr:rowOff>25400</xdr:rowOff>
                  </from>
                  <to>
                    <xdr:col>4</xdr:col>
                    <xdr:colOff>0</xdr:colOff>
                    <xdr:row>29</xdr:row>
                    <xdr:rowOff>0</xdr:rowOff>
                  </to>
                </anchor>
              </controlPr>
            </control>
          </mc:Choice>
        </mc:AlternateContent>
        <mc:AlternateContent xmlns:mc="http://schemas.openxmlformats.org/markup-compatibility/2006">
          <mc:Choice Requires="x14">
            <control shapeId="9223" r:id="rId8" name="Button 7">
              <controlPr defaultSize="0" print="0" autoFill="0" autoPict="0" macro="[0]!Copy_meter_6">
                <anchor moveWithCells="1" sizeWithCells="1">
                  <from>
                    <xdr:col>3</xdr:col>
                    <xdr:colOff>25400</xdr:colOff>
                    <xdr:row>33</xdr:row>
                    <xdr:rowOff>12700</xdr:rowOff>
                  </from>
                  <to>
                    <xdr:col>3</xdr:col>
                    <xdr:colOff>825500</xdr:colOff>
                    <xdr:row>34</xdr:row>
                    <xdr:rowOff>190500</xdr:rowOff>
                  </to>
                </anchor>
              </controlPr>
            </control>
          </mc:Choice>
        </mc:AlternateContent>
        <mc:AlternateContent xmlns:mc="http://schemas.openxmlformats.org/markup-compatibility/2006">
          <mc:Choice Requires="x14">
            <control shapeId="9224" r:id="rId9" name="Button 8">
              <controlPr defaultSize="0" print="0" autoFill="0" autoPict="0" macro="[0]!Copy_meter_7">
                <anchor moveWithCells="1" sizeWithCells="1">
                  <from>
                    <xdr:col>3</xdr:col>
                    <xdr:colOff>25400</xdr:colOff>
                    <xdr:row>39</xdr:row>
                    <xdr:rowOff>12700</xdr:rowOff>
                  </from>
                  <to>
                    <xdr:col>3</xdr:col>
                    <xdr:colOff>825500</xdr:colOff>
                    <xdr:row>40</xdr:row>
                    <xdr:rowOff>190500</xdr:rowOff>
                  </to>
                </anchor>
              </controlPr>
            </control>
          </mc:Choice>
        </mc:AlternateContent>
        <mc:AlternateContent xmlns:mc="http://schemas.openxmlformats.org/markup-compatibility/2006">
          <mc:Choice Requires="x14">
            <control shapeId="9225" r:id="rId10" name="Button 9">
              <controlPr defaultSize="0" print="0" autoFill="0" autoPict="0" macro="[0]!Copy_meter_8">
                <anchor moveWithCells="1" sizeWithCells="1">
                  <from>
                    <xdr:col>3</xdr:col>
                    <xdr:colOff>38100</xdr:colOff>
                    <xdr:row>45</xdr:row>
                    <xdr:rowOff>25400</xdr:rowOff>
                  </from>
                  <to>
                    <xdr:col>4</xdr:col>
                    <xdr:colOff>0</xdr:colOff>
                    <xdr:row>47</xdr:row>
                    <xdr:rowOff>0</xdr:rowOff>
                  </to>
                </anchor>
              </controlPr>
            </control>
          </mc:Choice>
        </mc:AlternateContent>
        <mc:AlternateContent xmlns:mc="http://schemas.openxmlformats.org/markup-compatibility/2006">
          <mc:Choice Requires="x14">
            <control shapeId="9226" r:id="rId11" name="Button 10">
              <controlPr defaultSize="0" print="0" autoFill="0" autoPict="0" macro="[0]!Copy_meter_9">
                <anchor moveWithCells="1" sizeWithCells="1">
                  <from>
                    <xdr:col>3</xdr:col>
                    <xdr:colOff>12700</xdr:colOff>
                    <xdr:row>51</xdr:row>
                    <xdr:rowOff>25400</xdr:rowOff>
                  </from>
                  <to>
                    <xdr:col>3</xdr:col>
                    <xdr:colOff>812800</xdr:colOff>
                    <xdr:row>53</xdr:row>
                    <xdr:rowOff>0</xdr:rowOff>
                  </to>
                </anchor>
              </controlPr>
            </control>
          </mc:Choice>
        </mc:AlternateContent>
        <mc:AlternateContent xmlns:mc="http://schemas.openxmlformats.org/markup-compatibility/2006">
          <mc:Choice Requires="x14">
            <control shapeId="9227" r:id="rId12" name="Button 11">
              <controlPr defaultSize="0" print="0" autoFill="0" autoPict="0" macro="[0]!Copy_meter_10">
                <anchor moveWithCells="1" sizeWithCells="1">
                  <from>
                    <xdr:col>3</xdr:col>
                    <xdr:colOff>25400</xdr:colOff>
                    <xdr:row>57</xdr:row>
                    <xdr:rowOff>25400</xdr:rowOff>
                  </from>
                  <to>
                    <xdr:col>3</xdr:col>
                    <xdr:colOff>825500</xdr:colOff>
                    <xdr:row>59</xdr:row>
                    <xdr:rowOff>0</xdr:rowOff>
                  </to>
                </anchor>
              </controlPr>
            </control>
          </mc:Choice>
        </mc:AlternateContent>
        <mc:AlternateContent xmlns:mc="http://schemas.openxmlformats.org/markup-compatibility/2006">
          <mc:Choice Requires="x14">
            <control shapeId="9228" r:id="rId13" name="Button 12">
              <controlPr defaultSize="0" print="0" autoFill="0" autoPict="0" macro="[0]!Copy_meter_T">
                <anchor moveWithCells="1" sizeWithCells="1">
                  <from>
                    <xdr:col>3</xdr:col>
                    <xdr:colOff>25400</xdr:colOff>
                    <xdr:row>63</xdr:row>
                    <xdr:rowOff>25400</xdr:rowOff>
                  </from>
                  <to>
                    <xdr:col>3</xdr:col>
                    <xdr:colOff>825500</xdr:colOff>
                    <xdr:row>65</xdr:row>
                    <xdr:rowOff>0</xdr:rowOff>
                  </to>
                </anchor>
              </controlPr>
            </control>
          </mc:Choice>
        </mc:AlternateContent>
        <mc:AlternateContent xmlns:mc="http://schemas.openxmlformats.org/markup-compatibility/2006">
          <mc:Choice Requires="x14">
            <control shapeId="9229" r:id="rId14" name="Button 13">
              <controlPr defaultSize="0" print="0" autoFill="0" autoPict="0" macro="[0]!Copy_PW" altText="Copiar _x000a_">
                <anchor moveWithCells="1" sizeWithCells="1">
                  <from>
                    <xdr:col>3</xdr:col>
                    <xdr:colOff>50800</xdr:colOff>
                    <xdr:row>73</xdr:row>
                    <xdr:rowOff>0</xdr:rowOff>
                  </from>
                  <to>
                    <xdr:col>4</xdr:col>
                    <xdr:colOff>0</xdr:colOff>
                    <xdr:row>75</xdr:row>
                    <xdr:rowOff>12700</xdr:rowOff>
                  </to>
                </anchor>
              </controlPr>
            </control>
          </mc:Choice>
        </mc:AlternateContent>
        <mc:AlternateContent xmlns:mc="http://schemas.openxmlformats.org/markup-compatibility/2006">
          <mc:Choice Requires="x14">
            <control shapeId="9230" r:id="rId15" name="Button 14">
              <controlPr defaultSize="0" print="0" autoFill="0" autoPict="0" macro="[0]!Copy_Gran_Almacenamiento" altText="Copiar _x000a_">
                <anchor moveWithCells="1" sizeWithCells="1">
                  <from>
                    <xdr:col>3</xdr:col>
                    <xdr:colOff>25400</xdr:colOff>
                    <xdr:row>77</xdr:row>
                    <xdr:rowOff>25400</xdr:rowOff>
                  </from>
                  <to>
                    <xdr:col>3</xdr:col>
                    <xdr:colOff>812800</xdr:colOff>
                    <xdr:row>79</xdr:row>
                    <xdr:rowOff>38100</xdr:rowOff>
                  </to>
                </anchor>
              </controlPr>
            </control>
          </mc:Choice>
        </mc:AlternateContent>
        <mc:AlternateContent xmlns:mc="http://schemas.openxmlformats.org/markup-compatibility/2006">
          <mc:Choice Requires="x14">
            <control shapeId="9231" r:id="rId16" name="Button 15">
              <controlPr defaultSize="0" print="0" autoFill="0" autoPict="0" macro="[0]!Copy_ATR" altText="Copiar _x000a_">
                <anchor moveWithCells="1" sizeWithCells="1">
                  <from>
                    <xdr:col>3</xdr:col>
                    <xdr:colOff>25400</xdr:colOff>
                    <xdr:row>81</xdr:row>
                    <xdr:rowOff>12700</xdr:rowOff>
                  </from>
                  <to>
                    <xdr:col>3</xdr:col>
                    <xdr:colOff>812800</xdr:colOff>
                    <xdr:row>83</xdr:row>
                    <xdr:rowOff>25400</xdr:rowOff>
                  </to>
                </anchor>
              </controlPr>
            </control>
          </mc:Choice>
        </mc:AlternateContent>
        <mc:AlternateContent xmlns:mc="http://schemas.openxmlformats.org/markup-compatibility/2006">
          <mc:Choice Requires="x14">
            <control shapeId="9241" r:id="rId17" name="Button 25">
              <controlPr defaultSize="0" print="0" autoFill="0" autoPict="0" macro="[0]!Copy_Otros" altText="Copiar _x000a_">
                <anchor moveWithCells="1" sizeWithCells="1">
                  <from>
                    <xdr:col>3</xdr:col>
                    <xdr:colOff>38100</xdr:colOff>
                    <xdr:row>66</xdr:row>
                    <xdr:rowOff>0</xdr:rowOff>
                  </from>
                  <to>
                    <xdr:col>3</xdr:col>
                    <xdr:colOff>825500</xdr:colOff>
                    <xdr:row>68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6A5A70E-0D51-0E48-ACAA-8B34FFD32009}">
          <x14:formula1>
            <xm:f>Variables!$E$36:$E$46</xm:f>
          </x14:formula1>
          <xm:sqref>C3 C51 C9 C15 C21 C27 C33 C39 C45 C57</xm:sqref>
        </x14:dataValidation>
        <x14:dataValidation type="list" allowBlank="1" showInputMessage="1" showErrorMessage="1" xr:uid="{79E76802-F2AF-2C43-BAE0-0E64EBEC12B1}">
          <x14:formula1>
            <xm:f>Variables!$I$45:$I$46</xm:f>
          </x14:formula1>
          <xm:sqref>C70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085B8-1F24-B34F-B55D-9E13880065E2}">
  <sheetPr codeName="Sheet6"/>
  <dimension ref="A1:E62"/>
  <sheetViews>
    <sheetView topLeftCell="A6" zoomScale="150" zoomScaleNormal="150" workbookViewId="0">
      <selection activeCell="G26" sqref="G26"/>
    </sheetView>
  </sheetViews>
  <sheetFormatPr baseColWidth="10" defaultColWidth="10.83203125" defaultRowHeight="16" x14ac:dyDescent="0.2"/>
  <cols>
    <col min="1" max="1" width="3" style="1" customWidth="1"/>
    <col min="2" max="2" width="36.83203125" style="1" customWidth="1"/>
    <col min="3" max="3" width="40.33203125" style="1" customWidth="1"/>
    <col min="4" max="4" width="0.83203125" style="1" customWidth="1"/>
    <col min="5" max="5" width="12.5" style="1" bestFit="1" customWidth="1"/>
    <col min="6" max="16384" width="10.83203125" style="1"/>
  </cols>
  <sheetData>
    <row r="1" spans="2:5" ht="177" customHeight="1" x14ac:dyDescent="0.2">
      <c r="B1" s="437"/>
      <c r="C1" s="437"/>
      <c r="D1" s="56"/>
    </row>
    <row r="2" spans="2:5" ht="18" customHeight="1" x14ac:dyDescent="0.2">
      <c r="B2" s="56"/>
      <c r="C2" s="73"/>
      <c r="D2" s="73"/>
    </row>
    <row r="3" spans="2:5" ht="18" customHeight="1" x14ac:dyDescent="0.2">
      <c r="B3" s="56"/>
      <c r="C3" s="161">
        <f ca="1">TODAY()</f>
        <v>46045</v>
      </c>
      <c r="D3" s="161"/>
    </row>
    <row r="4" spans="2:5" ht="20" customHeight="1" x14ac:dyDescent="0.2">
      <c r="B4" s="1" t="str">
        <f>_xlfn.CONCAT("Saludos, ",TEXT('Panel de Informacion'!C5,""),"!","")</f>
        <v>Saludos, Pedro Perez!</v>
      </c>
    </row>
    <row r="5" spans="2:5" ht="11" customHeight="1" x14ac:dyDescent="0.2"/>
    <row r="6" spans="2:5" ht="339" customHeight="1" x14ac:dyDescent="0.2">
      <c r="B6" s="442" t="str">
        <f>_xlfn.CONCAT("El equipo comercial de Windmar ha elaborado una cotización para su futuro sistema fotovoltaico para su negocio: ","""",TEXT('Panel de Informacion'!C6,""),""""," indicando el precio en efectivo (cash) del mismo -- documento anexo. ",REPT(CHAR(10),2),"Adicionalmente, nuestro equipo ha identificado la siguiente oferta de financiamiento para su futuro sistema fotovoltaico con Windmar.")&amp;REPT(CHAR(10),2)&amp;_xlfn.CONCAT("Usted tiene ahora las siguientes opciones:",CHAR(10),REPT(" ",2), "1. Puede elegir comprar el sistema en cash (efectivo)", CHAR(10), REPT(" ",2))&amp;_xlfn.CONCAT("2. Proceder con el financiamiento propuesto por Windmar -- si alguno -- o,")&amp;CHAR(10)&amp;REPT(" ",2)&amp;_xlfn.CONCAT("3. Gestionar su propio financiamiento. ")&amp;REPT(CHAR(10),2)&amp;_xlfn.CONCAT("Una vez Usted elija su mejor opción el próximo paso es la firma del contrato -- su representante de ventas le ayudará con este paso. ")&amp;_xlfn.CONCAT("Luego de la firma, si Usted elige el financiamiento que le ofrecemos abajo, un miembro de nuestro equipo estará en contacto para obtener los documentos necesarios para lograr su aprobación." )&amp;REPT(CHAR(10),2)&amp;_xlfn.CONCAT("Recuerde! La firma del contrato es necesaria para darle marcha al proceso de financiamiento.")&amp;REPT(CHAR(10),2)&amp;_xlfn.CONCAT("No dude en ponerse en contacto con su representante de ventas si tiene alguna duda sobre nuestra propuesta de financiamiento!")</f>
        <v>El equipo comercial de Windmar ha elaborado una cotización para su futuro sistema fotovoltaico para su negocio: "Colmado San Juan" indicando el precio en efectivo (cash) del mismo -- documento anexo. 
Adicionalmente, nuestro equipo ha identificado la siguiente oferta de financiamiento para su futuro sistema fotovoltaico con Windmar.
Usted tiene ahora las siguientes opciones:
  1. Puede elegir comprar el sistema en cash (efectivo)
  2. Proceder con el financiamiento propuesto por Windmar -- si alguno -- o,
  3. Gestionar su propio financiamiento. 
Una vez Usted elija su mejor opción el próximo paso es la firma del contrato -- su representante de ventas le ayudará con este paso. Luego de la firma, si Usted elige el financiamiento que le ofrecemos abajo, un miembro de nuestro equipo estará en contacto para obtener los documentos necesarios para lograr su aprobación.
Recuerde! La firma del contrato es necesaria para darle marcha al proceso de financiamiento.
No dude en ponerse en contacto con su representante de ventas si tiene alguna duda sobre nuestra propuesta de financiamiento!</v>
      </c>
      <c r="C6" s="442"/>
      <c r="D6" s="61"/>
    </row>
    <row r="7" spans="2:5" ht="22" customHeight="1" x14ac:dyDescent="0.2">
      <c r="B7" s="183" t="s">
        <v>349</v>
      </c>
      <c r="C7" s="183" t="s">
        <v>350</v>
      </c>
      <c r="D7" s="170"/>
    </row>
    <row r="8" spans="2:5" ht="30" customHeight="1" x14ac:dyDescent="0.2">
      <c r="B8" s="186">
        <f>IF('Lista de Facturas'!B1="Si",'Panel de Informacion'!C44,No_factura_cliente)</f>
        <v>7968.9998431372551</v>
      </c>
      <c r="C8" s="187">
        <f>'Panel de Informacion'!C67</f>
        <v>7790.52</v>
      </c>
      <c r="D8" s="182"/>
      <c r="E8" s="2"/>
    </row>
    <row r="9" spans="2:5" ht="12" customHeight="1" x14ac:dyDescent="0.2">
      <c r="B9" s="185" t="s">
        <v>351</v>
      </c>
      <c r="C9" s="185" t="str">
        <f>IF('Panel de Informacion'!C20&lt;&gt;Variables!A20, "*Fijo por el término del financiamento","")</f>
        <v>*Fijo por el término del financiamento</v>
      </c>
      <c r="D9" s="182"/>
    </row>
    <row r="10" spans="2:5" ht="8" customHeight="1" x14ac:dyDescent="0.2">
      <c r="B10" s="184"/>
      <c r="C10" s="184"/>
      <c r="D10" s="163"/>
    </row>
    <row r="11" spans="2:5" ht="22" customHeight="1" x14ac:dyDescent="0.2">
      <c r="B11" s="438" t="s">
        <v>352</v>
      </c>
      <c r="C11" s="438"/>
      <c r="D11" s="170"/>
    </row>
    <row r="12" spans="2:5" ht="22" customHeight="1" x14ac:dyDescent="0.2">
      <c r="B12" s="446">
        <f>IF('Lista de Facturas'!B1="Si",'Panel de Informacion'!C70,No_factura_cliente)</f>
        <v>2.2396768308504605E-2</v>
      </c>
      <c r="C12" s="446"/>
      <c r="D12" s="164"/>
    </row>
    <row r="13" spans="2:5" ht="7" customHeight="1" x14ac:dyDescent="0.2">
      <c r="B13" s="164"/>
      <c r="D13" s="164"/>
    </row>
    <row r="14" spans="2:5" ht="21" customHeight="1" x14ac:dyDescent="0.2">
      <c r="B14" s="61"/>
      <c r="C14" s="172" t="s">
        <v>353</v>
      </c>
      <c r="D14" s="61"/>
    </row>
    <row r="15" spans="2:5" ht="9" customHeight="1" x14ac:dyDescent="0.2">
      <c r="B15" s="171"/>
      <c r="C15" s="61"/>
      <c r="D15" s="61"/>
    </row>
    <row r="16" spans="2:5" ht="18" customHeight="1" x14ac:dyDescent="0.2">
      <c r="B16" s="440" t="s">
        <v>354</v>
      </c>
      <c r="C16" s="441"/>
      <c r="D16" s="170"/>
    </row>
    <row r="17" spans="2:4" ht="18" customHeight="1" x14ac:dyDescent="0.2">
      <c r="B17" s="74" t="s">
        <v>355</v>
      </c>
      <c r="C17" s="75" t="str">
        <f>_xlfn.CONCAT(TEXT('Panel de Informacion'!C52,"#,##0.0")," kWdc")</f>
        <v>26.0 kWdc</v>
      </c>
      <c r="D17" s="165"/>
    </row>
    <row r="18" spans="2:4" ht="18" customHeight="1" x14ac:dyDescent="0.2">
      <c r="B18" s="74" t="s">
        <v>356</v>
      </c>
      <c r="C18" s="176">
        <f>'Panel de Informacion'!C56</f>
        <v>0.104</v>
      </c>
      <c r="D18" s="175"/>
    </row>
    <row r="19" spans="2:4" ht="18" customHeight="1" x14ac:dyDescent="0.2">
      <c r="B19" s="74" t="s">
        <v>357</v>
      </c>
      <c r="C19" s="207">
        <f>'Panel de Informacion'!C19</f>
        <v>0</v>
      </c>
      <c r="D19" s="165"/>
    </row>
    <row r="20" spans="2:4" ht="20" customHeight="1" x14ac:dyDescent="0.2">
      <c r="B20" s="74" t="s">
        <v>358</v>
      </c>
      <c r="C20" s="174">
        <f>sys_price</f>
        <v>65000</v>
      </c>
      <c r="D20" s="61"/>
    </row>
    <row r="21" spans="2:4" ht="20" customHeight="1" thickBot="1" x14ac:dyDescent="0.25">
      <c r="B21" s="74" t="s">
        <v>359</v>
      </c>
      <c r="C21" s="391">
        <f>'Lista de Sistemas'!C71</f>
        <v>0</v>
      </c>
      <c r="D21" s="61"/>
    </row>
    <row r="22" spans="2:4" ht="20" customHeight="1" thickTop="1" x14ac:dyDescent="0.2">
      <c r="B22" s="74" t="s">
        <v>360</v>
      </c>
      <c r="C22" s="390">
        <f>SUM(C20:C21)</f>
        <v>65000</v>
      </c>
      <c r="D22" s="61"/>
    </row>
    <row r="23" spans="2:4" ht="15" customHeight="1" x14ac:dyDescent="0.2">
      <c r="B23" s="443"/>
      <c r="C23" s="443"/>
      <c r="D23" s="51"/>
    </row>
    <row r="24" spans="2:4" ht="35" customHeight="1" x14ac:dyDescent="0.2">
      <c r="B24" s="438" t="s">
        <v>361</v>
      </c>
      <c r="C24" s="438"/>
      <c r="D24" s="170"/>
    </row>
    <row r="25" spans="2:4" ht="17" customHeight="1" x14ac:dyDescent="0.2">
      <c r="B25" s="177" t="s">
        <v>362</v>
      </c>
      <c r="C25" s="178" t="str">
        <f>VLOOKUP(Entidad_Financiera,Variables!$A$25:$M$30, 13,FALSE)</f>
        <v>Sygnus Capital - Programa Especial Windmar</v>
      </c>
      <c r="D25" s="166"/>
    </row>
    <row r="26" spans="2:4" ht="17" x14ac:dyDescent="0.2">
      <c r="B26" s="177" t="s">
        <v>363</v>
      </c>
      <c r="C26" s="178" t="str">
        <f>'Panel de Informacion'!C22</f>
        <v>Préstamo (loan)</v>
      </c>
      <c r="D26" s="166"/>
    </row>
    <row r="27" spans="2:4" ht="17" x14ac:dyDescent="0.2">
      <c r="B27" s="177" t="s">
        <v>364</v>
      </c>
      <c r="C27" s="178" t="str">
        <f>_xlfn.CONCAT('Panel de Informacion'!C23," Años")</f>
        <v>15 Años</v>
      </c>
      <c r="D27" s="166"/>
    </row>
    <row r="28" spans="2:4" ht="17" x14ac:dyDescent="0.2">
      <c r="B28" s="177" t="s">
        <v>365</v>
      </c>
      <c r="C28" s="179">
        <f>VLOOKUP(C26,Variables!A18:E22,5,FALSE)</f>
        <v>0.09</v>
      </c>
      <c r="D28" s="167"/>
    </row>
    <row r="29" spans="2:4" ht="17" x14ac:dyDescent="0.2">
      <c r="B29" s="177" t="s">
        <v>366</v>
      </c>
      <c r="C29" s="273">
        <f>IF(Entidad_Financiera = Variables!A26, sys_price*(0.7), "No Aplica")</f>
        <v>45500</v>
      </c>
      <c r="D29" s="166"/>
    </row>
    <row r="30" spans="2:4" ht="17" x14ac:dyDescent="0.2">
      <c r="B30" s="177" t="s">
        <v>367</v>
      </c>
      <c r="C30" s="180">
        <f>'Panel de Informacion'!C29</f>
        <v>0</v>
      </c>
      <c r="D30" s="166"/>
    </row>
    <row r="31" spans="2:4" x14ac:dyDescent="0.2">
      <c r="B31" s="177"/>
      <c r="C31" s="180"/>
      <c r="D31" s="168"/>
    </row>
    <row r="32" spans="2:4" ht="9" customHeight="1" x14ac:dyDescent="0.2">
      <c r="D32" s="168"/>
    </row>
    <row r="33" spans="2:4" ht="2" customHeight="1" x14ac:dyDescent="0.2">
      <c r="D33" s="168"/>
    </row>
    <row r="34" spans="2:4" ht="20" customHeight="1" x14ac:dyDescent="0.2">
      <c r="B34" s="448" t="s">
        <v>368</v>
      </c>
      <c r="C34" s="438"/>
      <c r="D34" s="168"/>
    </row>
    <row r="35" spans="2:4" ht="23" customHeight="1" x14ac:dyDescent="0.2">
      <c r="B35" s="177" t="s">
        <v>369</v>
      </c>
      <c r="C35" s="240">
        <f>'Panel de Informacion'!C66</f>
        <v>650</v>
      </c>
      <c r="D35" s="168"/>
    </row>
    <row r="36" spans="2:4" ht="14" customHeight="1" x14ac:dyDescent="0.2">
      <c r="B36" s="399" t="str">
        <f>_xlfn.CONCAT("Plan de Mantenimiento: ", 'Panel de Informacion'!C34)</f>
        <v>Plan de Mantenimiento: STANDARD</v>
      </c>
      <c r="C36" s="240">
        <f>VLOOKUP('Panel de Informacion'!C34,Variables!$I$45:$J$46,2,FALSE)*sys_size/12</f>
        <v>0</v>
      </c>
      <c r="D36" s="168"/>
    </row>
    <row r="37" spans="2:4" ht="13" customHeight="1" x14ac:dyDescent="0.2">
      <c r="B37" s="177" t="s">
        <v>370</v>
      </c>
      <c r="C37" s="180">
        <f>IF('Lista de Facturas'!B1="No", No_info,SUM(C38:C42))</f>
        <v>7140.52</v>
      </c>
      <c r="D37" s="168"/>
    </row>
    <row r="38" spans="2:4" ht="13" customHeight="1" x14ac:dyDescent="0.2">
      <c r="B38" s="236" t="s">
        <v>371</v>
      </c>
      <c r="C38" s="180">
        <f>'Panel de Informacion'!C64</f>
        <v>0</v>
      </c>
      <c r="D38" s="168"/>
    </row>
    <row r="39" spans="2:4" ht="13" customHeight="1" x14ac:dyDescent="0.2">
      <c r="B39" s="236" t="s">
        <v>372</v>
      </c>
      <c r="C39" s="263">
        <f>'Panel de Informacion'!C59</f>
        <v>7135.52</v>
      </c>
      <c r="D39" s="168"/>
    </row>
    <row r="40" spans="2:4" ht="13" customHeight="1" x14ac:dyDescent="0.2">
      <c r="B40" s="236" t="s">
        <v>373</v>
      </c>
      <c r="C40" s="263">
        <f>'Panel de Informacion'!C41</f>
        <v>5</v>
      </c>
      <c r="D40" s="168"/>
    </row>
    <row r="41" spans="2:4" ht="13" customHeight="1" x14ac:dyDescent="0.2">
      <c r="B41" s="236" t="s">
        <v>374</v>
      </c>
      <c r="C41" s="263">
        <f>'Panel de Informacion'!C42</f>
        <v>0</v>
      </c>
      <c r="D41" s="168"/>
    </row>
    <row r="42" spans="2:4" ht="19" customHeight="1" x14ac:dyDescent="0.2">
      <c r="B42" s="236" t="str">
        <f>IF('Lista de Sistemas'!$L$62="SI", "Cargo por exceso de demanda*", "Cargo por exceso de demanda")</f>
        <v>Cargo por exceso de demanda</v>
      </c>
      <c r="C42" s="263">
        <f>'Panel de Informacion'!C43</f>
        <v>0</v>
      </c>
      <c r="D42" s="17"/>
    </row>
    <row r="43" spans="2:4" ht="19" customHeight="1" x14ac:dyDescent="0.2">
      <c r="B43" s="237" t="s">
        <v>375</v>
      </c>
      <c r="C43" s="263">
        <f>IF('Lista de Facturas'!B1 = "No", No_info,C37+C35+C36)</f>
        <v>7790.52</v>
      </c>
      <c r="D43" s="17"/>
    </row>
    <row r="44" spans="2:4" ht="48" customHeight="1" x14ac:dyDescent="0.2">
      <c r="B44" s="177" t="s">
        <v>376</v>
      </c>
      <c r="C44" s="181" t="str">
        <f>IF('Lista de Facturas'!B1="Si",IF('Panel de Informacion'!C70&gt;=0,_xlfn.CONCAT("Ahorros del ",TEXT('Panel de Informacion'!C70,"0.00%")," incluyendo ingresos aproximados de ",TEXT(-'Panel de Informacion'!C64*12,"$#,0.00")," anual por exceso de producción"),_xlfn.CONCAT("Incremento del ",TEXT(-'Panel de Informacion'!C70,"0.00%")," incluyendo ingresos de ",TEXT(-'Panel de Informacion'!C64,"$0.00")," por exceso de producción")), No_factura_cliente)</f>
        <v>Ahorros del 2.24% incluyendo ingresos aproximados de $0.00 anual por exceso de producción</v>
      </c>
      <c r="D44" s="17"/>
    </row>
    <row r="45" spans="2:4" ht="14" customHeight="1" x14ac:dyDescent="0.2">
      <c r="B45" s="449" t="str">
        <f>IF('Lista de Sistemas'!$L$62="SI", "(*) El sistema fotovoltaico podria causar un ligero incremento en los cargos por demanda", "")</f>
        <v/>
      </c>
      <c r="C45" s="449"/>
      <c r="D45" s="17"/>
    </row>
    <row r="46" spans="2:4" ht="23" customHeight="1" x14ac:dyDescent="0.2">
      <c r="B46" s="448" t="s">
        <v>377</v>
      </c>
      <c r="C46" s="438"/>
      <c r="D46" s="17"/>
    </row>
    <row r="47" spans="2:4" ht="47" customHeight="1" x14ac:dyDescent="0.2">
      <c r="B47" s="450" t="str">
        <f>IF('Lista de Sistemas'!C70=Variables!I45,_xlfn.CONCAT("El sistema acá cotizado incluye una garantía ",'Lista de Sistemas'!C70," por 10 años, libre de costos. Los detalles del plan de garantías pueden ser revisados en el documento adjunto."),_xlfn.CONCAT("El sistema acá cotizado incluye una garantía ",'Lista de Sistemas'!C70," por un precio de ",TEXT('Lista de Sistemas'!C71,"$#,###,###.00")," anual.", " Los detalles del plan de garantías pueden ser revisados en el documento adjunto."))</f>
        <v>El sistema acá cotizado incluye una garantía STANDARD por 10 años, libre de costos. Los detalles del plan de garantías pueden ser revisados en el documento adjunto.</v>
      </c>
      <c r="C47" s="451"/>
      <c r="D47" s="17"/>
    </row>
    <row r="48" spans="2:4" ht="20" customHeight="1" x14ac:dyDescent="0.2">
      <c r="B48" s="16"/>
      <c r="C48" s="188" t="s">
        <v>378</v>
      </c>
      <c r="D48" s="17"/>
    </row>
    <row r="49" spans="1:4" ht="14" customHeight="1" x14ac:dyDescent="0.2">
      <c r="B49" s="438" t="s">
        <v>379</v>
      </c>
      <c r="C49" s="438"/>
      <c r="D49" s="17"/>
    </row>
    <row r="50" spans="1:4" ht="62" customHeight="1" x14ac:dyDescent="0.2">
      <c r="B50" s="439" t="str">
        <f>IF(VLOOKUP(Entidad_Financiera,Variables!$A$25:$E$29,5,FALSE)=0,"",IF('Panel de Informacion'!C27&lt;=0,"",_xlfn.CONCAT(abono_1,TEXT(SUM('Panel de Informacion'!$C$32,'Panel de Informacion'!C65),"#,#0.00"),abono_2)))</f>
        <v/>
      </c>
      <c r="C50" s="439"/>
      <c r="D50" s="17"/>
    </row>
    <row r="51" spans="1:4" ht="13" customHeight="1" x14ac:dyDescent="0.2">
      <c r="B51" s="16"/>
      <c r="C51" s="17"/>
      <c r="D51" s="17"/>
    </row>
    <row r="52" spans="1:4" x14ac:dyDescent="0.2">
      <c r="B52" s="447" t="s">
        <v>380</v>
      </c>
      <c r="C52" s="447"/>
    </row>
    <row r="53" spans="1:4" ht="29" customHeight="1" x14ac:dyDescent="0.2">
      <c r="B53" s="452" t="str">
        <f>IF('Panel de Informacion'!C7="SI",_xlfn.CONCAT("Los precios mostrados en esta cotización son válidos para el grupo de ",'Panel de Informacion'!C8," proyectos llamado: ",'Panel de Informacion'!C9,"."),"")</f>
        <v/>
      </c>
      <c r="C53" s="453"/>
      <c r="D53" s="17"/>
    </row>
    <row r="54" spans="1:4" ht="409" customHeight="1" x14ac:dyDescent="0.2">
      <c r="B54" s="444" t="str">
        <f>IF('Panel de Informacion'!A74&lt;&gt;0,_xlfn.CONCAT('Panel de Informacion'!A74),"")</f>
        <v/>
      </c>
      <c r="C54" s="445"/>
      <c r="D54" s="17"/>
    </row>
    <row r="55" spans="1:4" ht="14" customHeight="1" x14ac:dyDescent="0.2">
      <c r="B55" s="16"/>
      <c r="C55" s="188"/>
      <c r="D55" s="61"/>
    </row>
    <row r="56" spans="1:4" ht="35" customHeight="1" x14ac:dyDescent="0.2">
      <c r="A56" s="83"/>
      <c r="B56" s="440" t="s">
        <v>381</v>
      </c>
      <c r="C56" s="441"/>
      <c r="D56" s="169"/>
    </row>
    <row r="57" spans="1:4" ht="35" customHeight="1" x14ac:dyDescent="0.2">
      <c r="A57" s="83"/>
      <c r="B57" s="84" t="str">
        <f>_xlfn.CONCAT("Garantía de Instalación ", 'Lista de Sistemas'!C70)</f>
        <v>Garantía de Instalación STANDARD</v>
      </c>
      <c r="C57" s="88" t="str">
        <f>IF('Lista de Sistemas'!C70=Variables!I45, VLOOKUP(Entidad_Financiera,Variables!$A$25:$L$30,9,0), "Ver política de garantías, adjunto.")</f>
        <v>11 años, mano de obra, cubierta por Windmar Home</v>
      </c>
      <c r="D57" s="16"/>
    </row>
    <row r="58" spans="1:4" ht="35" customHeight="1" x14ac:dyDescent="0.2">
      <c r="B58" s="87" t="s">
        <v>129</v>
      </c>
      <c r="C58" s="85" t="str">
        <f>VLOOKUP(Entidad_Financiera,Variables!$A$25:$L$30,10,0)</f>
        <v>11 - 25 años, cubierta por fabricante (ver cotización)</v>
      </c>
      <c r="D58" s="169"/>
    </row>
    <row r="59" spans="1:4" ht="35" customHeight="1" x14ac:dyDescent="0.2">
      <c r="B59" s="87" t="s">
        <v>382</v>
      </c>
      <c r="C59" s="85" t="str">
        <f>IF('Lista de Sistemas'!C70=Variables!I45, VLOOKUP(Entidad_Financiera,Variables!$A$25:$L$30,11,0),"Ver política de garantías, adjunto.")</f>
        <v>Plan de mantenimiento (opcional, no cotizado)</v>
      </c>
      <c r="D59" s="169"/>
    </row>
    <row r="60" spans="1:4" ht="17" x14ac:dyDescent="0.2">
      <c r="B60" s="87" t="s">
        <v>131</v>
      </c>
      <c r="C60" s="85" t="str">
        <f>VLOOKUP(Entidad_Financiera,Variables!$A$25:$L$30,12,0)</f>
        <v>Por cuenta del cliente</v>
      </c>
    </row>
    <row r="61" spans="1:4" ht="29" customHeight="1" x14ac:dyDescent="0.2">
      <c r="B61" s="86"/>
    </row>
    <row r="62" spans="1:4" x14ac:dyDescent="0.2">
      <c r="C62" s="173" t="s">
        <v>383</v>
      </c>
    </row>
  </sheetData>
  <sheetProtection sheet="1" objects="1" scenarios="1" selectLockedCells="1" selectUnlockedCells="1"/>
  <mergeCells count="17">
    <mergeCell ref="B46:C46"/>
    <mergeCell ref="B1:C1"/>
    <mergeCell ref="B24:C24"/>
    <mergeCell ref="B50:C50"/>
    <mergeCell ref="B56:C56"/>
    <mergeCell ref="B6:C6"/>
    <mergeCell ref="B23:C23"/>
    <mergeCell ref="B54:C54"/>
    <mergeCell ref="B16:C16"/>
    <mergeCell ref="B11:C11"/>
    <mergeCell ref="B12:C12"/>
    <mergeCell ref="B52:C52"/>
    <mergeCell ref="B49:C49"/>
    <mergeCell ref="B34:C34"/>
    <mergeCell ref="B45:C45"/>
    <mergeCell ref="B47:C47"/>
    <mergeCell ref="B53:C53"/>
  </mergeCells>
  <pageMargins left="0.7" right="0.7" top="0.75" bottom="0.75" header="0.3" footer="0.3"/>
  <pageSetup scale="94" orientation="portrait" r:id="rId1"/>
  <rowBreaks count="2" manualBreakCount="2">
    <brk id="14" max="16383" man="1"/>
    <brk id="48"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446C2-007F-5748-9DD0-470853BC1393}">
  <sheetPr codeName="Sheet7"/>
  <dimension ref="B1:D34"/>
  <sheetViews>
    <sheetView view="pageBreakPreview" topLeftCell="A30" zoomScale="222" zoomScaleNormal="150" zoomScaleSheetLayoutView="222" workbookViewId="0">
      <selection activeCell="F17" sqref="F17"/>
    </sheetView>
  </sheetViews>
  <sheetFormatPr baseColWidth="10" defaultColWidth="10.83203125" defaultRowHeight="16" x14ac:dyDescent="0.2"/>
  <cols>
    <col min="1" max="1" width="3" style="1" customWidth="1"/>
    <col min="2" max="2" width="36.83203125" style="1" customWidth="1"/>
    <col min="3" max="3" width="39" style="1" customWidth="1"/>
    <col min="4" max="4" width="1.83203125" style="1" customWidth="1"/>
    <col min="5" max="16384" width="10.83203125" style="1"/>
  </cols>
  <sheetData>
    <row r="1" spans="2:3" ht="174" customHeight="1" x14ac:dyDescent="0.2">
      <c r="B1" s="437"/>
      <c r="C1" s="437"/>
    </row>
    <row r="2" spans="2:3" ht="18" customHeight="1" x14ac:dyDescent="0.2">
      <c r="B2" s="56"/>
      <c r="C2" s="160">
        <f ca="1">TODAY()</f>
        <v>46045</v>
      </c>
    </row>
    <row r="3" spans="2:3" ht="20" customHeight="1" x14ac:dyDescent="0.2">
      <c r="B3" s="1" t="str">
        <f>_xlfn.CONCAT("Saludos, ",TEXT('Panel de Informacion'!C4,""),"!","")</f>
        <v>Saludos, Juan Perez!</v>
      </c>
    </row>
    <row r="4" spans="2:3" ht="11" customHeight="1" x14ac:dyDescent="0.2"/>
    <row r="5" spans="2:3" ht="328" customHeight="1" thickBot="1" x14ac:dyDescent="0.25">
      <c r="B5" s="442" t="str">
        <f>_xlfn.CONCAT("Anexo a este e-mail encontrarás:",CHAR(10),REPT(" ",2),"1. La cotización para ",TEXT('Panel de Informacion'!C6,""),".  Ella incluye la descripción del sistema (número de módulos y baterías -- donde apliquen), y el costo del sistema en caso de compra en efectivo (cash).")&amp;CHAR(10)&amp;REPT(" ",2)&amp;_xlfn.CONCAT("2.Una carta dirigida a tu cliente donde le indicamos su mejor opción de financiamiento, y los próximos pasos a seguir.  ")&amp;REPT(CHAR(10),2)&amp;_xlfn.CONCAT("Puedes hacer llegar estos documentos a tu cliente de la manera que mejor aplique a tu situación: e-mail, en persona, etc.")&amp;REPT(CHAR(10),2)&amp;_xlfn.CONCAT("Tu cliente tiene ahora las siguientes opciones:",CHAR(10),REPT(" ",2), "1. Puede elegir comprar el sistema en cash (efectivo)", CHAR(10), REPT(" ",2))&amp;_xlfn.CONCAT("2. Proceder con el financiamiento propuesto por Windmar -- si alguno -- o,")&amp;CHAR(10)&amp;REPT(" ",2)&amp;_xlfn.CONCAT("3. Gestionar su propio financiamiento. ")&amp;REPT(CHAR(10),2)&amp;_xlfn.CONCAT("Una vez tu cliente elija su mejor opción el próximo paso es la firma del contrato**.  ")&amp;_xlfn.CONCAT("Luego de la firma, si tu cliente elige el financiamiento que le ofrecemos abajo, un miembro de nuestro equipo estará en contacto para obtener los documentos necesarios para lograr su aprobación" )&amp;REPT(CHAR(10),2)&amp;_xlfn.CONCAT("Recuerda! La firma del contrato es necesaria para darle marcha al proceso de financiamiento.")&amp;REPT(CHAR(10),2)</f>
        <v xml:space="preserve">Anexo a este e-mail encontrarás:
  1. La cotización para Colmado San Juan.  Ella incluye la descripción del sistema (número de módulos y baterías -- donde apliquen), y el costo del sistema en caso de compra en efectivo (cash).
  2.Una carta dirigida a tu cliente donde le indicamos su mejor opción de financiamiento, y los próximos pasos a seguir.  
Puedes hacer llegar estos documentos a tu cliente de la manera que mejor aplique a tu situación: e-mail, en persona, etc.
Tu cliente tiene ahora las siguientes opciones:
  1. Puede elegir comprar el sistema en cash (efectivo)
  2. Proceder con el financiamiento propuesto por Windmar -- si alguno -- o,
  3. Gestionar su propio financiamiento. 
Una vez tu cliente elija su mejor opción el próximo paso es la firma del contrato**.  Luego de la firma, si tu cliente elige el financiamiento que le ofrecemos abajo, un miembro de nuestro equipo estará en contacto para obtener los documentos necesarios para lograr su aprobación
Recuerda! La firma del contrato es necesaria para darle marcha al proceso de financiamiento.
</v>
      </c>
      <c r="C5" s="442"/>
    </row>
    <row r="6" spans="2:3" ht="18" customHeight="1" x14ac:dyDescent="0.2">
      <c r="B6" s="460" t="s">
        <v>354</v>
      </c>
      <c r="C6" s="461"/>
    </row>
    <row r="7" spans="2:3" ht="18" customHeight="1" x14ac:dyDescent="0.2">
      <c r="B7" s="74" t="s">
        <v>384</v>
      </c>
      <c r="C7" s="75" t="str">
        <f>_xlfn.CONCAT(TEXT('Panel de Informacion'!C52,"#,##0.0")," kWdc")</f>
        <v>26.0 kWdc</v>
      </c>
    </row>
    <row r="8" spans="2:3" ht="18" customHeight="1" x14ac:dyDescent="0.2">
      <c r="B8" s="74" t="s">
        <v>357</v>
      </c>
      <c r="C8" s="207">
        <f>'Panel de Informacion'!C19</f>
        <v>0</v>
      </c>
    </row>
    <row r="9" spans="2:3" ht="14" customHeight="1" x14ac:dyDescent="0.2">
      <c r="B9" s="61"/>
      <c r="C9" s="61"/>
    </row>
    <row r="10" spans="2:3" ht="18" customHeight="1" thickBot="1" x14ac:dyDescent="0.25">
      <c r="B10" s="443" t="str">
        <f>TEXT("Detalles de la oferta de financiamiento:","")&amp;CHAR(10)</f>
        <v xml:space="preserve">Detalles de la oferta de financiamiento:
</v>
      </c>
      <c r="C10" s="443"/>
    </row>
    <row r="11" spans="2:3" ht="17" thickBot="1" x14ac:dyDescent="0.25">
      <c r="B11" s="458" t="s">
        <v>385</v>
      </c>
      <c r="C11" s="459"/>
    </row>
    <row r="12" spans="2:3" ht="17" x14ac:dyDescent="0.2">
      <c r="B12" s="64" t="s">
        <v>21</v>
      </c>
      <c r="C12" s="65" t="str">
        <f>VLOOKUP(Entidad_Financiera,Variables!$A$25:$M$29, 13,FALSE)</f>
        <v>Sygnus Capital - Programa Especial Windmar</v>
      </c>
    </row>
    <row r="13" spans="2:3" ht="17" x14ac:dyDescent="0.2">
      <c r="B13" s="66" t="s">
        <v>386</v>
      </c>
      <c r="C13" s="67" t="str">
        <f>'Panel de Informacion'!C22</f>
        <v>Préstamo (loan)</v>
      </c>
    </row>
    <row r="14" spans="2:3" ht="17" x14ac:dyDescent="0.2">
      <c r="B14" s="66" t="s">
        <v>387</v>
      </c>
      <c r="C14" s="67">
        <f>'Panel de Informacion'!C23</f>
        <v>15</v>
      </c>
    </row>
    <row r="15" spans="2:3" ht="17" x14ac:dyDescent="0.2">
      <c r="B15" s="66" t="s">
        <v>127</v>
      </c>
      <c r="C15" s="68">
        <f>VLOOKUP(C13,Variables!A18:E21,5,FALSE)</f>
        <v>0.09</v>
      </c>
    </row>
    <row r="16" spans="2:3" ht="17" x14ac:dyDescent="0.2">
      <c r="B16" s="66" t="s">
        <v>27</v>
      </c>
      <c r="C16" s="67" t="str">
        <f>'Panel de Informacion'!C25</f>
        <v>No Aplica</v>
      </c>
    </row>
    <row r="17" spans="2:4" ht="17" x14ac:dyDescent="0.2">
      <c r="B17" s="66" t="s">
        <v>176</v>
      </c>
      <c r="C17" s="67" t="str">
        <f>'Panel de Informacion'!C26</f>
        <v>No Aplica</v>
      </c>
    </row>
    <row r="18" spans="2:4" ht="17" x14ac:dyDescent="0.2">
      <c r="B18" s="66" t="s">
        <v>388</v>
      </c>
      <c r="C18" s="69">
        <f>'Panel de Informacion'!C27</f>
        <v>0</v>
      </c>
    </row>
    <row r="19" spans="2:4" ht="17" x14ac:dyDescent="0.2">
      <c r="B19" s="66" t="s">
        <v>367</v>
      </c>
      <c r="C19" s="69">
        <f>'Panel de Informacion'!C29</f>
        <v>0</v>
      </c>
    </row>
    <row r="20" spans="2:4" ht="17" x14ac:dyDescent="0.2">
      <c r="B20" s="66" t="s">
        <v>389</v>
      </c>
      <c r="C20" s="69">
        <f>'Panel de Informacion'!C30</f>
        <v>63700</v>
      </c>
    </row>
    <row r="21" spans="2:4" ht="51" x14ac:dyDescent="0.2">
      <c r="B21" s="66" t="s">
        <v>390</v>
      </c>
      <c r="C21" s="69">
        <f>'Panel de Informacion'!C67</f>
        <v>7790.52</v>
      </c>
    </row>
    <row r="22" spans="2:4" ht="82" customHeight="1" thickBot="1" x14ac:dyDescent="0.25">
      <c r="B22" s="70" t="s">
        <v>376</v>
      </c>
      <c r="C22" s="71" t="str">
        <f>IF('Lista de Facturas'!B1="Si",IF('Panel de Informacion'!C70&gt;=0,_xlfn.CONCAT("Ahorros del ",TEXT('Panel de Informacion'!C70,"0.00%")," incluyendo ingresos aproximados de ",TEXT(-'Panel de Informacion'!C64*12,"$#,0.00")," anual por exceso de producción"),_xlfn.CONCAT("Incremento del ",TEXT(-'Panel de Informacion'!C70,"0.00%")," incluyendo ingresos de ",TEXT(-'Panel de Informacion'!C64,"$0.00")," por exceso de producción")),No_factura_cliente)</f>
        <v>Ahorros del 2.24% incluyendo ingresos aproximados de $0.00 anual por exceso de producción</v>
      </c>
      <c r="D22" s="15"/>
    </row>
    <row r="23" spans="2:4" ht="10" customHeight="1" thickBot="1" x14ac:dyDescent="0.25">
      <c r="B23" s="16"/>
      <c r="C23" s="17"/>
    </row>
    <row r="24" spans="2:4" ht="35" customHeight="1" x14ac:dyDescent="0.2">
      <c r="B24" s="456" t="s">
        <v>391</v>
      </c>
      <c r="C24" s="457"/>
    </row>
    <row r="25" spans="2:4" ht="35" customHeight="1" x14ac:dyDescent="0.2">
      <c r="B25" s="66" t="s">
        <v>392</v>
      </c>
      <c r="C25" s="72" t="str">
        <f>'e-mail al Cliente'!C57</f>
        <v>11 años, mano de obra, cubierta por Windmar Home</v>
      </c>
    </row>
    <row r="26" spans="2:4" ht="35" customHeight="1" x14ac:dyDescent="0.2">
      <c r="B26" s="66" t="s">
        <v>129</v>
      </c>
      <c r="C26" s="72" t="str">
        <f>'e-mail al Cliente'!C58</f>
        <v>11 - 25 años, cubierta por fabricante (ver cotización)</v>
      </c>
    </row>
    <row r="27" spans="2:4" ht="35" customHeight="1" x14ac:dyDescent="0.2">
      <c r="B27" s="66" t="s">
        <v>382</v>
      </c>
      <c r="C27" s="72" t="str">
        <f>'e-mail al Cliente'!C59</f>
        <v>Plan de mantenimiento (opcional, no cotizado)</v>
      </c>
    </row>
    <row r="28" spans="2:4" ht="35" customHeight="1" thickBot="1" x14ac:dyDescent="0.25">
      <c r="B28" s="70" t="s">
        <v>131</v>
      </c>
      <c r="C28" s="72" t="str">
        <f>'e-mail al Cliente'!C60</f>
        <v>Por cuenta del cliente</v>
      </c>
    </row>
    <row r="29" spans="2:4" ht="11" customHeight="1" thickBot="1" x14ac:dyDescent="0.25"/>
    <row r="30" spans="2:4" ht="118.25" customHeight="1" thickBot="1" x14ac:dyDescent="0.25">
      <c r="B30" s="454" t="e">
        <f>IF('Panel de Informacion'!C20=Variables!#REF!,_xlfn.CONCAT(No_PPA_PW), IF('Panel de Informacion'!C20&lt;&gt;Variables!A20,_xlfn.CONCAT(PW_1,TEXT(Variables!F37,"#,#0.00"),PW_2,TEXT(Variables!F38,"#,#0.00"),PW_3,TEXT(Variables!F39,"#,#0.00"),PW_end,_xlfn.CONCAT(PW_fin,PW_fin_end)),_xlfn.CONCAT(PW_1,TEXT(Variables!F37,"#,#0.00"),PW_2,TEXT(Variables!F38,"#,#0.00"),PW_3,TEXT(Variables!F39,"#,#0.00"),PW_end)))</f>
        <v>#REF!</v>
      </c>
      <c r="C30" s="455"/>
    </row>
    <row r="31" spans="2:4" ht="9" customHeight="1" thickBot="1" x14ac:dyDescent="0.25">
      <c r="B31" s="61"/>
      <c r="C31" s="61"/>
    </row>
    <row r="32" spans="2:4" ht="139" customHeight="1" thickBot="1" x14ac:dyDescent="0.25">
      <c r="B32" s="454" t="str">
        <f>IF('Panel de Informacion'!C22&lt;&gt;Variables!A18,"",IF('Panel de Informacion'!C27&lt;=0,"",_xlfn.CONCAT(abono_1,TEXT(SUM('Panel de Informacion'!$C$32,'Panel de Informacion'!$C$65),"#,#0.00"),abono_2)))</f>
        <v/>
      </c>
      <c r="C32" s="455"/>
    </row>
    <row r="33" spans="2:3" ht="9" customHeight="1" thickBot="1" x14ac:dyDescent="0.25"/>
    <row r="34" spans="2:3" ht="139" customHeight="1" thickBot="1" x14ac:dyDescent="0.25">
      <c r="B34" s="454" t="str">
        <f>_xlfn.CONCAT(como_llenar_contrato)</f>
        <v>(**) Pasos para la firma del contrato (DocuSign):  Contacta al equipo comercial y nosotros te ayudaremos a discutir el contrato y llenarlo correctamente con tu cliente.  Tu cliente recibirá un hyperlink, o enlace digital (URL) con un DocuSign por e-mail.  Una vez enviado, te sugerimos contactes a tu cliente para estar seguro que recibió el email, y logró firmarlo.</v>
      </c>
      <c r="C34" s="455"/>
    </row>
  </sheetData>
  <sheetProtection sheet="1" objects="1" scenarios="1" selectLockedCells="1" selectUnlockedCells="1"/>
  <mergeCells count="9">
    <mergeCell ref="B34:C34"/>
    <mergeCell ref="B30:C30"/>
    <mergeCell ref="B32:C32"/>
    <mergeCell ref="B24:C24"/>
    <mergeCell ref="B1:C1"/>
    <mergeCell ref="B5:C5"/>
    <mergeCell ref="B10:C10"/>
    <mergeCell ref="B11:C11"/>
    <mergeCell ref="B6:C6"/>
  </mergeCells>
  <pageMargins left="0.7" right="0.7" top="0.75" bottom="0.75" header="0.3" footer="0.3"/>
  <pageSetup orientation="portrait" r:id="rId1"/>
  <rowBreaks count="2" manualBreakCount="2">
    <brk id="8" max="16383" man="1"/>
    <brk id="29" max="16383" man="1"/>
  </row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D645E-E068-954C-A551-CC0F4197C413}">
  <sheetPr codeName="Sheet15"/>
  <dimension ref="A1:K57"/>
  <sheetViews>
    <sheetView zoomScale="120" zoomScaleNormal="120" workbookViewId="0">
      <selection activeCell="F4" sqref="F4:H4"/>
    </sheetView>
  </sheetViews>
  <sheetFormatPr baseColWidth="10" defaultColWidth="10.83203125" defaultRowHeight="16" x14ac:dyDescent="0.2"/>
  <cols>
    <col min="1" max="1" width="53.6640625" customWidth="1"/>
    <col min="2" max="2" width="23.83203125" customWidth="1"/>
    <col min="4" max="5" width="14" customWidth="1"/>
    <col min="6" max="6" width="18.83203125" customWidth="1"/>
  </cols>
  <sheetData>
    <row r="1" spans="1:11" x14ac:dyDescent="0.2">
      <c r="A1" t="s">
        <v>393</v>
      </c>
      <c r="B1" s="286" t="s">
        <v>394</v>
      </c>
      <c r="D1" s="409" t="s">
        <v>395</v>
      </c>
      <c r="E1" s="409"/>
    </row>
    <row r="2" spans="1:11" x14ac:dyDescent="0.2">
      <c r="A2" s="93" t="s">
        <v>75</v>
      </c>
      <c r="B2" s="286"/>
      <c r="D2" s="462" t="s">
        <v>396</v>
      </c>
      <c r="E2" s="462"/>
      <c r="F2" s="466">
        <f>max_demanda</f>
        <v>0</v>
      </c>
      <c r="G2" s="466"/>
      <c r="H2" s="466"/>
      <c r="I2" s="294"/>
      <c r="J2" s="294"/>
      <c r="K2" s="294"/>
    </row>
    <row r="3" spans="1:11" x14ac:dyDescent="0.2">
      <c r="A3" s="93" t="s">
        <v>76</v>
      </c>
      <c r="B3" s="286"/>
      <c r="D3" s="462" t="s">
        <v>397</v>
      </c>
      <c r="E3" s="462"/>
      <c r="F3" s="464">
        <f>cons_diar_prom</f>
        <v>1047.9452054794519</v>
      </c>
      <c r="G3" s="464"/>
      <c r="H3" s="464"/>
      <c r="I3" s="294"/>
      <c r="J3" s="294"/>
      <c r="K3" s="294"/>
    </row>
    <row r="4" spans="1:11" x14ac:dyDescent="0.2">
      <c r="A4" s="265" t="s">
        <v>398</v>
      </c>
      <c r="B4" s="265"/>
      <c r="D4" s="462" t="s">
        <v>399</v>
      </c>
      <c r="E4" s="462"/>
      <c r="F4" s="468"/>
      <c r="G4" s="468"/>
      <c r="H4" s="468"/>
      <c r="I4" s="294"/>
      <c r="J4" s="294"/>
      <c r="K4" s="294"/>
    </row>
    <row r="5" spans="1:11" x14ac:dyDescent="0.2">
      <c r="A5" s="266" t="s">
        <v>400</v>
      </c>
      <c r="B5" s="287"/>
      <c r="D5" s="462" t="s">
        <v>401</v>
      </c>
      <c r="E5" s="462"/>
      <c r="F5" s="467">
        <f>'Tabla de Precios'!Q26</f>
        <v>125</v>
      </c>
      <c r="G5" s="467"/>
      <c r="H5" s="467"/>
      <c r="I5" s="294"/>
      <c r="J5" s="294"/>
      <c r="K5" s="294"/>
    </row>
    <row r="6" spans="1:11" x14ac:dyDescent="0.2">
      <c r="A6" s="266" t="s">
        <v>402</v>
      </c>
      <c r="B6" s="288"/>
      <c r="D6" s="462" t="s">
        <v>402</v>
      </c>
      <c r="E6" s="462"/>
      <c r="F6" s="464">
        <f ca="1">'Tabla de Precios'!S26</f>
        <v>280</v>
      </c>
      <c r="G6" s="464"/>
      <c r="H6" s="464"/>
      <c r="I6" s="294"/>
      <c r="J6" s="294"/>
      <c r="K6" s="294"/>
    </row>
    <row r="7" spans="1:11" x14ac:dyDescent="0.2">
      <c r="A7" s="266" t="s">
        <v>403</v>
      </c>
      <c r="B7" s="286"/>
      <c r="D7" s="462" t="s">
        <v>404</v>
      </c>
      <c r="E7" s="462"/>
      <c r="F7" s="465" t="str">
        <f ca="1">'Tabla de Precios'!S29</f>
        <v>eSpire 125 280 BI</v>
      </c>
      <c r="G7" s="465"/>
      <c r="H7" s="465"/>
      <c r="I7" s="294"/>
      <c r="J7" s="294"/>
      <c r="K7" s="294"/>
    </row>
    <row r="8" spans="1:11" x14ac:dyDescent="0.2">
      <c r="A8" s="266" t="s">
        <v>405</v>
      </c>
      <c r="B8" s="286"/>
      <c r="D8" s="462" t="s">
        <v>406</v>
      </c>
      <c r="E8" s="462"/>
      <c r="F8" s="463">
        <f ca="1">IFERROR(VLOOKUP($F$7,'Tabla de Precios'!$F$22:$M$56,2,FALSE),"")</f>
        <v>201590</v>
      </c>
      <c r="G8" s="463"/>
      <c r="H8" s="463"/>
      <c r="I8" s="294"/>
      <c r="J8" s="294"/>
      <c r="K8" s="294"/>
    </row>
    <row r="9" spans="1:11" x14ac:dyDescent="0.2">
      <c r="A9" s="266" t="s">
        <v>407</v>
      </c>
      <c r="B9" s="286"/>
      <c r="D9" s="462" t="s">
        <v>408</v>
      </c>
      <c r="E9" s="462"/>
      <c r="F9" s="463">
        <f ca="1">IFERROR(VLOOKUP($F$7,'Tabla de Precios'!$F$22:$M$56,3,FALSE),"")</f>
        <v>23000</v>
      </c>
      <c r="G9" s="463"/>
      <c r="H9" s="463"/>
      <c r="I9" s="294"/>
      <c r="J9" s="294"/>
      <c r="K9" s="294"/>
    </row>
    <row r="10" spans="1:11" x14ac:dyDescent="0.2">
      <c r="A10" s="267" t="s">
        <v>409</v>
      </c>
      <c r="B10" s="265"/>
      <c r="D10" s="462" t="s">
        <v>410</v>
      </c>
      <c r="E10" s="462"/>
      <c r="F10" s="463">
        <f ca="1">IFERROR(VLOOKUP($F$7,'Tabla de Precios'!$F$22:$M$56,4,FALSE),"")</f>
        <v>12500</v>
      </c>
      <c r="G10" s="463"/>
      <c r="H10" s="463"/>
      <c r="I10" s="294"/>
      <c r="J10" s="294"/>
      <c r="K10" s="294"/>
    </row>
    <row r="11" spans="1:11" x14ac:dyDescent="0.2">
      <c r="A11" s="266" t="s">
        <v>411</v>
      </c>
      <c r="B11" s="289"/>
      <c r="D11" s="462" t="s">
        <v>412</v>
      </c>
      <c r="E11" s="462"/>
      <c r="F11" s="463">
        <f ca="1">IFERROR(VLOOKUP($F$7,'Tabla de Precios'!$F$22:$M$56,5,FALSE),"")</f>
        <v>12500</v>
      </c>
      <c r="G11" s="463"/>
      <c r="H11" s="463"/>
      <c r="I11" s="294"/>
      <c r="J11" s="294"/>
      <c r="K11" s="294"/>
    </row>
    <row r="12" spans="1:11" x14ac:dyDescent="0.2">
      <c r="A12" s="266" t="s">
        <v>413</v>
      </c>
      <c r="B12" s="289"/>
      <c r="D12" s="462" t="s">
        <v>414</v>
      </c>
      <c r="E12" s="462"/>
      <c r="F12" s="463">
        <f ca="1">IFERROR(VLOOKUP($F$7,'Tabla de Precios'!$F$22:$M$56,6,FALSE),"")</f>
        <v>5000</v>
      </c>
      <c r="G12" s="463"/>
      <c r="H12" s="463"/>
      <c r="I12" s="294"/>
      <c r="J12" s="294"/>
      <c r="K12" s="294"/>
    </row>
    <row r="13" spans="1:11" x14ac:dyDescent="0.2">
      <c r="A13" s="265" t="s">
        <v>415</v>
      </c>
      <c r="B13" s="265"/>
      <c r="D13" s="462" t="s">
        <v>416</v>
      </c>
      <c r="E13" s="462"/>
      <c r="F13" s="463">
        <f ca="1">IFERROR(VLOOKUP($F$7,'Tabla de Precios'!$F$22:$M$56,7,FALSE),"")</f>
        <v>15000</v>
      </c>
      <c r="G13" s="463"/>
      <c r="H13" s="463"/>
      <c r="I13" s="294"/>
      <c r="J13" s="294"/>
      <c r="K13" s="294"/>
    </row>
    <row r="14" spans="1:11" x14ac:dyDescent="0.2">
      <c r="A14" s="268" t="s">
        <v>417</v>
      </c>
      <c r="B14" s="265"/>
      <c r="D14" s="462" t="s">
        <v>118</v>
      </c>
      <c r="E14" s="462"/>
      <c r="F14" s="463">
        <f ca="1">IFERROR(VLOOKUP($F$7,'Tabla de Precios'!$F$22:$M$56,8,FALSE),"")</f>
        <v>10000</v>
      </c>
      <c r="G14" s="463"/>
      <c r="H14" s="463"/>
      <c r="I14" s="294"/>
      <c r="J14" s="294"/>
      <c r="K14" s="294"/>
    </row>
    <row r="15" spans="1:11" x14ac:dyDescent="0.2">
      <c r="A15" s="291"/>
      <c r="B15" s="290"/>
      <c r="E15" s="7"/>
    </row>
    <row r="16" spans="1:11" x14ac:dyDescent="0.2">
      <c r="A16" s="291"/>
      <c r="B16" s="290"/>
      <c r="E16" s="7"/>
    </row>
    <row r="17" spans="1:5" x14ac:dyDescent="0.2">
      <c r="A17" s="291"/>
      <c r="B17" s="290"/>
      <c r="E17" s="7"/>
    </row>
    <row r="18" spans="1:5" x14ac:dyDescent="0.2">
      <c r="A18" s="269" t="s">
        <v>418</v>
      </c>
      <c r="B18" s="270">
        <f>SUM(B15:B17)</f>
        <v>0</v>
      </c>
      <c r="E18" s="7"/>
    </row>
    <row r="19" spans="1:5" x14ac:dyDescent="0.2">
      <c r="A19" s="268" t="s">
        <v>419</v>
      </c>
      <c r="B19" s="265"/>
      <c r="E19" s="7"/>
    </row>
    <row r="20" spans="1:5" x14ac:dyDescent="0.2">
      <c r="A20" s="278" t="s">
        <v>420</v>
      </c>
      <c r="B20" s="265"/>
      <c r="E20" s="7"/>
    </row>
    <row r="21" spans="1:5" x14ac:dyDescent="0.2">
      <c r="A21" s="291"/>
      <c r="B21" s="290"/>
      <c r="E21" s="7"/>
    </row>
    <row r="22" spans="1:5" x14ac:dyDescent="0.2">
      <c r="A22" s="291"/>
      <c r="B22" s="290"/>
      <c r="E22" s="7"/>
    </row>
    <row r="23" spans="1:5" ht="17" thickBot="1" x14ac:dyDescent="0.25">
      <c r="A23" s="291"/>
      <c r="B23" s="292"/>
      <c r="E23" s="7"/>
    </row>
    <row r="24" spans="1:5" x14ac:dyDescent="0.2">
      <c r="A24" s="269" t="s">
        <v>421</v>
      </c>
      <c r="B24" s="270">
        <f>SUM(B21:B23)</f>
        <v>0</v>
      </c>
      <c r="E24" s="7"/>
    </row>
    <row r="25" spans="1:5" x14ac:dyDescent="0.2">
      <c r="A25" s="278" t="s">
        <v>422</v>
      </c>
      <c r="B25" s="265"/>
      <c r="E25" s="7"/>
    </row>
    <row r="26" spans="1:5" x14ac:dyDescent="0.2">
      <c r="A26" s="291"/>
      <c r="B26" s="290"/>
      <c r="E26" s="7"/>
    </row>
    <row r="27" spans="1:5" x14ac:dyDescent="0.2">
      <c r="A27" s="291"/>
      <c r="B27" s="290"/>
      <c r="E27" s="7"/>
    </row>
    <row r="28" spans="1:5" ht="17" thickBot="1" x14ac:dyDescent="0.25">
      <c r="A28" s="291"/>
      <c r="B28" s="292"/>
      <c r="E28" s="7"/>
    </row>
    <row r="29" spans="1:5" x14ac:dyDescent="0.2">
      <c r="A29" s="269" t="s">
        <v>423</v>
      </c>
      <c r="B29" s="270">
        <f>SUM(B26:B28)</f>
        <v>0</v>
      </c>
      <c r="E29" s="7"/>
    </row>
    <row r="30" spans="1:5" x14ac:dyDescent="0.2">
      <c r="A30" s="268" t="s">
        <v>424</v>
      </c>
      <c r="B30" s="265"/>
      <c r="E30" s="7"/>
    </row>
    <row r="31" spans="1:5" x14ac:dyDescent="0.2">
      <c r="A31" s="269" t="s">
        <v>425</v>
      </c>
      <c r="B31" s="293"/>
      <c r="E31" s="7"/>
    </row>
    <row r="32" spans="1:5" x14ac:dyDescent="0.2">
      <c r="A32" s="269" t="s">
        <v>426</v>
      </c>
      <c r="B32" s="290"/>
      <c r="E32" s="7"/>
    </row>
    <row r="33" spans="1:5" x14ac:dyDescent="0.2">
      <c r="A33" s="269" t="s">
        <v>427</v>
      </c>
      <c r="B33" s="290"/>
      <c r="E33" s="7"/>
    </row>
    <row r="34" spans="1:5" x14ac:dyDescent="0.2">
      <c r="E34" s="7"/>
    </row>
    <row r="35" spans="1:5" x14ac:dyDescent="0.2">
      <c r="A35" s="269" t="s">
        <v>428</v>
      </c>
      <c r="B35" s="293"/>
      <c r="E35" s="7"/>
    </row>
    <row r="36" spans="1:5" x14ac:dyDescent="0.2">
      <c r="E36" s="7"/>
    </row>
    <row r="37" spans="1:5" x14ac:dyDescent="0.2">
      <c r="E37" s="7"/>
    </row>
    <row r="38" spans="1:5" x14ac:dyDescent="0.2">
      <c r="E38" s="7"/>
    </row>
    <row r="39" spans="1:5" x14ac:dyDescent="0.2">
      <c r="E39" s="7"/>
    </row>
    <row r="40" spans="1:5" x14ac:dyDescent="0.2">
      <c r="E40" s="7"/>
    </row>
    <row r="41" spans="1:5" x14ac:dyDescent="0.2">
      <c r="E41" s="7"/>
    </row>
    <row r="42" spans="1:5" x14ac:dyDescent="0.2">
      <c r="E42" s="7"/>
    </row>
    <row r="43" spans="1:5" x14ac:dyDescent="0.2">
      <c r="E43" s="7"/>
    </row>
    <row r="44" spans="1:5" x14ac:dyDescent="0.2">
      <c r="E44" s="7"/>
    </row>
    <row r="45" spans="1:5" x14ac:dyDescent="0.2">
      <c r="E45" s="7"/>
    </row>
    <row r="46" spans="1:5" x14ac:dyDescent="0.2">
      <c r="E46" s="7"/>
    </row>
    <row r="47" spans="1:5" x14ac:dyDescent="0.2">
      <c r="E47" s="7"/>
    </row>
    <row r="48" spans="1:5" x14ac:dyDescent="0.2">
      <c r="E48" s="7"/>
    </row>
    <row r="49" spans="5:5" x14ac:dyDescent="0.2">
      <c r="E49" s="7"/>
    </row>
    <row r="50" spans="5:5" x14ac:dyDescent="0.2">
      <c r="E50" s="7"/>
    </row>
    <row r="51" spans="5:5" x14ac:dyDescent="0.2">
      <c r="E51" s="7"/>
    </row>
    <row r="52" spans="5:5" x14ac:dyDescent="0.2">
      <c r="E52" s="7"/>
    </row>
    <row r="53" spans="5:5" x14ac:dyDescent="0.2">
      <c r="E53" s="7"/>
    </row>
    <row r="54" spans="5:5" x14ac:dyDescent="0.2">
      <c r="E54" s="7"/>
    </row>
    <row r="55" spans="5:5" x14ac:dyDescent="0.2">
      <c r="E55" s="7"/>
    </row>
    <row r="56" spans="5:5" x14ac:dyDescent="0.2">
      <c r="E56" s="7"/>
    </row>
    <row r="57" spans="5:5" x14ac:dyDescent="0.2">
      <c r="E57" s="7"/>
    </row>
  </sheetData>
  <sheetProtection sheet="1" objects="1" scenarios="1" selectLockedCells="1"/>
  <mergeCells count="27">
    <mergeCell ref="D1:E1"/>
    <mergeCell ref="D4:E4"/>
    <mergeCell ref="D5:E5"/>
    <mergeCell ref="D6:E6"/>
    <mergeCell ref="F2:H2"/>
    <mergeCell ref="F3:H3"/>
    <mergeCell ref="F5:H5"/>
    <mergeCell ref="F4:H4"/>
    <mergeCell ref="D2:E2"/>
    <mergeCell ref="D3:E3"/>
    <mergeCell ref="D7:E7"/>
    <mergeCell ref="D8:E8"/>
    <mergeCell ref="D9:E9"/>
    <mergeCell ref="F6:H6"/>
    <mergeCell ref="F7:H7"/>
    <mergeCell ref="D14:E14"/>
    <mergeCell ref="F14:H14"/>
    <mergeCell ref="D12:E12"/>
    <mergeCell ref="D13:E13"/>
    <mergeCell ref="F8:H8"/>
    <mergeCell ref="F9:H9"/>
    <mergeCell ref="F10:H10"/>
    <mergeCell ref="F11:H11"/>
    <mergeCell ref="F12:H12"/>
    <mergeCell ref="F13:H13"/>
    <mergeCell ref="D11:E11"/>
    <mergeCell ref="D10:E10"/>
  </mergeCells>
  <dataValidations count="2">
    <dataValidation type="list" allowBlank="1" showInputMessage="1" showErrorMessage="1" sqref="B10" xr:uid="{2F958FF8-9FE5-8246-B30C-5C14B2FA6AF9}">
      <formula1>$F$2:$F$3</formula1>
    </dataValidation>
    <dataValidation type="list" allowBlank="1" showInputMessage="1" showErrorMessage="1" sqref="B1" xr:uid="{41598D38-EA6D-3D4D-8A9D-2F8EFD1A454D}">
      <formula1>"PRESUPUESTARIA, FIRME"</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Pre_llenar_Baterias_custom">
                <anchor moveWithCells="1" sizeWithCells="1">
                  <from>
                    <xdr:col>2</xdr:col>
                    <xdr:colOff>38100</xdr:colOff>
                    <xdr:row>0</xdr:row>
                    <xdr:rowOff>38100</xdr:rowOff>
                  </from>
                  <to>
                    <xdr:col>2</xdr:col>
                    <xdr:colOff>812800</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D8F5CEC4-3885-E64E-80A1-ED26D1415B12}">
          <x14:formula1>
            <xm:f>Variables!$O$3:$O$54</xm:f>
          </x14:formula1>
          <xm:sqref>B11:B12</xm:sqref>
        </x14:dataValidation>
        <x14:dataValidation type="list" allowBlank="1" showInputMessage="1" showErrorMessage="1" xr:uid="{AEA86142-B30B-1948-ABC5-4F2E6055F00D}">
          <x14:formula1>
            <xm:f>Variables!$P$3:$P$4</xm:f>
          </x14:formula1>
          <xm:sqref>B7:B9</xm:sqref>
        </x14:dataValidation>
        <x14:dataValidation type="list" allowBlank="1" showInputMessage="1" showErrorMessage="1" xr:uid="{551D4F49-2939-E74C-A8D5-68D99D1BF6BB}">
          <x14:formula1>
            <xm:f>Variables!$F$3:$F$4</xm:f>
          </x14:formula1>
          <xm:sqref>B2</xm:sqref>
        </x14:dataValidation>
        <x14:dataValidation type="list" allowBlank="1" showInputMessage="1" showErrorMessage="1" xr:uid="{EE3A4772-6FAE-704C-91DA-BCDF09CF1ADF}">
          <x14:formula1>
            <xm:f>Variables!$G$3:$G$6</xm:f>
          </x14:formula1>
          <xm:sqref>B3:B4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E6DAB-66E5-3E46-8D25-01D1DA599597}">
  <sheetPr codeName="Sheet16"/>
  <dimension ref="B1:D64"/>
  <sheetViews>
    <sheetView topLeftCell="A2" zoomScale="85" zoomScaleNormal="85" workbookViewId="0">
      <selection activeCell="C18" sqref="C18"/>
    </sheetView>
  </sheetViews>
  <sheetFormatPr baseColWidth="10" defaultColWidth="10.83203125" defaultRowHeight="16" x14ac:dyDescent="0.2"/>
  <cols>
    <col min="1" max="1" width="3" style="1" customWidth="1"/>
    <col min="2" max="2" width="39.5" style="1" customWidth="1"/>
    <col min="3" max="3" width="40.1640625" style="1" customWidth="1"/>
    <col min="4" max="4" width="1.6640625" style="1" customWidth="1"/>
    <col min="5" max="16384" width="10.83203125" style="1"/>
  </cols>
  <sheetData>
    <row r="1" spans="2:4" ht="45" customHeight="1" x14ac:dyDescent="0.2">
      <c r="B1" s="437"/>
      <c r="C1" s="437"/>
      <c r="D1" s="56"/>
    </row>
    <row r="2" spans="2:4" ht="132" customHeight="1" x14ac:dyDescent="0.2">
      <c r="B2" s="56"/>
      <c r="C2" s="73"/>
      <c r="D2" s="73"/>
    </row>
    <row r="3" spans="2:4" ht="16" customHeight="1" x14ac:dyDescent="0.2">
      <c r="B3" s="470" t="str">
        <f>_xlfn.CONCAT("COTIZACIÓN ",'Lista de Baterias (custom)'!B1,"*")</f>
        <v>COTIZACIÓN FIRME*</v>
      </c>
      <c r="C3" s="470"/>
      <c r="D3" s="73"/>
    </row>
    <row r="4" spans="2:4" ht="18" customHeight="1" x14ac:dyDescent="0.2">
      <c r="B4" s="56"/>
      <c r="C4" s="161">
        <f ca="1">TODAY()</f>
        <v>46045</v>
      </c>
      <c r="D4" s="161"/>
    </row>
    <row r="5" spans="2:4" ht="20" customHeight="1" x14ac:dyDescent="0.2">
      <c r="B5" s="1" t="str">
        <f>_xlfn.CONCAT("Saludos, ",TEXT('Panel de Informacion'!C5,""),"!","")</f>
        <v>Saludos, Pedro Perez!</v>
      </c>
    </row>
    <row r="6" spans="2:4" ht="11" customHeight="1" x14ac:dyDescent="0.2"/>
    <row r="7" spans="2:4" ht="47" customHeight="1" x14ac:dyDescent="0.2">
      <c r="B7" s="442" t="str">
        <f>_xlfn.CONCAT("A continuación te compartimos la cotización para un sistema de almacenamiento (baterías) que cubre las necesidades de tu negocio:  ",TEXT('Panel de Informacion'!C6,""),".  Este sistema es opcional, y adicional al sistema solar que te hemos cotizado por separado.",REPT(CHAR(10),2))</f>
        <v xml:space="preserve">A continuación te compartimos la cotización para un sistema de almacenamiento (baterías) que cubre las necesidades de tu negocio:  Colmado San Juan.  Este sistema es opcional, y adicional al sistema solar que te hemos cotizado por separado.
</v>
      </c>
      <c r="C7" s="442"/>
      <c r="D7" s="61"/>
    </row>
    <row r="8" spans="2:4" ht="9" customHeight="1" x14ac:dyDescent="0.2">
      <c r="B8" s="171"/>
      <c r="C8" s="61"/>
      <c r="D8" s="61"/>
    </row>
    <row r="9" spans="2:4" ht="36" customHeight="1" x14ac:dyDescent="0.2">
      <c r="B9" s="469" t="s">
        <v>429</v>
      </c>
      <c r="C9" s="469"/>
      <c r="D9" s="170"/>
    </row>
    <row r="10" spans="2:4" ht="18" customHeight="1" x14ac:dyDescent="0.2">
      <c r="B10" s="74" t="s">
        <v>357</v>
      </c>
      <c r="C10" s="274">
        <f>'Lista de Baterias (custom)'!B6</f>
        <v>0</v>
      </c>
      <c r="D10" s="165"/>
    </row>
    <row r="11" spans="2:4" ht="18" customHeight="1" x14ac:dyDescent="0.2">
      <c r="B11" s="74" t="s">
        <v>430</v>
      </c>
      <c r="C11" s="275">
        <f>'Lista de Baterias (custom)'!B5</f>
        <v>0</v>
      </c>
      <c r="D11" s="175"/>
    </row>
    <row r="12" spans="2:4" ht="18" customHeight="1" x14ac:dyDescent="0.2">
      <c r="B12" s="74" t="s">
        <v>403</v>
      </c>
      <c r="C12" s="274">
        <f>'Lista de Baterias (custom)'!B7</f>
        <v>0</v>
      </c>
      <c r="D12" s="165"/>
    </row>
    <row r="13" spans="2:4" ht="18" customHeight="1" x14ac:dyDescent="0.2">
      <c r="B13" s="74" t="s">
        <v>431</v>
      </c>
      <c r="C13" s="274">
        <f>'Lista de Baterias (custom)'!B8</f>
        <v>0</v>
      </c>
      <c r="D13" s="165"/>
    </row>
    <row r="14" spans="2:4" ht="20" customHeight="1" x14ac:dyDescent="0.2">
      <c r="B14" s="74" t="s">
        <v>407</v>
      </c>
      <c r="C14" s="273">
        <f>'Lista de Baterias (custom)'!B9</f>
        <v>0</v>
      </c>
      <c r="D14" s="61"/>
    </row>
    <row r="15" spans="2:4" ht="15" customHeight="1" x14ac:dyDescent="0.2">
      <c r="B15" s="443"/>
      <c r="C15" s="443"/>
      <c r="D15" s="51"/>
    </row>
    <row r="16" spans="2:4" ht="35" customHeight="1" x14ac:dyDescent="0.2">
      <c r="B16" s="469" t="s">
        <v>432</v>
      </c>
      <c r="C16" s="469"/>
      <c r="D16" s="170"/>
    </row>
    <row r="17" spans="2:4" ht="17" customHeight="1" x14ac:dyDescent="0.2">
      <c r="B17" s="282" t="s">
        <v>433</v>
      </c>
      <c r="C17" s="281"/>
      <c r="D17" s="166"/>
    </row>
    <row r="18" spans="2:4" ht="17" customHeight="1" x14ac:dyDescent="0.2">
      <c r="B18" s="271" t="str">
        <f>IF('Lista de Baterias (custom)'!A15="","",'Lista de Baterias (custom)'!A15)</f>
        <v/>
      </c>
      <c r="C18" s="272">
        <f>'Lista de Baterias (custom)'!B15*(1+Equip_markup)</f>
        <v>0</v>
      </c>
      <c r="D18" s="166"/>
    </row>
    <row r="19" spans="2:4" ht="17" customHeight="1" x14ac:dyDescent="0.2">
      <c r="B19" s="271" t="str">
        <f>IF('Lista de Baterias (custom)'!A16="","",'Lista de Baterias (custom)'!A16)</f>
        <v/>
      </c>
      <c r="C19" s="272" t="str">
        <f>IF('Lista de Baterias (custom)'!B16=0,"",'Lista de Baterias (custom)'!B16*(1+Equip_markup))</f>
        <v/>
      </c>
      <c r="D19" s="166"/>
    </row>
    <row r="20" spans="2:4" ht="17" customHeight="1" x14ac:dyDescent="0.2">
      <c r="B20" s="271" t="s">
        <v>434</v>
      </c>
      <c r="C20" s="272">
        <f>SUM(C18:C19)</f>
        <v>0</v>
      </c>
      <c r="D20" s="166"/>
    </row>
    <row r="21" spans="2:4" ht="17" x14ac:dyDescent="0.2">
      <c r="B21" s="282" t="s">
        <v>435</v>
      </c>
      <c r="C21" s="283"/>
      <c r="D21" s="166"/>
    </row>
    <row r="22" spans="2:4" ht="17" x14ac:dyDescent="0.2">
      <c r="B22" s="272" t="str">
        <f>IF('Lista de Baterias (custom)'!A26="","",'Lista de Baterias (custom)'!A26)</f>
        <v/>
      </c>
      <c r="C22" s="284"/>
      <c r="D22" s="166"/>
    </row>
    <row r="23" spans="2:4" ht="17" x14ac:dyDescent="0.2">
      <c r="B23" s="272" t="str">
        <f>IF('Lista de Baterias (custom)'!A21="","",'Lista de Baterias (custom)'!A21)</f>
        <v/>
      </c>
      <c r="C23" s="284"/>
      <c r="D23" s="166"/>
    </row>
    <row r="24" spans="2:4" ht="17" x14ac:dyDescent="0.2">
      <c r="B24" s="271" t="s">
        <v>436</v>
      </c>
      <c r="C24" s="272">
        <f>SUM('Lista de Baterias (custom)'!B29+'Lista de Baterias (custom)'!B24)*(1+service_markup)</f>
        <v>0</v>
      </c>
      <c r="D24" s="166"/>
    </row>
    <row r="25" spans="2:4" ht="20" customHeight="1" x14ac:dyDescent="0.2">
      <c r="B25" s="282" t="str">
        <f>_xlfn.CONCAT("Mantenimiento (pre-pagado por ",'Lista de Baterias (custom)'!B31," años)")</f>
        <v>Mantenimiento (pre-pagado por  años)</v>
      </c>
      <c r="C25" s="283"/>
      <c r="D25" s="167"/>
    </row>
    <row r="26" spans="2:4" ht="20" customHeight="1" thickBot="1" x14ac:dyDescent="0.25">
      <c r="B26" s="271" t="str">
        <f>IF('Lista de Baterias (custom)'!A33="","",_xlfn.CONCAT('Lista de Baterias (custom)'!A33,"**"))</f>
        <v>Costo Pre-pagado**</v>
      </c>
      <c r="C26" s="280">
        <f>(maint_markup+1)*'Lista de Baterias (custom)'!B33</f>
        <v>0</v>
      </c>
      <c r="D26" s="167"/>
    </row>
    <row r="27" spans="2:4" ht="20" customHeight="1" thickBot="1" x14ac:dyDescent="0.25">
      <c r="B27" s="271" t="s">
        <v>437</v>
      </c>
      <c r="C27" s="298">
        <f>SUM(C26)</f>
        <v>0</v>
      </c>
      <c r="D27" s="167"/>
    </row>
    <row r="28" spans="2:4" ht="20" customHeight="1" thickTop="1" x14ac:dyDescent="0.2">
      <c r="B28" s="299" t="s">
        <v>325</v>
      </c>
      <c r="C28" s="300">
        <f>SUM(C24,C26,C20)</f>
        <v>0</v>
      </c>
      <c r="D28" s="167"/>
    </row>
    <row r="29" spans="2:4" ht="19" customHeight="1" x14ac:dyDescent="0.2">
      <c r="B29" s="177" t="s">
        <v>438</v>
      </c>
      <c r="C29" s="276">
        <f>'Lista de Baterias (custom)'!B35</f>
        <v>0</v>
      </c>
      <c r="D29" s="166"/>
    </row>
    <row r="30" spans="2:4" ht="20" customHeight="1" x14ac:dyDescent="0.2">
      <c r="B30" s="279"/>
      <c r="C30" s="285" t="s">
        <v>353</v>
      </c>
      <c r="D30" s="167"/>
    </row>
    <row r="31" spans="2:4" ht="29" customHeight="1" x14ac:dyDescent="0.2">
      <c r="B31" s="469" t="s">
        <v>439</v>
      </c>
      <c r="C31" s="469"/>
    </row>
    <row r="32" spans="2:4" ht="17" customHeight="1" x14ac:dyDescent="0.2">
      <c r="B32" s="473" t="str">
        <f>_xlfn.CONCAT("El suplidor estima entre ",'Lista de Baterias (custom)'!B11," y ",'Lista de Baterias (custom)'!B12," semanas.")</f>
        <v>El suplidor estima entre  y  semanas.</v>
      </c>
      <c r="C32" s="472"/>
    </row>
    <row r="34" spans="2:4" ht="33" customHeight="1" x14ac:dyDescent="0.2">
      <c r="B34" s="469" t="s">
        <v>381</v>
      </c>
      <c r="C34" s="469"/>
    </row>
    <row r="35" spans="2:4" ht="32" customHeight="1" x14ac:dyDescent="0.2">
      <c r="B35" s="177" t="s">
        <v>440</v>
      </c>
      <c r="C35" s="177" t="str">
        <f>VLOOKUP(Entidad_Financiera,Variables!$A$25:$L$29,9,0)</f>
        <v>11 años, mano de obra, cubierta por Windmar Home</v>
      </c>
    </row>
    <row r="36" spans="2:4" ht="36" customHeight="1" x14ac:dyDescent="0.2">
      <c r="B36" s="177" t="s">
        <v>129</v>
      </c>
      <c r="C36" s="177" t="str">
        <f>VLOOKUP(Entidad_Financiera,Variables!$A$25:$L$29,10,0)</f>
        <v>11 - 25 años, cubierta por fabricante (ver cotización)</v>
      </c>
    </row>
    <row r="37" spans="2:4" ht="37" customHeight="1" x14ac:dyDescent="0.2">
      <c r="B37" s="177" t="s">
        <v>131</v>
      </c>
      <c r="C37" s="177" t="str">
        <f>VLOOKUP(Entidad_Financiera,Variables!$A$25:$L$29,12,0)</f>
        <v>Por cuenta del cliente</v>
      </c>
    </row>
    <row r="38" spans="2:4" x14ac:dyDescent="0.2">
      <c r="C38" s="173"/>
    </row>
    <row r="39" spans="2:4" x14ac:dyDescent="0.2">
      <c r="B39" s="438" t="s">
        <v>441</v>
      </c>
      <c r="C39" s="438"/>
    </row>
    <row r="40" spans="2:4" ht="114" customHeight="1" x14ac:dyDescent="0.2">
      <c r="B40" s="471" t="str">
        <f>IF('Lista de Baterias (custom)'!B1="PRESUPUESTARIA",_xlfn.CONCAT("(*) La presente cotización representa el mejor estimado de Windmar sobre el costo de los productos o servicios del manufacturero.  Una cotización firme podría demorar 2 a 4 semanas adicionales.",CHAR(10)),_xlfn.CONCAT("(*) Los precios de los productos o servicios en esta cotización han sido confirmados con el manufacturero.",CHAR(10)))&amp;"(**) Es más económico para el cliente pagar el mantenimiento del equipo por adelantado."</f>
        <v>(*) Los precios de los productos o servicios en esta cotización han sido confirmados con el manufacturero.
(**) Es más económico para el cliente pagar el mantenimiento del equipo por adelantado.</v>
      </c>
      <c r="C40" s="472"/>
      <c r="D40" s="17"/>
    </row>
    <row r="45" spans="2:4" x14ac:dyDescent="0.2">
      <c r="C45" s="173"/>
    </row>
    <row r="64" spans="3:3" x14ac:dyDescent="0.2">
      <c r="C64" s="277" t="s">
        <v>378</v>
      </c>
    </row>
  </sheetData>
  <sheetProtection sheet="1" objects="1" scenarios="1" selectLockedCells="1" selectUnlockedCells="1"/>
  <mergeCells count="11">
    <mergeCell ref="B39:C39"/>
    <mergeCell ref="B40:C40"/>
    <mergeCell ref="B31:C31"/>
    <mergeCell ref="B32:C32"/>
    <mergeCell ref="B34:C34"/>
    <mergeCell ref="B16:C16"/>
    <mergeCell ref="B1:C1"/>
    <mergeCell ref="B7:C7"/>
    <mergeCell ref="B9:C9"/>
    <mergeCell ref="B15:C15"/>
    <mergeCell ref="B3:C3"/>
  </mergeCells>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2904-0CA0-5C42-8F9C-69F0793ECBC7}">
  <sheetPr codeName="Sheet12"/>
  <dimension ref="A1:I12"/>
  <sheetViews>
    <sheetView workbookViewId="0">
      <selection activeCell="D2" sqref="D2"/>
    </sheetView>
  </sheetViews>
  <sheetFormatPr baseColWidth="10" defaultColWidth="24.33203125" defaultRowHeight="16" x14ac:dyDescent="0.2"/>
  <cols>
    <col min="1" max="1" width="35.6640625" customWidth="1"/>
    <col min="2" max="2" width="20" customWidth="1"/>
    <col min="3" max="3" width="21" customWidth="1"/>
    <col min="4" max="4" width="21.33203125" customWidth="1"/>
    <col min="5" max="5" width="19.83203125" customWidth="1"/>
    <col min="6" max="6" width="16.5" customWidth="1"/>
    <col min="7" max="7" width="26.6640625" customWidth="1"/>
  </cols>
  <sheetData>
    <row r="1" spans="1:9" ht="26" customHeight="1" x14ac:dyDescent="0.2">
      <c r="A1" s="320" t="s">
        <v>442</v>
      </c>
      <c r="B1" s="321" t="s">
        <v>443</v>
      </c>
      <c r="C1" s="320" t="s">
        <v>444</v>
      </c>
      <c r="D1" s="320" t="s">
        <v>445</v>
      </c>
      <c r="E1" s="394" t="s">
        <v>446</v>
      </c>
      <c r="F1" s="394" t="s">
        <v>447</v>
      </c>
      <c r="G1" s="394" t="s">
        <v>448</v>
      </c>
    </row>
    <row r="2" spans="1:9" x14ac:dyDescent="0.2">
      <c r="A2" s="307">
        <f>'Lista de Sistemas'!C61</f>
        <v>26</v>
      </c>
      <c r="B2" s="322" t="str">
        <f>'Tabla de Precios'!D13</f>
        <v>60K-3P-480V</v>
      </c>
      <c r="C2" s="345">
        <f>IFERROR(VLOOKUP(B2,'Tabla de Precios'!$D$13:$H$17,4,FALSE),"ERROR")</f>
        <v>60</v>
      </c>
      <c r="D2" s="341" t="str">
        <f>IFERROR(VLOOKUP(B2,'Tabla de Precios'!$D$13:$H$17,5,FALSE),"ERROR")</f>
        <v>L3-HVR-60KWH</v>
      </c>
      <c r="E2" s="341">
        <f>IFERROR(VLOOKUP(B2,'Tabla de Precios'!$D$13:$H$17,4,FALSE),"ERROR")</f>
        <v>60</v>
      </c>
      <c r="F2" s="395">
        <f>ROUNDUP((A2/10)/C2,0)</f>
        <v>1</v>
      </c>
      <c r="G2" s="341">
        <f>F2*E2</f>
        <v>60</v>
      </c>
    </row>
    <row r="3" spans="1:9" x14ac:dyDescent="0.2">
      <c r="A3" s="313"/>
      <c r="B3" s="9"/>
      <c r="C3" s="314"/>
      <c r="D3" s="315"/>
      <c r="E3" s="316"/>
      <c r="F3" s="317"/>
    </row>
    <row r="4" spans="1:9" x14ac:dyDescent="0.2">
      <c r="A4" s="308" t="s">
        <v>449</v>
      </c>
      <c r="B4" s="318" t="s">
        <v>450</v>
      </c>
      <c r="C4" s="308" t="s">
        <v>451</v>
      </c>
    </row>
    <row r="5" spans="1:9" x14ac:dyDescent="0.2">
      <c r="A5" s="319" t="s">
        <v>417</v>
      </c>
      <c r="B5" s="309">
        <f>IFERROR(F2*SUM(VLOOKUP($B$2,'Tabla de Precios'!$D$13:$N$17,3,FALSE),VLOOKUP($B$2,'Tabla de Precios'!$D$13:$N$17,6,FALSE)),"ERROR")</f>
        <v>35600</v>
      </c>
      <c r="C5" s="310">
        <f t="shared" ref="C5:C12" si="0">IFERROR(B5*(1+Equip_markup),"ERROR")</f>
        <v>48060</v>
      </c>
    </row>
    <row r="6" spans="1:9" x14ac:dyDescent="0.2">
      <c r="A6" s="319" t="s">
        <v>452</v>
      </c>
      <c r="B6" s="309">
        <f>IFERROR(VLOOKUP($B$2,'Tabla de Precios'!$D$13:$N$17,9,FALSE),"ERROR")</f>
        <v>0</v>
      </c>
      <c r="C6" s="310">
        <f t="shared" si="0"/>
        <v>0</v>
      </c>
    </row>
    <row r="7" spans="1:9" x14ac:dyDescent="0.2">
      <c r="A7" s="319" t="s">
        <v>453</v>
      </c>
      <c r="B7" s="309">
        <f>IFERROR(VLOOKUP($B$2,'Tabla de Precios'!$D$13:$N$17,9,FALSE),"ERROR")</f>
        <v>0</v>
      </c>
      <c r="C7" s="310">
        <f t="shared" si="0"/>
        <v>0</v>
      </c>
    </row>
    <row r="8" spans="1:9" x14ac:dyDescent="0.2">
      <c r="A8" s="319" t="s">
        <v>454</v>
      </c>
      <c r="B8" s="309">
        <f>IFERROR(VLOOKUP($B$2,'Tabla de Precios'!$D$13:$N$17,10,FALSE),"ERROR")</f>
        <v>0</v>
      </c>
      <c r="C8" s="310">
        <f t="shared" si="0"/>
        <v>0</v>
      </c>
    </row>
    <row r="9" spans="1:9" x14ac:dyDescent="0.2">
      <c r="A9" s="319" t="s">
        <v>455</v>
      </c>
      <c r="B9" s="309">
        <f>IFERROR(VLOOKUP($B$2,'Tabla de Precios'!$D$13:$N$17,10,FALSE),"ERROR")</f>
        <v>0</v>
      </c>
      <c r="C9" s="310">
        <f t="shared" si="0"/>
        <v>0</v>
      </c>
      <c r="I9" s="18"/>
    </row>
    <row r="10" spans="1:9" x14ac:dyDescent="0.2">
      <c r="A10" s="319" t="s">
        <v>414</v>
      </c>
      <c r="B10" s="309">
        <f>IFERROR(F2*VLOOKUP($B$2,'Tabla de Precios'!$D$13:$N$17,7,FALSE),"ERROR")</f>
        <v>1000</v>
      </c>
      <c r="C10" s="310">
        <f t="shared" si="0"/>
        <v>1350</v>
      </c>
      <c r="I10" s="18"/>
    </row>
    <row r="11" spans="1:9" ht="17" thickBot="1" x14ac:dyDescent="0.25">
      <c r="A11" s="319" t="s">
        <v>456</v>
      </c>
      <c r="B11" s="325">
        <f>IFERROR(F2*VLOOKUP($B$2,'Tabla de Precios'!$D$13:$N$17,8,FALSE),"ERROR")</f>
        <v>1000</v>
      </c>
      <c r="C11" s="326">
        <f t="shared" si="0"/>
        <v>1350</v>
      </c>
      <c r="I11" s="18"/>
    </row>
    <row r="12" spans="1:9" ht="17" thickTop="1" x14ac:dyDescent="0.2">
      <c r="A12" s="319" t="s">
        <v>325</v>
      </c>
      <c r="B12" s="323">
        <f>SUM(B5:B11)</f>
        <v>37600</v>
      </c>
      <c r="C12" s="324">
        <f t="shared" si="0"/>
        <v>50760</v>
      </c>
      <c r="I12" s="18"/>
    </row>
  </sheetData>
  <sheetProtection selectLockedCells="1" selectUnlockedCells="1"/>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800ED-C3E1-8D45-A315-FBD538B54F02}">
  <sheetPr codeName="Sheet5"/>
  <dimension ref="A1:B16"/>
  <sheetViews>
    <sheetView workbookViewId="0">
      <selection activeCell="B4" sqref="B4"/>
    </sheetView>
  </sheetViews>
  <sheetFormatPr baseColWidth="10" defaultColWidth="11" defaultRowHeight="16" x14ac:dyDescent="0.2"/>
  <cols>
    <col min="1" max="1" width="19.33203125" customWidth="1"/>
    <col min="2" max="2" width="90.1640625" customWidth="1"/>
  </cols>
  <sheetData>
    <row r="1" spans="1:2" x14ac:dyDescent="0.2">
      <c r="A1" s="474" t="s">
        <v>457</v>
      </c>
      <c r="B1" s="474"/>
    </row>
    <row r="2" spans="1:2" x14ac:dyDescent="0.2">
      <c r="A2" t="s">
        <v>458</v>
      </c>
      <c r="B2" t="s">
        <v>459</v>
      </c>
    </row>
    <row r="3" spans="1:2" x14ac:dyDescent="0.2">
      <c r="A3" s="19" t="s">
        <v>460</v>
      </c>
      <c r="B3" t="s">
        <v>461</v>
      </c>
    </row>
    <row r="4" spans="1:2" x14ac:dyDescent="0.2">
      <c r="A4" s="19" t="s">
        <v>462</v>
      </c>
      <c r="B4" t="s">
        <v>463</v>
      </c>
    </row>
    <row r="5" spans="1:2" x14ac:dyDescent="0.2">
      <c r="A5" t="s">
        <v>464</v>
      </c>
      <c r="B5" s="19" t="s">
        <v>465</v>
      </c>
    </row>
    <row r="6" spans="1:2" x14ac:dyDescent="0.2">
      <c r="A6" t="s">
        <v>466</v>
      </c>
      <c r="B6" t="s">
        <v>467</v>
      </c>
    </row>
    <row r="7" spans="1:2" x14ac:dyDescent="0.2">
      <c r="A7" t="s">
        <v>468</v>
      </c>
      <c r="B7" t="s">
        <v>469</v>
      </c>
    </row>
    <row r="8" spans="1:2" x14ac:dyDescent="0.2">
      <c r="A8" t="s">
        <v>470</v>
      </c>
      <c r="B8" t="s">
        <v>471</v>
      </c>
    </row>
    <row r="9" spans="1:2" x14ac:dyDescent="0.2">
      <c r="A9" t="s">
        <v>472</v>
      </c>
      <c r="B9" t="s">
        <v>473</v>
      </c>
    </row>
    <row r="10" spans="1:2" x14ac:dyDescent="0.2">
      <c r="A10" t="s">
        <v>474</v>
      </c>
      <c r="B10" t="s">
        <v>475</v>
      </c>
    </row>
    <row r="11" spans="1:2" x14ac:dyDescent="0.2">
      <c r="A11" t="s">
        <v>476</v>
      </c>
      <c r="B11" t="s">
        <v>477</v>
      </c>
    </row>
    <row r="12" spans="1:2" x14ac:dyDescent="0.2">
      <c r="A12" t="s">
        <v>478</v>
      </c>
      <c r="B12" t="s">
        <v>479</v>
      </c>
    </row>
    <row r="13" spans="1:2" x14ac:dyDescent="0.2">
      <c r="A13" t="s">
        <v>480</v>
      </c>
      <c r="B13" t="s">
        <v>481</v>
      </c>
    </row>
    <row r="14" spans="1:2" ht="155" customHeight="1" x14ac:dyDescent="0.2">
      <c r="A14" s="62" t="s">
        <v>482</v>
      </c>
      <c r="B14" s="63" t="s">
        <v>483</v>
      </c>
    </row>
    <row r="15" spans="1:2" x14ac:dyDescent="0.2">
      <c r="A15" t="s">
        <v>484</v>
      </c>
      <c r="B15" t="s">
        <v>485</v>
      </c>
    </row>
    <row r="16" spans="1:2" x14ac:dyDescent="0.2">
      <c r="A16" t="s">
        <v>486</v>
      </c>
      <c r="B16" t="s">
        <v>487</v>
      </c>
    </row>
  </sheetData>
  <sheetProtection sheet="1" objects="1" scenarios="1" selectLockedCells="1" selectUnlockedCells="1"/>
  <mergeCells count="1">
    <mergeCell ref="A1:B1"/>
  </mergeCell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93FA5-A5B7-574B-A6B2-85824E60C143}">
  <sheetPr codeName="Sheet8"/>
  <dimension ref="B1:AP56"/>
  <sheetViews>
    <sheetView workbookViewId="0">
      <selection activeCell="K13" sqref="K13"/>
    </sheetView>
  </sheetViews>
  <sheetFormatPr baseColWidth="10" defaultColWidth="11" defaultRowHeight="16" x14ac:dyDescent="0.2"/>
  <cols>
    <col min="2" max="2" width="24.83203125" customWidth="1"/>
    <col min="3" max="3" width="19.1640625" customWidth="1"/>
    <col min="4" max="4" width="17.5" style="7" customWidth="1"/>
    <col min="5" max="5" width="18.5" style="7" customWidth="1"/>
    <col min="6" max="6" width="19.83203125" style="7" customWidth="1"/>
    <col min="7" max="7" width="14" style="7" bestFit="1" customWidth="1"/>
    <col min="8" max="10" width="11.6640625" bestFit="1" customWidth="1"/>
    <col min="11" max="12" width="11.6640625" customWidth="1"/>
    <col min="13" max="13" width="19.1640625" customWidth="1"/>
    <col min="14" max="14" width="15" customWidth="1"/>
    <col min="15" max="32" width="11.6640625" customWidth="1"/>
    <col min="34" max="34" width="2.83203125" customWidth="1"/>
    <col min="36" max="36" width="16.83203125" style="20" customWidth="1"/>
    <col min="41" max="41" width="4.33203125" customWidth="1"/>
    <col min="42" max="42" width="3.33203125" customWidth="1"/>
  </cols>
  <sheetData>
    <row r="1" spans="2:42" x14ac:dyDescent="0.2">
      <c r="B1" s="301" t="s">
        <v>488</v>
      </c>
    </row>
    <row r="2" spans="2:42" ht="16" customHeight="1" x14ac:dyDescent="0.2">
      <c r="B2" s="476" t="s">
        <v>312</v>
      </c>
      <c r="C2" s="477"/>
      <c r="D2" s="26" t="s">
        <v>489</v>
      </c>
      <c r="E2" s="476" t="s">
        <v>490</v>
      </c>
      <c r="F2" s="477"/>
      <c r="G2" s="421" t="s">
        <v>491</v>
      </c>
      <c r="H2" s="421"/>
      <c r="I2" s="421"/>
      <c r="J2" s="421"/>
      <c r="K2" s="77"/>
      <c r="L2" s="77"/>
      <c r="M2" s="77"/>
      <c r="N2" s="77"/>
      <c r="O2" s="77"/>
      <c r="P2" s="77"/>
      <c r="Q2" s="77"/>
      <c r="R2" s="77"/>
      <c r="S2" s="77"/>
      <c r="T2" s="77"/>
      <c r="U2" s="77"/>
      <c r="V2" s="77"/>
      <c r="W2" s="77"/>
      <c r="X2" s="77"/>
      <c r="Y2" s="77"/>
      <c r="Z2" s="77"/>
      <c r="AA2" s="77"/>
      <c r="AB2" s="77"/>
      <c r="AC2" s="77"/>
      <c r="AD2" s="77"/>
      <c r="AE2" s="77"/>
      <c r="AF2" s="77"/>
      <c r="AH2" s="28"/>
      <c r="AJ2" s="478" t="s">
        <v>492</v>
      </c>
      <c r="AK2" s="479"/>
      <c r="AL2" s="479"/>
      <c r="AM2" s="479"/>
      <c r="AN2" s="480"/>
      <c r="AP2" s="28"/>
    </row>
    <row r="3" spans="2:42" ht="16" customHeight="1" x14ac:dyDescent="0.2">
      <c r="B3" s="26" t="s">
        <v>493</v>
      </c>
      <c r="C3" s="26" t="s">
        <v>494</v>
      </c>
      <c r="D3" s="26" t="s">
        <v>495</v>
      </c>
      <c r="E3" s="26" t="s">
        <v>496</v>
      </c>
      <c r="F3" s="26" t="s">
        <v>493</v>
      </c>
      <c r="G3" s="27">
        <v>0</v>
      </c>
      <c r="H3" s="27">
        <v>1</v>
      </c>
      <c r="I3" s="27">
        <v>2</v>
      </c>
      <c r="J3" s="27">
        <v>3</v>
      </c>
      <c r="K3" s="78">
        <v>4</v>
      </c>
      <c r="L3" s="78">
        <v>5</v>
      </c>
      <c r="M3" s="78">
        <v>6</v>
      </c>
      <c r="N3" s="78">
        <v>7</v>
      </c>
      <c r="O3" s="78">
        <v>8</v>
      </c>
      <c r="P3" s="78">
        <v>9</v>
      </c>
      <c r="Q3" s="78">
        <v>10</v>
      </c>
      <c r="R3" s="78">
        <v>11</v>
      </c>
      <c r="S3" s="78">
        <v>12</v>
      </c>
      <c r="T3" s="78">
        <v>13</v>
      </c>
      <c r="U3" s="78">
        <v>14</v>
      </c>
      <c r="V3" s="78">
        <v>15</v>
      </c>
      <c r="W3" s="78">
        <v>16</v>
      </c>
      <c r="X3" s="78">
        <v>17</v>
      </c>
      <c r="Y3" s="78">
        <v>18</v>
      </c>
      <c r="Z3" s="78">
        <v>19</v>
      </c>
      <c r="AA3" s="78">
        <v>20</v>
      </c>
      <c r="AB3" s="78">
        <v>21</v>
      </c>
      <c r="AC3" s="78">
        <v>22</v>
      </c>
      <c r="AD3" s="78">
        <v>23</v>
      </c>
      <c r="AE3" s="78">
        <v>24</v>
      </c>
      <c r="AF3" s="78">
        <v>25</v>
      </c>
      <c r="AH3" s="28"/>
      <c r="AJ3" s="481"/>
      <c r="AK3" s="482"/>
      <c r="AL3" s="482"/>
      <c r="AM3" s="482"/>
      <c r="AN3" s="483"/>
      <c r="AP3" s="28"/>
    </row>
    <row r="4" spans="2:42" x14ac:dyDescent="0.2">
      <c r="B4" s="82">
        <v>0</v>
      </c>
      <c r="C4" s="82">
        <v>5</v>
      </c>
      <c r="D4" s="29">
        <v>3.2</v>
      </c>
      <c r="E4" s="29">
        <v>3.25</v>
      </c>
      <c r="F4" s="29">
        <v>3.05</v>
      </c>
      <c r="G4" s="81"/>
      <c r="H4" s="81"/>
      <c r="I4" s="81"/>
      <c r="J4" s="81"/>
      <c r="K4" s="81"/>
      <c r="L4" s="81"/>
      <c r="M4" s="81"/>
      <c r="N4" s="81"/>
      <c r="O4" s="81"/>
      <c r="P4" s="81"/>
      <c r="Q4" s="81"/>
      <c r="R4" s="81"/>
      <c r="S4" s="81"/>
      <c r="T4" s="81"/>
      <c r="U4" s="81"/>
      <c r="V4" s="81"/>
      <c r="W4" s="81"/>
      <c r="X4" s="81"/>
      <c r="Y4" s="81"/>
      <c r="Z4" s="81"/>
      <c r="AA4" s="81"/>
      <c r="AB4" s="81"/>
      <c r="AC4" s="81"/>
      <c r="AD4" s="81"/>
      <c r="AE4" s="81"/>
      <c r="AF4" s="81"/>
      <c r="AH4" s="28"/>
      <c r="AP4" s="28"/>
    </row>
    <row r="5" spans="2:42" x14ac:dyDescent="0.2">
      <c r="B5" s="82">
        <v>5</v>
      </c>
      <c r="C5" s="82">
        <v>35</v>
      </c>
      <c r="D5" s="29">
        <v>2.9</v>
      </c>
      <c r="E5" s="29">
        <v>3.05</v>
      </c>
      <c r="F5" s="29">
        <v>2.75</v>
      </c>
      <c r="G5" s="80">
        <v>0.251</v>
      </c>
      <c r="H5" s="80">
        <v>0.26500000000000001</v>
      </c>
      <c r="I5" s="80">
        <v>0.29099999999999998</v>
      </c>
      <c r="J5" s="80">
        <v>0.316</v>
      </c>
      <c r="K5" s="80">
        <v>0.34200000000000003</v>
      </c>
      <c r="L5" s="81">
        <v>0.34200000000000003</v>
      </c>
      <c r="M5" s="81">
        <v>0.34200000000000003</v>
      </c>
      <c r="N5" s="81">
        <v>0.34200000000000003</v>
      </c>
      <c r="O5" s="81">
        <v>0.34200000000000003</v>
      </c>
      <c r="P5" s="81">
        <v>0.34200000000000003</v>
      </c>
      <c r="Q5" s="81">
        <v>0.34200000000000003</v>
      </c>
      <c r="R5" s="81">
        <v>0.34200000000000003</v>
      </c>
      <c r="S5" s="81">
        <v>0.34200000000000003</v>
      </c>
      <c r="T5" s="81">
        <v>0.34200000000000003</v>
      </c>
      <c r="U5" s="81">
        <v>0.34200000000000003</v>
      </c>
      <c r="V5" s="81">
        <v>0.34200000000000003</v>
      </c>
      <c r="W5" s="81">
        <v>0.34200000000000003</v>
      </c>
      <c r="X5" s="81">
        <v>0.34200000000000003</v>
      </c>
      <c r="Y5" s="81">
        <v>0.34200000000000003</v>
      </c>
      <c r="Z5" s="81">
        <v>0.34200000000000003</v>
      </c>
      <c r="AA5" s="81">
        <v>0.34200000000000003</v>
      </c>
      <c r="AB5" s="81">
        <v>0.34200000000000003</v>
      </c>
      <c r="AC5" s="81">
        <v>0.34200000000000003</v>
      </c>
      <c r="AD5" s="81">
        <v>0.34200000000000003</v>
      </c>
      <c r="AE5" s="81">
        <v>0.34200000000000003</v>
      </c>
      <c r="AF5" s="81">
        <v>0.34200000000000003</v>
      </c>
      <c r="AH5" s="28"/>
      <c r="AJ5" s="21"/>
      <c r="AK5" s="475" t="s">
        <v>497</v>
      </c>
      <c r="AL5" s="475"/>
      <c r="AM5" s="475"/>
      <c r="AN5" s="475"/>
      <c r="AO5" s="7"/>
      <c r="AP5" s="28"/>
    </row>
    <row r="6" spans="2:42" x14ac:dyDescent="0.2">
      <c r="B6" s="82">
        <v>35</v>
      </c>
      <c r="C6" s="82">
        <v>50</v>
      </c>
      <c r="D6" s="29">
        <v>2.6</v>
      </c>
      <c r="E6" s="29">
        <v>2.75</v>
      </c>
      <c r="F6" s="29">
        <f>AVERAGE(D6:D7)</f>
        <v>2.5499999999999998</v>
      </c>
      <c r="G6" s="80">
        <v>0.224</v>
      </c>
      <c r="H6" s="80">
        <v>0.23200000000000001</v>
      </c>
      <c r="I6" s="80">
        <v>0.249</v>
      </c>
      <c r="J6" s="80">
        <v>0.26800000000000002</v>
      </c>
      <c r="K6" s="80">
        <v>0.28599999999999998</v>
      </c>
      <c r="L6" s="81">
        <v>0.28599999999999998</v>
      </c>
      <c r="M6" s="81">
        <v>0.28599999999999998</v>
      </c>
      <c r="N6" s="81">
        <v>0.28599999999999998</v>
      </c>
      <c r="O6" s="81">
        <v>0.28599999999999998</v>
      </c>
      <c r="P6" s="81">
        <v>0.28599999999999998</v>
      </c>
      <c r="Q6" s="81">
        <v>0.28599999999999998</v>
      </c>
      <c r="R6" s="81">
        <v>0.28599999999999998</v>
      </c>
      <c r="S6" s="81">
        <v>0.28599999999999998</v>
      </c>
      <c r="T6" s="81">
        <v>0.28599999999999998</v>
      </c>
      <c r="U6" s="81">
        <v>0.28599999999999998</v>
      </c>
      <c r="V6" s="81">
        <v>0.28599999999999998</v>
      </c>
      <c r="W6" s="81">
        <v>0.28599999999999998</v>
      </c>
      <c r="X6" s="81">
        <v>0.28599999999999998</v>
      </c>
      <c r="Y6" s="81">
        <v>0.28599999999999998</v>
      </c>
      <c r="Z6" s="81">
        <v>0.28599999999999998</v>
      </c>
      <c r="AA6" s="81">
        <v>0.28599999999999998</v>
      </c>
      <c r="AB6" s="81">
        <v>0.28599999999999998</v>
      </c>
      <c r="AC6" s="81">
        <v>0.28599999999999998</v>
      </c>
      <c r="AD6" s="81">
        <v>0.28599999999999998</v>
      </c>
      <c r="AE6" s="81">
        <v>0.28599999999999998</v>
      </c>
      <c r="AF6" s="81">
        <v>0.28599999999999998</v>
      </c>
      <c r="AH6" s="28"/>
      <c r="AJ6" s="21"/>
      <c r="AK6" s="22">
        <v>2.6</v>
      </c>
      <c r="AL6" s="22">
        <v>2.5</v>
      </c>
      <c r="AM6" s="22">
        <v>2.2999999999999998</v>
      </c>
      <c r="AN6" s="22">
        <v>2.2000000000000002</v>
      </c>
      <c r="AP6" s="28"/>
    </row>
    <row r="7" spans="2:42" x14ac:dyDescent="0.2">
      <c r="B7" s="82">
        <v>50</v>
      </c>
      <c r="C7" s="82">
        <v>100</v>
      </c>
      <c r="D7" s="29">
        <v>2.5</v>
      </c>
      <c r="E7" s="30">
        <f>AVERAGE(D6:D7)</f>
        <v>2.5499999999999998</v>
      </c>
      <c r="F7" s="30">
        <f t="shared" ref="F7:F8" si="0">AVERAGE(D7:D8)</f>
        <v>2.4</v>
      </c>
      <c r="G7" s="80">
        <v>0.21199999999999999</v>
      </c>
      <c r="H7" s="80">
        <v>0.21</v>
      </c>
      <c r="I7" s="80">
        <v>0.219</v>
      </c>
      <c r="J7" s="80">
        <v>0.22800000000000001</v>
      </c>
      <c r="K7" s="80">
        <v>0.23699999999999999</v>
      </c>
      <c r="L7" s="81">
        <v>0.23699999999999999</v>
      </c>
      <c r="M7" s="81">
        <v>0.23699999999999999</v>
      </c>
      <c r="N7" s="81">
        <v>0.23699999999999999</v>
      </c>
      <c r="O7" s="81">
        <v>0.23699999999999999</v>
      </c>
      <c r="P7" s="81">
        <v>0.23699999999999999</v>
      </c>
      <c r="Q7" s="81">
        <v>0.23699999999999999</v>
      </c>
      <c r="R7" s="81">
        <v>0.23699999999999999</v>
      </c>
      <c r="S7" s="81">
        <v>0.23699999999999999</v>
      </c>
      <c r="T7" s="81">
        <v>0.23699999999999999</v>
      </c>
      <c r="U7" s="81">
        <v>0.23699999999999999</v>
      </c>
      <c r="V7" s="81">
        <v>0.23699999999999999</v>
      </c>
      <c r="W7" s="81">
        <v>0.23699999999999999</v>
      </c>
      <c r="X7" s="81">
        <v>0.23699999999999999</v>
      </c>
      <c r="Y7" s="81">
        <v>0.23699999999999999</v>
      </c>
      <c r="Z7" s="81">
        <v>0.23699999999999999</v>
      </c>
      <c r="AA7" s="81">
        <v>0.23699999999999999</v>
      </c>
      <c r="AB7" s="81">
        <v>0.23699999999999999</v>
      </c>
      <c r="AC7" s="81">
        <v>0.23699999999999999</v>
      </c>
      <c r="AD7" s="81">
        <v>0.23699999999999999</v>
      </c>
      <c r="AE7" s="81">
        <v>0.23699999999999999</v>
      </c>
      <c r="AF7" s="81">
        <v>0.23699999999999999</v>
      </c>
      <c r="AH7" s="28"/>
      <c r="AJ7" s="23" t="s">
        <v>498</v>
      </c>
      <c r="AK7" s="24"/>
      <c r="AL7" s="24"/>
      <c r="AM7" s="24"/>
      <c r="AN7" s="24"/>
      <c r="AP7" s="28"/>
    </row>
    <row r="8" spans="2:42" x14ac:dyDescent="0.2">
      <c r="B8" s="82">
        <v>100</v>
      </c>
      <c r="C8" s="82">
        <v>500</v>
      </c>
      <c r="D8" s="29">
        <v>2.2999999999999998</v>
      </c>
      <c r="E8" s="30">
        <f t="shared" ref="E8:E9" si="1">AVERAGE(D7:D8)</f>
        <v>2.4</v>
      </c>
      <c r="F8" s="30">
        <f t="shared" si="0"/>
        <v>2.25</v>
      </c>
      <c r="G8" s="80">
        <v>0.188</v>
      </c>
      <c r="H8" s="80">
        <v>0.17899999999999999</v>
      </c>
      <c r="I8" s="80">
        <v>0.18099999999999999</v>
      </c>
      <c r="J8" s="80">
        <v>0.183</v>
      </c>
      <c r="K8" s="80">
        <v>0.184</v>
      </c>
      <c r="L8" s="81">
        <v>0.184</v>
      </c>
      <c r="M8" s="81">
        <v>0.184</v>
      </c>
      <c r="N8" s="81">
        <v>0.184</v>
      </c>
      <c r="O8" s="81">
        <v>0.184</v>
      </c>
      <c r="P8" s="81">
        <v>0.184</v>
      </c>
      <c r="Q8" s="81">
        <v>0.184</v>
      </c>
      <c r="R8" s="81">
        <v>0.184</v>
      </c>
      <c r="S8" s="81">
        <v>0.184</v>
      </c>
      <c r="T8" s="81">
        <v>0.184</v>
      </c>
      <c r="U8" s="81">
        <v>0.184</v>
      </c>
      <c r="V8" s="81">
        <v>0.184</v>
      </c>
      <c r="W8" s="81">
        <v>0.184</v>
      </c>
      <c r="X8" s="81">
        <v>0.184</v>
      </c>
      <c r="Y8" s="81">
        <v>0.184</v>
      </c>
      <c r="Z8" s="81">
        <v>0.184</v>
      </c>
      <c r="AA8" s="81">
        <v>0.184</v>
      </c>
      <c r="AB8" s="81">
        <v>0.184</v>
      </c>
      <c r="AC8" s="81">
        <v>0.184</v>
      </c>
      <c r="AD8" s="81">
        <v>0.184</v>
      </c>
      <c r="AE8" s="81">
        <v>0.184</v>
      </c>
      <c r="AF8" s="81">
        <v>0.184</v>
      </c>
      <c r="AH8" s="28"/>
      <c r="AJ8" s="23" t="s">
        <v>499</v>
      </c>
      <c r="AK8" s="25"/>
      <c r="AL8" s="25">
        <v>0.22900000000000001</v>
      </c>
      <c r="AM8" s="25"/>
      <c r="AN8" s="25"/>
      <c r="AP8" s="28"/>
    </row>
    <row r="9" spans="2:42" x14ac:dyDescent="0.2">
      <c r="B9" s="82">
        <v>500</v>
      </c>
      <c r="C9" s="82">
        <v>1000</v>
      </c>
      <c r="D9" s="29">
        <v>2.2000000000000002</v>
      </c>
      <c r="E9" s="30">
        <f t="shared" si="1"/>
        <v>2.25</v>
      </c>
      <c r="F9" s="30">
        <v>2.15</v>
      </c>
      <c r="G9" s="80">
        <v>0.17799999999999999</v>
      </c>
      <c r="H9" s="80">
        <v>0.16900000000000001</v>
      </c>
      <c r="I9" s="80">
        <v>0.17100000000000001</v>
      </c>
      <c r="J9" s="80">
        <v>0.17199999999999999</v>
      </c>
      <c r="K9" s="80">
        <v>0.17299999999999999</v>
      </c>
      <c r="L9" s="81">
        <v>0.17299999999999999</v>
      </c>
      <c r="M9" s="81">
        <v>0.17299999999999999</v>
      </c>
      <c r="N9" s="81">
        <v>0.17299999999999999</v>
      </c>
      <c r="O9" s="81">
        <v>0.17299999999999999</v>
      </c>
      <c r="P9" s="81">
        <v>0.17299999999999999</v>
      </c>
      <c r="Q9" s="81">
        <v>0.17299999999999999</v>
      </c>
      <c r="R9" s="81">
        <v>0.17299999999999999</v>
      </c>
      <c r="S9" s="81">
        <v>0.17299999999999999</v>
      </c>
      <c r="T9" s="81">
        <v>0.17299999999999999</v>
      </c>
      <c r="U9" s="81">
        <v>0.17299999999999999</v>
      </c>
      <c r="V9" s="81">
        <v>0.17299999999999999</v>
      </c>
      <c r="W9" s="81">
        <v>0.17299999999999999</v>
      </c>
      <c r="X9" s="81">
        <v>0.17299999999999999</v>
      </c>
      <c r="Y9" s="81">
        <v>0.17299999999999999</v>
      </c>
      <c r="Z9" s="81">
        <v>0.17299999999999999</v>
      </c>
      <c r="AA9" s="81">
        <v>0.17299999999999999</v>
      </c>
      <c r="AB9" s="81">
        <v>0.17299999999999999</v>
      </c>
      <c r="AC9" s="81">
        <v>0.17299999999999999</v>
      </c>
      <c r="AD9" s="81">
        <v>0.17299999999999999</v>
      </c>
      <c r="AE9" s="81">
        <v>0.17299999999999999</v>
      </c>
      <c r="AF9" s="81">
        <v>0.17299999999999999</v>
      </c>
      <c r="AH9" s="28"/>
      <c r="AJ9" s="23" t="s">
        <v>500</v>
      </c>
      <c r="AK9" s="25"/>
      <c r="AL9" s="25"/>
      <c r="AM9" s="25">
        <v>0.20799999999999999</v>
      </c>
      <c r="AN9" s="25"/>
      <c r="AP9" s="28"/>
    </row>
    <row r="10" spans="2:42" x14ac:dyDescent="0.2">
      <c r="AH10" s="28"/>
      <c r="AJ10" s="23" t="s">
        <v>501</v>
      </c>
      <c r="AK10" s="25"/>
      <c r="AL10" s="25"/>
      <c r="AM10" s="25"/>
      <c r="AN10" s="25">
        <v>0.185</v>
      </c>
      <c r="AP10" s="28"/>
    </row>
    <row r="11" spans="2:42" x14ac:dyDescent="0.2">
      <c r="B11" s="302" t="s">
        <v>502</v>
      </c>
      <c r="G11"/>
      <c r="P11" s="486" t="s">
        <v>503</v>
      </c>
      <c r="Q11" s="486"/>
      <c r="R11" s="486"/>
      <c r="AH11" s="28"/>
      <c r="AP11" s="28"/>
    </row>
    <row r="12" spans="2:42" x14ac:dyDescent="0.2">
      <c r="B12" s="208" t="s">
        <v>504</v>
      </c>
      <c r="C12" s="208" t="s">
        <v>505</v>
      </c>
      <c r="D12" s="208" t="s">
        <v>506</v>
      </c>
      <c r="E12" s="208" t="s">
        <v>507</v>
      </c>
      <c r="F12" s="208" t="s">
        <v>508</v>
      </c>
      <c r="G12" s="208" t="s">
        <v>509</v>
      </c>
      <c r="H12" s="208" t="s">
        <v>510</v>
      </c>
      <c r="I12" s="208" t="s">
        <v>511</v>
      </c>
      <c r="J12" s="311" t="s">
        <v>414</v>
      </c>
      <c r="K12" s="311" t="s">
        <v>512</v>
      </c>
      <c r="L12" s="311" t="s">
        <v>513</v>
      </c>
      <c r="M12" s="311" t="s">
        <v>408</v>
      </c>
      <c r="N12" s="311" t="s">
        <v>514</v>
      </c>
      <c r="P12" s="200" t="s">
        <v>515</v>
      </c>
      <c r="Q12" s="200" t="s">
        <v>516</v>
      </c>
      <c r="R12" s="200" t="s">
        <v>517</v>
      </c>
      <c r="AH12" s="28"/>
      <c r="AP12" s="28"/>
    </row>
    <row r="13" spans="2:42" x14ac:dyDescent="0.2">
      <c r="B13" s="393">
        <v>480</v>
      </c>
      <c r="C13" s="304">
        <v>60</v>
      </c>
      <c r="D13" s="303" t="s">
        <v>518</v>
      </c>
      <c r="E13" s="340">
        <v>12900</v>
      </c>
      <c r="F13" s="340">
        <f>E13-$R$13</f>
        <v>7900</v>
      </c>
      <c r="G13" s="305">
        <v>60</v>
      </c>
      <c r="H13" s="303" t="s">
        <v>519</v>
      </c>
      <c r="I13" s="306">
        <v>27700</v>
      </c>
      <c r="J13" s="312">
        <f>650+350</f>
        <v>1000</v>
      </c>
      <c r="K13" s="312">
        <v>1000</v>
      </c>
      <c r="L13" s="312">
        <v>0</v>
      </c>
      <c r="M13" s="312">
        <v>0</v>
      </c>
      <c r="N13" s="312">
        <v>0</v>
      </c>
      <c r="P13" s="304">
        <v>60</v>
      </c>
      <c r="Q13" s="303" t="s">
        <v>520</v>
      </c>
      <c r="R13" s="312">
        <v>5000</v>
      </c>
      <c r="AH13" s="28"/>
      <c r="AJ13" s="21"/>
      <c r="AK13" s="475" t="s">
        <v>521</v>
      </c>
      <c r="AL13" s="475"/>
      <c r="AM13" s="475"/>
      <c r="AN13" s="475"/>
      <c r="AP13" s="28"/>
    </row>
    <row r="14" spans="2:42" x14ac:dyDescent="0.2">
      <c r="B14" s="303"/>
      <c r="C14" s="303"/>
      <c r="D14" s="303"/>
      <c r="E14" s="340"/>
      <c r="F14" s="305"/>
      <c r="G14" s="303"/>
      <c r="H14" s="306"/>
      <c r="I14" s="312"/>
      <c r="J14" s="312"/>
      <c r="K14" s="312"/>
      <c r="L14" s="312"/>
      <c r="M14" s="312"/>
      <c r="N14" s="312"/>
      <c r="AH14" s="28"/>
      <c r="AJ14" s="21"/>
      <c r="AK14" s="22">
        <v>2.6</v>
      </c>
      <c r="AL14" s="22">
        <v>2.5</v>
      </c>
      <c r="AM14" s="22">
        <v>2.2999999999999998</v>
      </c>
      <c r="AN14" s="22">
        <v>2.2000000000000002</v>
      </c>
      <c r="AP14" s="28"/>
    </row>
    <row r="15" spans="2:42" x14ac:dyDescent="0.2">
      <c r="B15" s="303"/>
      <c r="C15" s="303"/>
      <c r="D15" s="303"/>
      <c r="E15" s="304"/>
      <c r="F15" s="305"/>
      <c r="G15" s="303"/>
      <c r="H15" s="306"/>
      <c r="I15" s="312"/>
      <c r="J15" s="312"/>
      <c r="K15" s="312"/>
      <c r="L15" s="312"/>
      <c r="M15" s="312"/>
      <c r="N15" s="312"/>
      <c r="AH15" s="28"/>
      <c r="AJ15" s="23" t="s">
        <v>498</v>
      </c>
      <c r="AK15" s="24"/>
      <c r="AL15" s="24"/>
      <c r="AM15" s="24"/>
      <c r="AN15" s="24"/>
      <c r="AP15" s="28"/>
    </row>
    <row r="16" spans="2:42" x14ac:dyDescent="0.2">
      <c r="B16" s="303"/>
      <c r="C16" s="303"/>
      <c r="D16" s="303"/>
      <c r="E16" s="304"/>
      <c r="F16" s="305"/>
      <c r="G16" s="303"/>
      <c r="H16" s="306"/>
      <c r="I16" s="312"/>
      <c r="J16" s="312"/>
      <c r="K16" s="312"/>
      <c r="L16" s="312"/>
      <c r="M16" s="312"/>
      <c r="N16" s="312"/>
      <c r="AH16" s="28"/>
      <c r="AJ16" s="23" t="s">
        <v>499</v>
      </c>
      <c r="AK16" s="25"/>
      <c r="AL16" s="25">
        <v>0.23499999999999999</v>
      </c>
      <c r="AM16" s="25"/>
      <c r="AN16" s="25"/>
      <c r="AP16" s="28"/>
    </row>
    <row r="17" spans="2:42" x14ac:dyDescent="0.2">
      <c r="B17" s="303"/>
      <c r="C17" s="303"/>
      <c r="D17" s="303"/>
      <c r="E17" s="304"/>
      <c r="F17" s="305"/>
      <c r="G17" s="303"/>
      <c r="H17" s="306"/>
      <c r="I17" s="312"/>
      <c r="J17" s="312"/>
      <c r="K17" s="312"/>
      <c r="L17" s="312"/>
      <c r="M17" s="312"/>
      <c r="N17" s="312"/>
      <c r="AH17" s="28"/>
      <c r="AJ17" s="23" t="s">
        <v>500</v>
      </c>
      <c r="AK17" s="25"/>
      <c r="AL17" s="25"/>
      <c r="AM17" s="25">
        <v>0.20699999999999999</v>
      </c>
      <c r="AN17" s="25"/>
    </row>
    <row r="18" spans="2:42" x14ac:dyDescent="0.2">
      <c r="AH18" s="28"/>
      <c r="AJ18" s="23" t="s">
        <v>501</v>
      </c>
      <c r="AK18" s="25"/>
      <c r="AL18" s="25"/>
      <c r="AM18" s="25"/>
      <c r="AN18" s="25">
        <v>0.17699999999999999</v>
      </c>
      <c r="AP18" s="28"/>
    </row>
    <row r="19" spans="2:42" ht="16" customHeight="1" x14ac:dyDescent="0.2">
      <c r="D19"/>
      <c r="E19"/>
      <c r="F19"/>
      <c r="AH19" s="28"/>
      <c r="AP19" s="28"/>
    </row>
    <row r="20" spans="2:42" ht="16" customHeight="1" x14ac:dyDescent="0.2">
      <c r="B20" s="302" t="s">
        <v>522</v>
      </c>
      <c r="D20"/>
      <c r="E20"/>
      <c r="F20"/>
      <c r="N20" s="18">
        <f>SUM(35600,J13,K13)*3</f>
        <v>112800</v>
      </c>
      <c r="AH20" s="28"/>
      <c r="AP20" s="28"/>
    </row>
    <row r="21" spans="2:42" ht="19" x14ac:dyDescent="0.25">
      <c r="B21" s="339" t="s">
        <v>523</v>
      </c>
      <c r="C21" s="339" t="s">
        <v>444</v>
      </c>
      <c r="D21" s="339" t="s">
        <v>524</v>
      </c>
      <c r="E21" s="339" t="s">
        <v>525</v>
      </c>
      <c r="F21" s="339" t="s">
        <v>526</v>
      </c>
      <c r="G21" s="339" t="s">
        <v>527</v>
      </c>
      <c r="H21" s="311" t="s">
        <v>408</v>
      </c>
      <c r="I21" s="311" t="s">
        <v>528</v>
      </c>
      <c r="J21" s="311" t="s">
        <v>454</v>
      </c>
      <c r="K21" s="311" t="s">
        <v>414</v>
      </c>
      <c r="L21" s="311" t="s">
        <v>512</v>
      </c>
      <c r="M21" s="311" t="s">
        <v>513</v>
      </c>
      <c r="P21" s="484" t="s">
        <v>529</v>
      </c>
      <c r="Q21" s="484" t="s">
        <v>530</v>
      </c>
      <c r="R21" s="484" t="s">
        <v>531</v>
      </c>
      <c r="S21" s="484" t="s">
        <v>532</v>
      </c>
      <c r="AH21" s="28"/>
      <c r="AJ21" s="21"/>
      <c r="AK21" s="475" t="s">
        <v>533</v>
      </c>
      <c r="AL21" s="475"/>
      <c r="AM21" s="475"/>
      <c r="AN21" s="475"/>
      <c r="AP21" s="28"/>
    </row>
    <row r="22" spans="2:42" x14ac:dyDescent="0.2">
      <c r="B22" s="343">
        <f t="shared" ref="B22:B24" si="2">C22-125</f>
        <v>0</v>
      </c>
      <c r="C22" s="304">
        <v>125</v>
      </c>
      <c r="D22" s="344">
        <v>0</v>
      </c>
      <c r="E22" s="305">
        <v>280</v>
      </c>
      <c r="F22" s="303" t="str">
        <f t="shared" ref="F22:F56" si="3">_xlfn.CONCAT("eSpire ",C22," ",E22," BI")</f>
        <v>eSpire 125 280 BI</v>
      </c>
      <c r="G22" s="340">
        <v>201590</v>
      </c>
      <c r="H22" s="312">
        <v>23000</v>
      </c>
      <c r="I22" s="312">
        <v>12500</v>
      </c>
      <c r="J22" s="312">
        <v>12500</v>
      </c>
      <c r="K22" s="312">
        <v>5000</v>
      </c>
      <c r="L22" s="312">
        <v>15000</v>
      </c>
      <c r="M22" s="312">
        <v>10000</v>
      </c>
      <c r="P22" s="484"/>
      <c r="Q22" s="484"/>
      <c r="R22" s="485"/>
      <c r="S22" s="485"/>
      <c r="AH22" s="28"/>
      <c r="AJ22" s="21"/>
      <c r="AK22" s="22">
        <v>2.6</v>
      </c>
      <c r="AL22" s="22">
        <v>2.5</v>
      </c>
      <c r="AM22" s="22">
        <v>2.2999999999999998</v>
      </c>
      <c r="AN22" s="22">
        <v>2.2000000000000002</v>
      </c>
      <c r="AP22" s="28"/>
    </row>
    <row r="23" spans="2:42" x14ac:dyDescent="0.2">
      <c r="B23" s="343">
        <f t="shared" si="2"/>
        <v>0</v>
      </c>
      <c r="C23" s="304">
        <f>C22</f>
        <v>125</v>
      </c>
      <c r="D23" s="344">
        <f>E23-280+1</f>
        <v>281</v>
      </c>
      <c r="E23" s="305">
        <f>E22+280</f>
        <v>560</v>
      </c>
      <c r="F23" s="303" t="str">
        <f t="shared" si="3"/>
        <v>eSpire 125 560 BI</v>
      </c>
      <c r="G23" s="340">
        <v>322545</v>
      </c>
      <c r="H23" s="312">
        <v>23000</v>
      </c>
      <c r="I23" s="312">
        <v>12500</v>
      </c>
      <c r="J23" s="312">
        <v>12500</v>
      </c>
      <c r="K23" s="312">
        <v>5000</v>
      </c>
      <c r="L23" s="312">
        <v>15000</v>
      </c>
      <c r="M23" s="312">
        <v>10000</v>
      </c>
      <c r="P23" s="304">
        <f>'Lista de Baterias (custom)'!F2</f>
        <v>0</v>
      </c>
      <c r="Q23" s="305">
        <f>'Lista de Baterias (custom)'!F3</f>
        <v>1047.9452054794519</v>
      </c>
      <c r="R23" s="342">
        <f>'Lista de Baterias (custom)'!F4</f>
        <v>0</v>
      </c>
      <c r="S23" s="341">
        <f>Q23*R23/24</f>
        <v>0</v>
      </c>
      <c r="AH23" s="28"/>
      <c r="AJ23" s="23" t="s">
        <v>498</v>
      </c>
      <c r="AK23" s="24">
        <v>0.28199999999999997</v>
      </c>
      <c r="AL23" s="24"/>
      <c r="AM23" s="24"/>
      <c r="AN23" s="24"/>
      <c r="AP23" s="28"/>
    </row>
    <row r="24" spans="2:42" x14ac:dyDescent="0.2">
      <c r="B24" s="343">
        <f t="shared" si="2"/>
        <v>0</v>
      </c>
      <c r="C24" s="304">
        <f t="shared" ref="C24:C29" si="4">C23</f>
        <v>125</v>
      </c>
      <c r="D24" s="344">
        <f t="shared" ref="D24:D56" si="5">E24-280+1</f>
        <v>561</v>
      </c>
      <c r="E24" s="305">
        <f>E23+280</f>
        <v>840</v>
      </c>
      <c r="F24" s="303" t="str">
        <f t="shared" si="3"/>
        <v>eSpire 125 840 BI</v>
      </c>
      <c r="G24" s="340">
        <v>440434</v>
      </c>
      <c r="H24" s="312">
        <v>23000</v>
      </c>
      <c r="I24" s="312">
        <v>12500</v>
      </c>
      <c r="J24" s="312">
        <v>12500</v>
      </c>
      <c r="K24" s="312">
        <v>5000</v>
      </c>
      <c r="L24" s="312">
        <v>15000</v>
      </c>
      <c r="M24" s="312">
        <v>10000</v>
      </c>
      <c r="AH24" s="28"/>
      <c r="AJ24" s="23" t="s">
        <v>499</v>
      </c>
      <c r="AK24" s="25"/>
      <c r="AL24" s="25">
        <v>0.252</v>
      </c>
      <c r="AM24" s="25"/>
      <c r="AN24" s="25"/>
      <c r="AP24" s="28"/>
    </row>
    <row r="25" spans="2:42" x14ac:dyDescent="0.2">
      <c r="B25" s="343">
        <f>C25-125+1</f>
        <v>126</v>
      </c>
      <c r="C25" s="304">
        <f>C24+125</f>
        <v>250</v>
      </c>
      <c r="D25" s="344">
        <f t="shared" si="5"/>
        <v>281</v>
      </c>
      <c r="E25" s="305">
        <f>E23</f>
        <v>560</v>
      </c>
      <c r="F25" s="303" t="str">
        <f t="shared" si="3"/>
        <v>eSpire 250 560 BI</v>
      </c>
      <c r="G25" s="340">
        <v>345585</v>
      </c>
      <c r="H25" s="312">
        <v>23000</v>
      </c>
      <c r="I25" s="312">
        <v>12500</v>
      </c>
      <c r="J25" s="312">
        <v>12500</v>
      </c>
      <c r="K25" s="312">
        <v>5000</v>
      </c>
      <c r="L25" s="312">
        <v>15000</v>
      </c>
      <c r="M25" s="312">
        <v>10000</v>
      </c>
      <c r="Q25" s="77" t="s">
        <v>534</v>
      </c>
      <c r="R25" s="77" t="s">
        <v>535</v>
      </c>
      <c r="S25" s="77" t="s">
        <v>536</v>
      </c>
      <c r="AH25" s="28"/>
      <c r="AJ25" s="23" t="s">
        <v>500</v>
      </c>
      <c r="AK25" s="25"/>
      <c r="AL25" s="25"/>
      <c r="AM25" s="25">
        <v>0.215</v>
      </c>
      <c r="AN25" s="25"/>
      <c r="AP25" s="28"/>
    </row>
    <row r="26" spans="2:42" x14ac:dyDescent="0.2">
      <c r="B26" s="343">
        <f t="shared" ref="B26:B56" si="6">C26-125+1</f>
        <v>126</v>
      </c>
      <c r="C26" s="304">
        <f t="shared" si="4"/>
        <v>250</v>
      </c>
      <c r="D26" s="344">
        <f t="shared" si="5"/>
        <v>561</v>
      </c>
      <c r="E26" s="305">
        <f>E25+280</f>
        <v>840</v>
      </c>
      <c r="F26" s="303" t="str">
        <f t="shared" si="3"/>
        <v>eSpire 250 840 BI</v>
      </c>
      <c r="G26" s="340">
        <v>463474</v>
      </c>
      <c r="H26" s="312">
        <v>23000</v>
      </c>
      <c r="I26" s="312">
        <v>12500</v>
      </c>
      <c r="J26" s="312">
        <v>12500</v>
      </c>
      <c r="K26" s="312">
        <v>5000</v>
      </c>
      <c r="L26" s="312">
        <v>15000</v>
      </c>
      <c r="M26" s="312">
        <v>10000</v>
      </c>
      <c r="Q26" s="345">
        <f>IF(P23&gt; MAX($C$22:$C$56), "ERROR", VLOOKUP($P$23, $B$22:$C$56,2,TRUE))</f>
        <v>125</v>
      </c>
      <c r="R26" s="341">
        <f>VLOOKUP($S$23,$D$22:$E$56, 2,TRUE)</f>
        <v>280</v>
      </c>
      <c r="S26" s="341">
        <f ca="1">IFERROR(IF(S23 &lt; MIN(INDIRECT("D"&amp; P29&amp;":"&amp;"D"&amp;Q29)), "ERROR: Muy poca autonomía", VLOOKUP($S$23,INDIRECT("D"&amp; P29&amp;":"&amp;"E"&amp;Q29),2,TRUE)),"ERROR")</f>
        <v>280</v>
      </c>
      <c r="AH26" s="28"/>
      <c r="AJ26" s="23" t="s">
        <v>501</v>
      </c>
      <c r="AK26" s="25"/>
      <c r="AL26" s="25"/>
      <c r="AM26" s="25"/>
      <c r="AN26" s="25">
        <v>0.17899999999999999</v>
      </c>
      <c r="AP26" s="28"/>
    </row>
    <row r="27" spans="2:42" x14ac:dyDescent="0.2">
      <c r="B27" s="343">
        <f t="shared" si="6"/>
        <v>126</v>
      </c>
      <c r="C27" s="304">
        <f t="shared" si="4"/>
        <v>250</v>
      </c>
      <c r="D27" s="344">
        <f t="shared" si="5"/>
        <v>841</v>
      </c>
      <c r="E27" s="305">
        <f t="shared" ref="E27:E28" si="7">E26+280</f>
        <v>1120</v>
      </c>
      <c r="F27" s="303" t="str">
        <f t="shared" si="3"/>
        <v>eSpire 250 1120 BI</v>
      </c>
      <c r="G27" s="340">
        <v>601765</v>
      </c>
      <c r="H27" s="312">
        <v>23000</v>
      </c>
      <c r="I27" s="312">
        <v>12500</v>
      </c>
      <c r="J27" s="312">
        <v>12500</v>
      </c>
      <c r="K27" s="312">
        <v>5000</v>
      </c>
      <c r="L27" s="312">
        <v>15000</v>
      </c>
      <c r="M27" s="312">
        <v>10000</v>
      </c>
      <c r="AH27" s="28"/>
      <c r="AP27" s="28"/>
    </row>
    <row r="28" spans="2:42" x14ac:dyDescent="0.2">
      <c r="B28" s="343">
        <f t="shared" si="6"/>
        <v>126</v>
      </c>
      <c r="C28" s="304">
        <f t="shared" si="4"/>
        <v>250</v>
      </c>
      <c r="D28" s="344">
        <f t="shared" si="5"/>
        <v>1121</v>
      </c>
      <c r="E28" s="305">
        <f t="shared" si="7"/>
        <v>1400</v>
      </c>
      <c r="F28" s="303" t="str">
        <f t="shared" si="3"/>
        <v>eSpire 250 1400 BI</v>
      </c>
      <c r="G28" s="340">
        <v>709116</v>
      </c>
      <c r="H28" s="312">
        <v>23000</v>
      </c>
      <c r="I28" s="312">
        <v>12500</v>
      </c>
      <c r="J28" s="312">
        <v>12500</v>
      </c>
      <c r="K28" s="312">
        <v>5000</v>
      </c>
      <c r="L28" s="312">
        <v>15000</v>
      </c>
      <c r="M28" s="312">
        <v>10000</v>
      </c>
      <c r="P28" s="77" t="s">
        <v>537</v>
      </c>
      <c r="Q28" s="77" t="s">
        <v>538</v>
      </c>
      <c r="S28" s="409" t="s">
        <v>539</v>
      </c>
      <c r="T28" s="409"/>
      <c r="U28" s="409"/>
      <c r="AH28" s="28"/>
      <c r="AP28" s="28"/>
    </row>
    <row r="29" spans="2:42" x14ac:dyDescent="0.2">
      <c r="B29" s="343">
        <f t="shared" si="6"/>
        <v>126</v>
      </c>
      <c r="C29" s="304">
        <f t="shared" si="4"/>
        <v>250</v>
      </c>
      <c r="D29" s="344">
        <f t="shared" si="5"/>
        <v>1401</v>
      </c>
      <c r="E29" s="305">
        <f>E28+280</f>
        <v>1680</v>
      </c>
      <c r="F29" s="303" t="str">
        <f t="shared" si="3"/>
        <v>eSpire 250 1680 BI</v>
      </c>
      <c r="G29" s="340">
        <v>814133</v>
      </c>
      <c r="H29" s="312">
        <v>23000</v>
      </c>
      <c r="I29" s="312">
        <v>12500</v>
      </c>
      <c r="J29" s="312">
        <v>12500</v>
      </c>
      <c r="K29" s="312">
        <v>5000</v>
      </c>
      <c r="L29" s="312">
        <v>15000</v>
      </c>
      <c r="M29" s="312">
        <v>10000</v>
      </c>
      <c r="P29" s="346">
        <f>ROW(E22)+MATCH(Q26,$C$22:$C$56,0)-1</f>
        <v>22</v>
      </c>
      <c r="Q29" s="346">
        <f>P29+COUNTIF($C$22:$C$56, Q26)-1</f>
        <v>24</v>
      </c>
      <c r="R29" s="7"/>
      <c r="S29" s="465" t="str">
        <f ca="1">IF(P23&gt; MAX($C$22:$C$56), "ERROR: Demanda supera maximo inversor", IF(S23&gt; MAX(INDIRECT("E"&amp; P29&amp;":"&amp;"E"&amp;Q29)), "ERROR: Autonomia supera maximo almacenamiento", _xlfn.CONCAT("eSpire ",Q26," ", S26, " BI")))</f>
        <v>eSpire 125 280 BI</v>
      </c>
      <c r="T29" s="465"/>
      <c r="U29" s="465"/>
      <c r="AH29" s="28"/>
      <c r="AJ29" s="21"/>
      <c r="AK29" s="475" t="s">
        <v>540</v>
      </c>
      <c r="AL29" s="475"/>
      <c r="AM29" s="475"/>
      <c r="AN29" s="475"/>
      <c r="AP29" s="28"/>
    </row>
    <row r="30" spans="2:42" x14ac:dyDescent="0.2">
      <c r="B30" s="343">
        <f t="shared" si="6"/>
        <v>251</v>
      </c>
      <c r="C30" s="304">
        <f>C29+125</f>
        <v>375</v>
      </c>
      <c r="D30" s="344">
        <f t="shared" si="5"/>
        <v>561</v>
      </c>
      <c r="E30" s="305">
        <v>840</v>
      </c>
      <c r="F30" s="303" t="str">
        <f t="shared" si="3"/>
        <v>eSpire 375 840 BI</v>
      </c>
      <c r="G30" s="340">
        <v>489274</v>
      </c>
      <c r="H30" s="312">
        <v>23000</v>
      </c>
      <c r="I30" s="312">
        <v>12500</v>
      </c>
      <c r="J30" s="312">
        <v>12500</v>
      </c>
      <c r="K30" s="312">
        <v>5000</v>
      </c>
      <c r="L30" s="312">
        <v>15000</v>
      </c>
      <c r="M30" s="312">
        <v>10000</v>
      </c>
      <c r="AH30" s="28"/>
      <c r="AJ30" s="21"/>
      <c r="AK30" s="22">
        <v>2.6</v>
      </c>
      <c r="AL30" s="22">
        <v>2.5</v>
      </c>
      <c r="AM30" s="22">
        <v>2.2999999999999998</v>
      </c>
      <c r="AN30" s="22">
        <v>2.2000000000000002</v>
      </c>
      <c r="AP30" s="28"/>
    </row>
    <row r="31" spans="2:42" x14ac:dyDescent="0.2">
      <c r="B31" s="343">
        <f t="shared" si="6"/>
        <v>251</v>
      </c>
      <c r="C31" s="304">
        <f>C30</f>
        <v>375</v>
      </c>
      <c r="D31" s="344">
        <f t="shared" si="5"/>
        <v>841</v>
      </c>
      <c r="E31" s="305">
        <v>1120</v>
      </c>
      <c r="F31" s="303" t="str">
        <f t="shared" si="3"/>
        <v>eSpire 375 1120 BI</v>
      </c>
      <c r="G31" s="340">
        <v>627565</v>
      </c>
      <c r="H31" s="312">
        <v>23000</v>
      </c>
      <c r="I31" s="312">
        <v>12500</v>
      </c>
      <c r="J31" s="312">
        <v>12500</v>
      </c>
      <c r="K31" s="312">
        <v>5000</v>
      </c>
      <c r="L31" s="312">
        <v>15000</v>
      </c>
      <c r="M31" s="312">
        <v>10000</v>
      </c>
      <c r="AH31" s="28"/>
      <c r="AJ31" s="23" t="s">
        <v>498</v>
      </c>
      <c r="AK31" s="24">
        <v>0.22500000000000001</v>
      </c>
      <c r="AL31" s="24"/>
      <c r="AM31" s="24"/>
      <c r="AN31" s="24"/>
      <c r="AP31" s="28"/>
    </row>
    <row r="32" spans="2:42" x14ac:dyDescent="0.2">
      <c r="B32" s="343">
        <f t="shared" si="6"/>
        <v>251</v>
      </c>
      <c r="C32" s="304">
        <f t="shared" ref="C32:C36" si="8">C31</f>
        <v>375</v>
      </c>
      <c r="D32" s="344">
        <f t="shared" si="5"/>
        <v>1121</v>
      </c>
      <c r="E32" s="305">
        <v>1400</v>
      </c>
      <c r="F32" s="303" t="str">
        <f t="shared" si="3"/>
        <v>eSpire 375 1400 BI</v>
      </c>
      <c r="G32" s="340">
        <v>734916</v>
      </c>
      <c r="H32" s="312">
        <v>23000</v>
      </c>
      <c r="I32" s="312">
        <v>12500</v>
      </c>
      <c r="J32" s="312">
        <v>12500</v>
      </c>
      <c r="K32" s="312">
        <v>5000</v>
      </c>
      <c r="L32" s="312">
        <v>15000</v>
      </c>
      <c r="M32" s="312">
        <v>10000</v>
      </c>
      <c r="AH32" s="28"/>
      <c r="AJ32" s="23" t="s">
        <v>499</v>
      </c>
      <c r="AK32" s="25"/>
      <c r="AL32" s="25">
        <v>0.21199999999999999</v>
      </c>
      <c r="AM32" s="25"/>
      <c r="AN32" s="25"/>
      <c r="AP32" s="28"/>
    </row>
    <row r="33" spans="2:42" x14ac:dyDescent="0.2">
      <c r="B33" s="343">
        <f t="shared" si="6"/>
        <v>251</v>
      </c>
      <c r="C33" s="304">
        <f t="shared" si="8"/>
        <v>375</v>
      </c>
      <c r="D33" s="344">
        <f t="shared" si="5"/>
        <v>1401</v>
      </c>
      <c r="E33" s="305">
        <v>1680</v>
      </c>
      <c r="F33" s="303" t="str">
        <f t="shared" si="3"/>
        <v>eSpire 375 1680 BI</v>
      </c>
      <c r="G33" s="340">
        <v>839933</v>
      </c>
      <c r="H33" s="312">
        <v>23000</v>
      </c>
      <c r="I33" s="312">
        <v>12500</v>
      </c>
      <c r="J33" s="312">
        <v>12500</v>
      </c>
      <c r="K33" s="312">
        <v>5000</v>
      </c>
      <c r="L33" s="312">
        <v>15000</v>
      </c>
      <c r="M33" s="312">
        <v>10000</v>
      </c>
      <c r="AH33" s="28"/>
      <c r="AJ33" s="23" t="s">
        <v>500</v>
      </c>
      <c r="AK33" s="25"/>
      <c r="AL33" s="25"/>
      <c r="AM33" s="25">
        <v>0.223</v>
      </c>
      <c r="AN33" s="25"/>
      <c r="AP33" s="28"/>
    </row>
    <row r="34" spans="2:42" x14ac:dyDescent="0.2">
      <c r="B34" s="343">
        <f t="shared" si="6"/>
        <v>251</v>
      </c>
      <c r="C34" s="304">
        <f t="shared" si="8"/>
        <v>375</v>
      </c>
      <c r="D34" s="344">
        <f t="shared" si="5"/>
        <v>1681</v>
      </c>
      <c r="E34" s="305">
        <v>1960</v>
      </c>
      <c r="F34" s="303" t="str">
        <f t="shared" si="3"/>
        <v>eSpire 375 1960 BI</v>
      </c>
      <c r="G34" s="340">
        <v>961223</v>
      </c>
      <c r="H34" s="312">
        <v>23000</v>
      </c>
      <c r="I34" s="312">
        <v>12500</v>
      </c>
      <c r="J34" s="312">
        <v>12500</v>
      </c>
      <c r="K34" s="312">
        <v>5000</v>
      </c>
      <c r="L34" s="312">
        <v>15000</v>
      </c>
      <c r="M34" s="312">
        <v>10000</v>
      </c>
      <c r="AH34" s="28"/>
      <c r="AJ34" s="23" t="s">
        <v>501</v>
      </c>
      <c r="AK34" s="25"/>
      <c r="AL34" s="25"/>
      <c r="AM34" s="25"/>
      <c r="AN34" s="25">
        <v>0.18099999999999999</v>
      </c>
      <c r="AP34" s="28"/>
    </row>
    <row r="35" spans="2:42" x14ac:dyDescent="0.2">
      <c r="B35" s="343">
        <f t="shared" si="6"/>
        <v>251</v>
      </c>
      <c r="C35" s="304">
        <f t="shared" si="8"/>
        <v>375</v>
      </c>
      <c r="D35" s="344">
        <f t="shared" si="5"/>
        <v>1961</v>
      </c>
      <c r="E35" s="305">
        <v>2240</v>
      </c>
      <c r="F35" s="303" t="str">
        <f t="shared" si="3"/>
        <v>eSpire 375 2240 BI</v>
      </c>
      <c r="G35" s="340">
        <v>1066572</v>
      </c>
      <c r="H35" s="312">
        <v>23000</v>
      </c>
      <c r="I35" s="312">
        <v>12500</v>
      </c>
      <c r="J35" s="312">
        <v>12500</v>
      </c>
      <c r="K35" s="312">
        <v>5000</v>
      </c>
      <c r="L35" s="312">
        <v>15000</v>
      </c>
      <c r="M35" s="312">
        <v>10000</v>
      </c>
      <c r="AH35" s="28"/>
      <c r="AP35" s="28"/>
    </row>
    <row r="36" spans="2:42" x14ac:dyDescent="0.2">
      <c r="B36" s="343">
        <f t="shared" si="6"/>
        <v>251</v>
      </c>
      <c r="C36" s="304">
        <f t="shared" si="8"/>
        <v>375</v>
      </c>
      <c r="D36" s="344">
        <f t="shared" si="5"/>
        <v>2241</v>
      </c>
      <c r="E36" s="305">
        <v>2520</v>
      </c>
      <c r="F36" s="303" t="str">
        <f t="shared" si="3"/>
        <v>eSpire 375 2520 BI</v>
      </c>
      <c r="G36" s="340">
        <v>1164589</v>
      </c>
      <c r="H36" s="312">
        <v>23000</v>
      </c>
      <c r="I36" s="312">
        <v>12500</v>
      </c>
      <c r="J36" s="312">
        <v>12500</v>
      </c>
      <c r="K36" s="312">
        <v>5000</v>
      </c>
      <c r="L36" s="312">
        <v>15000</v>
      </c>
      <c r="M36" s="312">
        <v>10000</v>
      </c>
      <c r="AH36" s="28"/>
      <c r="AP36" s="28"/>
    </row>
    <row r="37" spans="2:42" x14ac:dyDescent="0.2">
      <c r="B37" s="343">
        <f t="shared" si="6"/>
        <v>376</v>
      </c>
      <c r="C37" s="304">
        <f>C36+125</f>
        <v>500</v>
      </c>
      <c r="D37" s="344">
        <f t="shared" si="5"/>
        <v>841</v>
      </c>
      <c r="E37" s="305">
        <v>1120</v>
      </c>
      <c r="F37" s="303" t="str">
        <f t="shared" si="3"/>
        <v>eSpire 500 1120 BI</v>
      </c>
      <c r="G37" s="340">
        <v>649885</v>
      </c>
      <c r="H37" s="312">
        <v>23000</v>
      </c>
      <c r="I37" s="312">
        <v>12500</v>
      </c>
      <c r="J37" s="312">
        <v>12500</v>
      </c>
      <c r="K37" s="312">
        <v>5000</v>
      </c>
      <c r="L37" s="312">
        <v>15000</v>
      </c>
      <c r="M37" s="312">
        <v>10000</v>
      </c>
      <c r="AH37" s="28"/>
      <c r="AP37" s="28"/>
    </row>
    <row r="38" spans="2:42" x14ac:dyDescent="0.2">
      <c r="B38" s="343">
        <f t="shared" si="6"/>
        <v>376</v>
      </c>
      <c r="C38" s="304">
        <f>C37</f>
        <v>500</v>
      </c>
      <c r="D38" s="344">
        <f t="shared" si="5"/>
        <v>1121</v>
      </c>
      <c r="E38" s="305">
        <f>E37+280</f>
        <v>1400</v>
      </c>
      <c r="F38" s="303" t="str">
        <f t="shared" si="3"/>
        <v>eSpire 500 1400 BI</v>
      </c>
      <c r="G38" s="340">
        <v>757236</v>
      </c>
      <c r="H38" s="312">
        <v>23000</v>
      </c>
      <c r="I38" s="312">
        <v>12500</v>
      </c>
      <c r="J38" s="312">
        <v>12500</v>
      </c>
      <c r="K38" s="312">
        <v>5000</v>
      </c>
      <c r="L38" s="312">
        <v>15000</v>
      </c>
      <c r="M38" s="312">
        <v>10000</v>
      </c>
    </row>
    <row r="39" spans="2:42" x14ac:dyDescent="0.2">
      <c r="B39" s="343">
        <f t="shared" si="6"/>
        <v>376</v>
      </c>
      <c r="C39" s="304">
        <f t="shared" ref="C39:C45" si="9">C38</f>
        <v>500</v>
      </c>
      <c r="D39" s="344">
        <f t="shared" si="5"/>
        <v>1401</v>
      </c>
      <c r="E39" s="305">
        <f t="shared" ref="E39:E44" si="10">E38+280</f>
        <v>1680</v>
      </c>
      <c r="F39" s="303" t="str">
        <f t="shared" si="3"/>
        <v>eSpire 500 1680 BI</v>
      </c>
      <c r="G39" s="340">
        <v>862253</v>
      </c>
      <c r="H39" s="312">
        <v>23000</v>
      </c>
      <c r="I39" s="312">
        <v>12500</v>
      </c>
      <c r="J39" s="312">
        <v>12500</v>
      </c>
      <c r="K39" s="312">
        <v>5000</v>
      </c>
      <c r="L39" s="312">
        <v>15000</v>
      </c>
      <c r="M39" s="312">
        <v>10000</v>
      </c>
    </row>
    <row r="40" spans="2:42" x14ac:dyDescent="0.2">
      <c r="B40" s="343">
        <f t="shared" si="6"/>
        <v>376</v>
      </c>
      <c r="C40" s="304">
        <f t="shared" si="9"/>
        <v>500</v>
      </c>
      <c r="D40" s="344">
        <f t="shared" si="5"/>
        <v>1681</v>
      </c>
      <c r="E40" s="305">
        <f t="shared" si="10"/>
        <v>1960</v>
      </c>
      <c r="F40" s="303" t="str">
        <f t="shared" si="3"/>
        <v>eSpire 500 1960 BI</v>
      </c>
      <c r="G40" s="340">
        <v>983543</v>
      </c>
      <c r="H40" s="312">
        <v>23000</v>
      </c>
      <c r="I40" s="312">
        <v>12500</v>
      </c>
      <c r="J40" s="312">
        <v>12500</v>
      </c>
      <c r="K40" s="312">
        <v>5000</v>
      </c>
      <c r="L40" s="312">
        <v>15000</v>
      </c>
      <c r="M40" s="312">
        <v>10000</v>
      </c>
    </row>
    <row r="41" spans="2:42" x14ac:dyDescent="0.2">
      <c r="B41" s="343">
        <f t="shared" si="6"/>
        <v>376</v>
      </c>
      <c r="C41" s="304">
        <f t="shared" si="9"/>
        <v>500</v>
      </c>
      <c r="D41" s="344">
        <f t="shared" si="5"/>
        <v>1961</v>
      </c>
      <c r="E41" s="305">
        <f t="shared" si="10"/>
        <v>2240</v>
      </c>
      <c r="F41" s="303" t="str">
        <f t="shared" si="3"/>
        <v>eSpire 500 2240 BI</v>
      </c>
      <c r="G41" s="340">
        <v>1088892</v>
      </c>
      <c r="H41" s="312">
        <v>23000</v>
      </c>
      <c r="I41" s="312">
        <v>12500</v>
      </c>
      <c r="J41" s="312">
        <v>12500</v>
      </c>
      <c r="K41" s="312">
        <v>5000</v>
      </c>
      <c r="L41" s="312">
        <v>15000</v>
      </c>
      <c r="M41" s="312">
        <v>10000</v>
      </c>
    </row>
    <row r="42" spans="2:42" x14ac:dyDescent="0.2">
      <c r="B42" s="343">
        <f t="shared" si="6"/>
        <v>376</v>
      </c>
      <c r="C42" s="304">
        <f t="shared" si="9"/>
        <v>500</v>
      </c>
      <c r="D42" s="344">
        <f t="shared" si="5"/>
        <v>2241</v>
      </c>
      <c r="E42" s="305">
        <f>E41+280</f>
        <v>2520</v>
      </c>
      <c r="F42" s="303" t="str">
        <f t="shared" si="3"/>
        <v>eSpire 500 2520 BI</v>
      </c>
      <c r="G42" s="340">
        <v>1186909</v>
      </c>
      <c r="H42" s="312">
        <v>23000</v>
      </c>
      <c r="I42" s="312">
        <v>12500</v>
      </c>
      <c r="J42" s="312">
        <v>12500</v>
      </c>
      <c r="K42" s="312">
        <v>5000</v>
      </c>
      <c r="L42" s="312">
        <v>15000</v>
      </c>
      <c r="M42" s="312">
        <v>10000</v>
      </c>
    </row>
    <row r="43" spans="2:42" x14ac:dyDescent="0.2">
      <c r="B43" s="343">
        <f t="shared" si="6"/>
        <v>376</v>
      </c>
      <c r="C43" s="304">
        <f t="shared" si="9"/>
        <v>500</v>
      </c>
      <c r="D43" s="344">
        <f t="shared" si="5"/>
        <v>2521</v>
      </c>
      <c r="E43" s="305">
        <f t="shared" si="10"/>
        <v>2800</v>
      </c>
      <c r="F43" s="303" t="str">
        <f t="shared" si="3"/>
        <v>eSpire 500 2800 BI</v>
      </c>
      <c r="G43" s="340">
        <v>1301197</v>
      </c>
      <c r="H43" s="312">
        <v>23000</v>
      </c>
      <c r="I43" s="312">
        <v>12500</v>
      </c>
      <c r="J43" s="312">
        <v>12500</v>
      </c>
      <c r="K43" s="312">
        <v>5000</v>
      </c>
      <c r="L43" s="312">
        <v>15000</v>
      </c>
      <c r="M43" s="312">
        <v>10000</v>
      </c>
    </row>
    <row r="44" spans="2:42" x14ac:dyDescent="0.2">
      <c r="B44" s="343">
        <f t="shared" si="6"/>
        <v>376</v>
      </c>
      <c r="C44" s="304">
        <f t="shared" si="9"/>
        <v>500</v>
      </c>
      <c r="D44" s="344">
        <f t="shared" si="5"/>
        <v>2801</v>
      </c>
      <c r="E44" s="305">
        <f t="shared" si="10"/>
        <v>3080</v>
      </c>
      <c r="F44" s="303" t="str">
        <f t="shared" si="3"/>
        <v>eSpire 500 3080 BI</v>
      </c>
      <c r="G44" s="340">
        <v>1399546</v>
      </c>
      <c r="H44" s="312">
        <v>23000</v>
      </c>
      <c r="I44" s="312">
        <v>12500</v>
      </c>
      <c r="J44" s="312">
        <v>12500</v>
      </c>
      <c r="K44" s="312">
        <v>5000</v>
      </c>
      <c r="L44" s="312">
        <v>15000</v>
      </c>
      <c r="M44" s="312">
        <v>10000</v>
      </c>
    </row>
    <row r="45" spans="2:42" x14ac:dyDescent="0.2">
      <c r="B45" s="343">
        <f t="shared" si="6"/>
        <v>376</v>
      </c>
      <c r="C45" s="304">
        <f t="shared" si="9"/>
        <v>500</v>
      </c>
      <c r="D45" s="344">
        <f t="shared" si="5"/>
        <v>3081</v>
      </c>
      <c r="E45" s="305">
        <f>E44+280</f>
        <v>3360</v>
      </c>
      <c r="F45" s="303" t="str">
        <f t="shared" si="3"/>
        <v>eSpire 500 3360 BI</v>
      </c>
      <c r="G45" s="340">
        <v>1490561</v>
      </c>
      <c r="H45" s="312">
        <v>23000</v>
      </c>
      <c r="I45" s="312">
        <v>12500</v>
      </c>
      <c r="J45" s="312">
        <v>12500</v>
      </c>
      <c r="K45" s="312">
        <v>5000</v>
      </c>
      <c r="L45" s="312">
        <v>15000</v>
      </c>
      <c r="M45" s="312">
        <v>10000</v>
      </c>
    </row>
    <row r="46" spans="2:42" x14ac:dyDescent="0.2">
      <c r="B46" s="343">
        <f t="shared" si="6"/>
        <v>501</v>
      </c>
      <c r="C46" s="304">
        <f>C45+125</f>
        <v>625</v>
      </c>
      <c r="D46" s="344">
        <f t="shared" si="5"/>
        <v>1121</v>
      </c>
      <c r="E46" s="305">
        <v>1400</v>
      </c>
      <c r="F46" s="303" t="str">
        <f t="shared" si="3"/>
        <v>eSpire 625 1400 BI</v>
      </c>
      <c r="G46" s="340">
        <v>779076</v>
      </c>
      <c r="H46" s="312">
        <v>23000</v>
      </c>
      <c r="I46" s="312">
        <v>12500</v>
      </c>
      <c r="J46" s="312">
        <v>12500</v>
      </c>
      <c r="K46" s="312">
        <v>5000</v>
      </c>
      <c r="L46" s="312">
        <v>15000</v>
      </c>
      <c r="M46" s="312">
        <v>10000</v>
      </c>
    </row>
    <row r="47" spans="2:42" x14ac:dyDescent="0.2">
      <c r="B47" s="343">
        <f t="shared" si="6"/>
        <v>501</v>
      </c>
      <c r="C47" s="304">
        <f>C46</f>
        <v>625</v>
      </c>
      <c r="D47" s="344">
        <f t="shared" si="5"/>
        <v>1401</v>
      </c>
      <c r="E47" s="305">
        <f t="shared" ref="E47:E52" si="11">E46+280</f>
        <v>1680</v>
      </c>
      <c r="F47" s="303" t="str">
        <f t="shared" si="3"/>
        <v>eSpire 625 1680 BI</v>
      </c>
      <c r="G47" s="340">
        <v>884093</v>
      </c>
      <c r="H47" s="312">
        <v>23000</v>
      </c>
      <c r="I47" s="312">
        <v>12500</v>
      </c>
      <c r="J47" s="312">
        <v>12500</v>
      </c>
      <c r="K47" s="312">
        <v>5000</v>
      </c>
      <c r="L47" s="312">
        <v>15000</v>
      </c>
      <c r="M47" s="312">
        <v>10000</v>
      </c>
    </row>
    <row r="48" spans="2:42" x14ac:dyDescent="0.2">
      <c r="B48" s="343">
        <f t="shared" si="6"/>
        <v>501</v>
      </c>
      <c r="C48" s="304">
        <f t="shared" ref="C48:C56" si="12">C47</f>
        <v>625</v>
      </c>
      <c r="D48" s="344">
        <f t="shared" si="5"/>
        <v>1681</v>
      </c>
      <c r="E48" s="305">
        <f t="shared" si="11"/>
        <v>1960</v>
      </c>
      <c r="F48" s="303" t="str">
        <f t="shared" si="3"/>
        <v>eSpire 625 1960 BI</v>
      </c>
      <c r="G48" s="340">
        <v>1005383</v>
      </c>
      <c r="H48" s="312">
        <v>23000</v>
      </c>
      <c r="I48" s="312">
        <v>12500</v>
      </c>
      <c r="J48" s="312">
        <v>12500</v>
      </c>
      <c r="K48" s="312">
        <v>5000</v>
      </c>
      <c r="L48" s="312">
        <v>15000</v>
      </c>
      <c r="M48" s="312">
        <v>10000</v>
      </c>
    </row>
    <row r="49" spans="2:13" x14ac:dyDescent="0.2">
      <c r="B49" s="343">
        <f t="shared" si="6"/>
        <v>501</v>
      </c>
      <c r="C49" s="304">
        <f t="shared" si="12"/>
        <v>625</v>
      </c>
      <c r="D49" s="344">
        <f t="shared" si="5"/>
        <v>1961</v>
      </c>
      <c r="E49" s="305">
        <f t="shared" si="11"/>
        <v>2240</v>
      </c>
      <c r="F49" s="303" t="str">
        <f t="shared" si="3"/>
        <v>eSpire 625 2240 BI</v>
      </c>
      <c r="G49" s="340">
        <v>1110732</v>
      </c>
      <c r="H49" s="312">
        <v>23000</v>
      </c>
      <c r="I49" s="312">
        <v>12500</v>
      </c>
      <c r="J49" s="312">
        <v>12500</v>
      </c>
      <c r="K49" s="312">
        <v>5000</v>
      </c>
      <c r="L49" s="312">
        <v>15000</v>
      </c>
      <c r="M49" s="312">
        <v>10000</v>
      </c>
    </row>
    <row r="50" spans="2:13" x14ac:dyDescent="0.2">
      <c r="B50" s="343">
        <f t="shared" si="6"/>
        <v>501</v>
      </c>
      <c r="C50" s="304">
        <f t="shared" si="12"/>
        <v>625</v>
      </c>
      <c r="D50" s="344">
        <f t="shared" si="5"/>
        <v>2241</v>
      </c>
      <c r="E50" s="305">
        <f>E49+280</f>
        <v>2520</v>
      </c>
      <c r="F50" s="303" t="str">
        <f t="shared" si="3"/>
        <v>eSpire 625 2520 BI</v>
      </c>
      <c r="G50" s="340">
        <v>1208749</v>
      </c>
      <c r="H50" s="312">
        <v>23000</v>
      </c>
      <c r="I50" s="312">
        <v>12500</v>
      </c>
      <c r="J50" s="312">
        <v>12500</v>
      </c>
      <c r="K50" s="312">
        <v>5000</v>
      </c>
      <c r="L50" s="312">
        <v>15000</v>
      </c>
      <c r="M50" s="312">
        <v>10000</v>
      </c>
    </row>
    <row r="51" spans="2:13" x14ac:dyDescent="0.2">
      <c r="B51" s="343">
        <f t="shared" si="6"/>
        <v>501</v>
      </c>
      <c r="C51" s="304">
        <f t="shared" si="12"/>
        <v>625</v>
      </c>
      <c r="D51" s="344">
        <f t="shared" si="5"/>
        <v>2521</v>
      </c>
      <c r="E51" s="305">
        <f t="shared" si="11"/>
        <v>2800</v>
      </c>
      <c r="F51" s="303" t="str">
        <f t="shared" si="3"/>
        <v>eSpire 625 2800 BI</v>
      </c>
      <c r="G51" s="340">
        <v>1323037</v>
      </c>
      <c r="H51" s="312">
        <v>23000</v>
      </c>
      <c r="I51" s="312">
        <v>12500</v>
      </c>
      <c r="J51" s="312">
        <v>12500</v>
      </c>
      <c r="K51" s="312">
        <v>5000</v>
      </c>
      <c r="L51" s="312">
        <v>15000</v>
      </c>
      <c r="M51" s="312">
        <v>10000</v>
      </c>
    </row>
    <row r="52" spans="2:13" x14ac:dyDescent="0.2">
      <c r="B52" s="343">
        <f t="shared" si="6"/>
        <v>501</v>
      </c>
      <c r="C52" s="304">
        <f t="shared" si="12"/>
        <v>625</v>
      </c>
      <c r="D52" s="344">
        <f t="shared" si="5"/>
        <v>2801</v>
      </c>
      <c r="E52" s="305">
        <f t="shared" si="11"/>
        <v>3080</v>
      </c>
      <c r="F52" s="303" t="str">
        <f t="shared" si="3"/>
        <v>eSpire 625 3080 BI</v>
      </c>
      <c r="G52" s="340">
        <v>1421386</v>
      </c>
      <c r="H52" s="312">
        <v>23000</v>
      </c>
      <c r="I52" s="312">
        <v>12500</v>
      </c>
      <c r="J52" s="312">
        <v>12500</v>
      </c>
      <c r="K52" s="312">
        <v>5000</v>
      </c>
      <c r="L52" s="312">
        <v>15000</v>
      </c>
      <c r="M52" s="312">
        <v>10000</v>
      </c>
    </row>
    <row r="53" spans="2:13" x14ac:dyDescent="0.2">
      <c r="B53" s="343">
        <f t="shared" si="6"/>
        <v>501</v>
      </c>
      <c r="C53" s="304">
        <f t="shared" si="12"/>
        <v>625</v>
      </c>
      <c r="D53" s="344">
        <f t="shared" si="5"/>
        <v>3081</v>
      </c>
      <c r="E53" s="305">
        <f>E52+280</f>
        <v>3360</v>
      </c>
      <c r="F53" s="303" t="str">
        <f t="shared" si="3"/>
        <v>eSpire 625 3360 BI</v>
      </c>
      <c r="G53" s="340">
        <v>1512401</v>
      </c>
      <c r="H53" s="312">
        <v>23000</v>
      </c>
      <c r="I53" s="312">
        <v>12500</v>
      </c>
      <c r="J53" s="312">
        <v>12500</v>
      </c>
      <c r="K53" s="312">
        <v>5000</v>
      </c>
      <c r="L53" s="312">
        <v>15000</v>
      </c>
      <c r="M53" s="312">
        <v>10000</v>
      </c>
    </row>
    <row r="54" spans="2:13" x14ac:dyDescent="0.2">
      <c r="B54" s="343">
        <f t="shared" si="6"/>
        <v>501</v>
      </c>
      <c r="C54" s="304">
        <f t="shared" si="12"/>
        <v>625</v>
      </c>
      <c r="D54" s="344">
        <f t="shared" si="5"/>
        <v>3361</v>
      </c>
      <c r="E54" s="305">
        <f t="shared" ref="E54:E55" si="13">E53+280</f>
        <v>3640</v>
      </c>
      <c r="F54" s="303" t="str">
        <f t="shared" si="3"/>
        <v>eSpire 625 3640 BI</v>
      </c>
      <c r="G54" s="340">
        <v>1619688</v>
      </c>
      <c r="H54" s="312">
        <v>23000</v>
      </c>
      <c r="I54" s="312">
        <v>12500</v>
      </c>
      <c r="J54" s="312">
        <v>12500</v>
      </c>
      <c r="K54" s="312">
        <v>5000</v>
      </c>
      <c r="L54" s="312">
        <v>15000</v>
      </c>
      <c r="M54" s="312">
        <v>10000</v>
      </c>
    </row>
    <row r="55" spans="2:13" x14ac:dyDescent="0.2">
      <c r="B55" s="343">
        <f t="shared" si="6"/>
        <v>501</v>
      </c>
      <c r="C55" s="304">
        <f t="shared" si="12"/>
        <v>625</v>
      </c>
      <c r="D55" s="344">
        <f t="shared" si="5"/>
        <v>3641</v>
      </c>
      <c r="E55" s="305">
        <f t="shared" si="13"/>
        <v>3920</v>
      </c>
      <c r="F55" s="303" t="str">
        <f t="shared" si="3"/>
        <v>eSpire 625 3920 BI</v>
      </c>
      <c r="G55" s="340">
        <v>1706036</v>
      </c>
      <c r="H55" s="312">
        <v>23000</v>
      </c>
      <c r="I55" s="312">
        <v>12500</v>
      </c>
      <c r="J55" s="312">
        <v>12500</v>
      </c>
      <c r="K55" s="312">
        <v>5000</v>
      </c>
      <c r="L55" s="312">
        <v>15000</v>
      </c>
      <c r="M55" s="312">
        <v>10000</v>
      </c>
    </row>
    <row r="56" spans="2:13" x14ac:dyDescent="0.2">
      <c r="B56" s="343">
        <f t="shared" si="6"/>
        <v>501</v>
      </c>
      <c r="C56" s="304">
        <f t="shared" si="12"/>
        <v>625</v>
      </c>
      <c r="D56" s="344">
        <f t="shared" si="5"/>
        <v>3921</v>
      </c>
      <c r="E56" s="305">
        <f>E55+280</f>
        <v>4200</v>
      </c>
      <c r="F56" s="303" t="str">
        <f t="shared" si="3"/>
        <v>eSpire 625 4200 BI</v>
      </c>
      <c r="G56" s="340">
        <v>1817553</v>
      </c>
      <c r="H56" s="312">
        <v>23000</v>
      </c>
      <c r="I56" s="312">
        <v>12500</v>
      </c>
      <c r="J56" s="312">
        <v>12500</v>
      </c>
      <c r="K56" s="312">
        <v>5000</v>
      </c>
      <c r="L56" s="312">
        <v>15000</v>
      </c>
      <c r="M56" s="312">
        <v>10000</v>
      </c>
    </row>
  </sheetData>
  <sheetProtection selectLockedCells="1" selectUnlockedCells="1"/>
  <mergeCells count="15">
    <mergeCell ref="AK29:AN29"/>
    <mergeCell ref="AK5:AN5"/>
    <mergeCell ref="AK13:AN13"/>
    <mergeCell ref="B2:C2"/>
    <mergeCell ref="E2:F2"/>
    <mergeCell ref="AJ2:AN3"/>
    <mergeCell ref="G2:J2"/>
    <mergeCell ref="AK21:AN21"/>
    <mergeCell ref="P21:P22"/>
    <mergeCell ref="Q21:Q22"/>
    <mergeCell ref="R21:R22"/>
    <mergeCell ref="S21:S22"/>
    <mergeCell ref="S29:U29"/>
    <mergeCell ref="S28:U28"/>
    <mergeCell ref="P11:R11"/>
  </mergeCells>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E1EFF-14B0-324A-8ACF-C341D8BC7C73}">
  <sheetPr codeName="Sheet10"/>
  <dimension ref="A1:AO40"/>
  <sheetViews>
    <sheetView workbookViewId="0">
      <selection activeCell="B40" sqref="B40"/>
    </sheetView>
  </sheetViews>
  <sheetFormatPr baseColWidth="10" defaultColWidth="11" defaultRowHeight="16" x14ac:dyDescent="0.2"/>
  <cols>
    <col min="1" max="1" width="34" customWidth="1"/>
    <col min="2" max="41" width="22.83203125" customWidth="1"/>
  </cols>
  <sheetData>
    <row r="1" spans="1:41" x14ac:dyDescent="0.2">
      <c r="A1" s="31" t="s">
        <v>541</v>
      </c>
    </row>
    <row r="2" spans="1:41" x14ac:dyDescent="0.2">
      <c r="A2" s="31" t="s">
        <v>542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row>
    <row r="3" spans="1:41" x14ac:dyDescent="0.2">
      <c r="A3" t="s">
        <v>543</v>
      </c>
      <c r="B3" s="124">
        <f>Variables!B5</f>
        <v>5.0000000000000001E-3</v>
      </c>
    </row>
    <row r="4" spans="1:41" x14ac:dyDescent="0.2">
      <c r="A4" t="s">
        <v>544</v>
      </c>
      <c r="B4" s="124">
        <f>VLOOKUP('ROI Dashboard'!$C$9, 'ROI Dashboard'!$Q$8:$R$29, 2,FALSE)</f>
        <v>3.5000000000000003E-2</v>
      </c>
    </row>
    <row r="5" spans="1:41" x14ac:dyDescent="0.2">
      <c r="B5" s="125"/>
    </row>
    <row r="6" spans="1:41" s="126" customFormat="1" x14ac:dyDescent="0.2">
      <c r="B6" s="127"/>
    </row>
    <row r="7" spans="1:41" x14ac:dyDescent="0.2">
      <c r="A7" s="31" t="s">
        <v>545</v>
      </c>
    </row>
    <row r="8" spans="1:41" x14ac:dyDescent="0.2">
      <c r="A8" t="s">
        <v>542</v>
      </c>
      <c r="B8" s="7">
        <f t="shared" ref="B8:AO8" si="0">B$2*IF(Term&gt;=B$2,1,0)</f>
        <v>1</v>
      </c>
      <c r="C8" s="7">
        <f t="shared" si="0"/>
        <v>2</v>
      </c>
      <c r="D8" s="7">
        <f t="shared" si="0"/>
        <v>3</v>
      </c>
      <c r="E8" s="7">
        <f t="shared" si="0"/>
        <v>4</v>
      </c>
      <c r="F8" s="7">
        <f t="shared" si="0"/>
        <v>5</v>
      </c>
      <c r="G8" s="7">
        <f t="shared" si="0"/>
        <v>6</v>
      </c>
      <c r="H8" s="7">
        <f t="shared" si="0"/>
        <v>7</v>
      </c>
      <c r="I8" s="7">
        <f t="shared" si="0"/>
        <v>8</v>
      </c>
      <c r="J8" s="7">
        <f t="shared" si="0"/>
        <v>9</v>
      </c>
      <c r="K8" s="7">
        <f t="shared" si="0"/>
        <v>10</v>
      </c>
      <c r="L8" s="7">
        <f t="shared" si="0"/>
        <v>11</v>
      </c>
      <c r="M8" s="7">
        <f t="shared" si="0"/>
        <v>12</v>
      </c>
      <c r="N8" s="7">
        <f t="shared" si="0"/>
        <v>13</v>
      </c>
      <c r="O8" s="7">
        <f t="shared" si="0"/>
        <v>14</v>
      </c>
      <c r="P8" s="7">
        <f t="shared" si="0"/>
        <v>15</v>
      </c>
      <c r="Q8" s="7">
        <f t="shared" si="0"/>
        <v>16</v>
      </c>
      <c r="R8" s="7">
        <f t="shared" si="0"/>
        <v>17</v>
      </c>
      <c r="S8" s="7">
        <f t="shared" si="0"/>
        <v>18</v>
      </c>
      <c r="T8" s="7">
        <f t="shared" si="0"/>
        <v>19</v>
      </c>
      <c r="U8" s="7">
        <f t="shared" si="0"/>
        <v>20</v>
      </c>
      <c r="V8" s="7">
        <f t="shared" si="0"/>
        <v>21</v>
      </c>
      <c r="W8" s="7">
        <f t="shared" si="0"/>
        <v>22</v>
      </c>
      <c r="X8" s="7">
        <f t="shared" si="0"/>
        <v>23</v>
      </c>
      <c r="Y8" s="7">
        <f t="shared" si="0"/>
        <v>24</v>
      </c>
      <c r="Z8" s="7">
        <f t="shared" si="0"/>
        <v>25</v>
      </c>
      <c r="AA8" s="7">
        <f t="shared" si="0"/>
        <v>0</v>
      </c>
      <c r="AB8" s="7">
        <f t="shared" si="0"/>
        <v>0</v>
      </c>
      <c r="AC8" s="7">
        <f t="shared" si="0"/>
        <v>0</v>
      </c>
      <c r="AD8" s="7">
        <f t="shared" si="0"/>
        <v>0</v>
      </c>
      <c r="AE8" s="7">
        <f t="shared" si="0"/>
        <v>0</v>
      </c>
      <c r="AF8" s="7">
        <f t="shared" si="0"/>
        <v>0</v>
      </c>
      <c r="AG8" s="7">
        <f t="shared" si="0"/>
        <v>0</v>
      </c>
      <c r="AH8" s="7">
        <f t="shared" si="0"/>
        <v>0</v>
      </c>
      <c r="AI8" s="7">
        <f t="shared" si="0"/>
        <v>0</v>
      </c>
      <c r="AJ8" s="7">
        <f t="shared" si="0"/>
        <v>0</v>
      </c>
      <c r="AK8" s="7">
        <f t="shared" si="0"/>
        <v>0</v>
      </c>
      <c r="AL8" s="7">
        <f t="shared" si="0"/>
        <v>0</v>
      </c>
      <c r="AM8" s="7">
        <f t="shared" si="0"/>
        <v>0</v>
      </c>
      <c r="AN8" s="7">
        <f t="shared" si="0"/>
        <v>0</v>
      </c>
      <c r="AO8" s="7">
        <f t="shared" si="0"/>
        <v>0</v>
      </c>
    </row>
    <row r="9" spans="1:41" s="128" customFormat="1" x14ac:dyDescent="0.2">
      <c r="A9" s="128" t="s">
        <v>546</v>
      </c>
      <c r="B9" s="129">
        <f>Tariff*IF(Term&gt;=C$2,1,0)</f>
        <v>0.24984313725490195</v>
      </c>
      <c r="C9" s="129">
        <f t="shared" ref="C9:AO9" si="1">B9*(1+$B$4)*IF(Term&gt;=C$2,1,0)</f>
        <v>0.25858764705882348</v>
      </c>
      <c r="D9" s="129">
        <f t="shared" si="1"/>
        <v>0.26763821470588228</v>
      </c>
      <c r="E9" s="129">
        <f t="shared" si="1"/>
        <v>0.27700555222058815</v>
      </c>
      <c r="F9" s="129">
        <f t="shared" si="1"/>
        <v>0.28670074654830868</v>
      </c>
      <c r="G9" s="129">
        <f t="shared" si="1"/>
        <v>0.29673527267749944</v>
      </c>
      <c r="H9" s="129">
        <f t="shared" si="1"/>
        <v>0.30712100722121188</v>
      </c>
      <c r="I9" s="129">
        <f t="shared" si="1"/>
        <v>0.31787024247395429</v>
      </c>
      <c r="J9" s="129">
        <f t="shared" si="1"/>
        <v>0.32899570096054265</v>
      </c>
      <c r="K9" s="129">
        <f t="shared" si="1"/>
        <v>0.34051055049416162</v>
      </c>
      <c r="L9" s="129">
        <f t="shared" si="1"/>
        <v>0.35242841976145728</v>
      </c>
      <c r="M9" s="129">
        <f t="shared" si="1"/>
        <v>0.36476341445310828</v>
      </c>
      <c r="N9" s="129">
        <f t="shared" si="1"/>
        <v>0.37753013395896706</v>
      </c>
      <c r="O9" s="129">
        <f t="shared" si="1"/>
        <v>0.3907436886475309</v>
      </c>
      <c r="P9" s="129">
        <f t="shared" si="1"/>
        <v>0.40441971775019442</v>
      </c>
      <c r="Q9" s="129">
        <f t="shared" si="1"/>
        <v>0.41857440787145117</v>
      </c>
      <c r="R9" s="129">
        <f t="shared" si="1"/>
        <v>0.4332245121469519</v>
      </c>
      <c r="S9" s="129">
        <f t="shared" si="1"/>
        <v>0.44838737007209517</v>
      </c>
      <c r="T9" s="129">
        <f t="shared" si="1"/>
        <v>0.46408092802461848</v>
      </c>
      <c r="U9" s="129">
        <f t="shared" si="1"/>
        <v>0.48032376050548009</v>
      </c>
      <c r="V9" s="129">
        <f t="shared" si="1"/>
        <v>0.49713509212317186</v>
      </c>
      <c r="W9" s="129">
        <f t="shared" si="1"/>
        <v>0.51453482034748288</v>
      </c>
      <c r="X9" s="129">
        <f t="shared" si="1"/>
        <v>0.53254353905964469</v>
      </c>
      <c r="Y9" s="129">
        <f t="shared" si="1"/>
        <v>0.55118256292673218</v>
      </c>
      <c r="Z9" s="129">
        <f t="shared" si="1"/>
        <v>0.57047395262916778</v>
      </c>
      <c r="AA9" s="129">
        <f t="shared" si="1"/>
        <v>0</v>
      </c>
      <c r="AB9" s="129">
        <f t="shared" si="1"/>
        <v>0</v>
      </c>
      <c r="AC9" s="129">
        <f t="shared" si="1"/>
        <v>0</v>
      </c>
      <c r="AD9" s="129">
        <f t="shared" si="1"/>
        <v>0</v>
      </c>
      <c r="AE9" s="129">
        <f t="shared" si="1"/>
        <v>0</v>
      </c>
      <c r="AF9" s="129">
        <f t="shared" si="1"/>
        <v>0</v>
      </c>
      <c r="AG9" s="129">
        <f t="shared" si="1"/>
        <v>0</v>
      </c>
      <c r="AH9" s="129">
        <f t="shared" si="1"/>
        <v>0</v>
      </c>
      <c r="AI9" s="129">
        <f t="shared" si="1"/>
        <v>0</v>
      </c>
      <c r="AJ9" s="129">
        <f t="shared" si="1"/>
        <v>0</v>
      </c>
      <c r="AK9" s="129">
        <f t="shared" si="1"/>
        <v>0</v>
      </c>
      <c r="AL9" s="129">
        <f t="shared" si="1"/>
        <v>0</v>
      </c>
      <c r="AM9" s="129">
        <f t="shared" si="1"/>
        <v>0</v>
      </c>
      <c r="AN9" s="129">
        <f t="shared" si="1"/>
        <v>0</v>
      </c>
      <c r="AO9" s="129">
        <f t="shared" si="1"/>
        <v>0</v>
      </c>
    </row>
    <row r="10" spans="1:41" s="55" customFormat="1" x14ac:dyDescent="0.2">
      <c r="A10" s="130" t="s">
        <v>547</v>
      </c>
      <c r="B10" s="131">
        <f>Production*IF(Term&gt;=C$2,1,0)</f>
        <v>39780</v>
      </c>
      <c r="C10" s="131">
        <f t="shared" ref="C10:AO10" si="2">B10*(1-$B$3)*IF(Term&gt;=C$2,1,0)</f>
        <v>39581.1</v>
      </c>
      <c r="D10" s="131">
        <f t="shared" si="2"/>
        <v>39383.194499999998</v>
      </c>
      <c r="E10" s="131">
        <f t="shared" si="2"/>
        <v>39186.278527499999</v>
      </c>
      <c r="F10" s="131">
        <f t="shared" si="2"/>
        <v>38990.347134862495</v>
      </c>
      <c r="G10" s="131">
        <f t="shared" si="2"/>
        <v>38795.395399188186</v>
      </c>
      <c r="H10" s="131">
        <f t="shared" si="2"/>
        <v>38601.418422192248</v>
      </c>
      <c r="I10" s="131">
        <f t="shared" si="2"/>
        <v>38408.41133008129</v>
      </c>
      <c r="J10" s="131">
        <f t="shared" si="2"/>
        <v>38216.369273430886</v>
      </c>
      <c r="K10" s="131">
        <f t="shared" si="2"/>
        <v>38025.287427063733</v>
      </c>
      <c r="L10" s="131">
        <f t="shared" si="2"/>
        <v>37835.160989928416</v>
      </c>
      <c r="M10" s="131">
        <f t="shared" si="2"/>
        <v>37645.985184978774</v>
      </c>
      <c r="N10" s="131">
        <f t="shared" si="2"/>
        <v>37457.755259053876</v>
      </c>
      <c r="O10" s="131">
        <f t="shared" si="2"/>
        <v>37270.466482758609</v>
      </c>
      <c r="P10" s="131">
        <f t="shared" si="2"/>
        <v>37084.114150344816</v>
      </c>
      <c r="Q10" s="131">
        <f t="shared" si="2"/>
        <v>36898.693579593091</v>
      </c>
      <c r="R10" s="131">
        <f t="shared" si="2"/>
        <v>36714.200111695129</v>
      </c>
      <c r="S10" s="131">
        <f t="shared" si="2"/>
        <v>36530.629111136652</v>
      </c>
      <c r="T10" s="131">
        <f t="shared" si="2"/>
        <v>36347.975965580968</v>
      </c>
      <c r="U10" s="131">
        <f t="shared" si="2"/>
        <v>36166.236085753066</v>
      </c>
      <c r="V10" s="131">
        <f t="shared" si="2"/>
        <v>35985.4049053243</v>
      </c>
      <c r="W10" s="131">
        <f t="shared" si="2"/>
        <v>35805.477880797676</v>
      </c>
      <c r="X10" s="131">
        <f t="shared" si="2"/>
        <v>35626.450491393691</v>
      </c>
      <c r="Y10" s="131">
        <f t="shared" si="2"/>
        <v>35448.318238936721</v>
      </c>
      <c r="Z10" s="131">
        <f t="shared" si="2"/>
        <v>35271.07664774204</v>
      </c>
      <c r="AA10" s="131">
        <f t="shared" si="2"/>
        <v>0</v>
      </c>
      <c r="AB10" s="131">
        <f t="shared" si="2"/>
        <v>0</v>
      </c>
      <c r="AC10" s="131">
        <f t="shared" si="2"/>
        <v>0</v>
      </c>
      <c r="AD10" s="131">
        <f t="shared" si="2"/>
        <v>0</v>
      </c>
      <c r="AE10" s="131">
        <f t="shared" si="2"/>
        <v>0</v>
      </c>
      <c r="AF10" s="131">
        <f t="shared" si="2"/>
        <v>0</v>
      </c>
      <c r="AG10" s="131">
        <f t="shared" si="2"/>
        <v>0</v>
      </c>
      <c r="AH10" s="131">
        <f t="shared" si="2"/>
        <v>0</v>
      </c>
      <c r="AI10" s="131">
        <f t="shared" si="2"/>
        <v>0</v>
      </c>
      <c r="AJ10" s="131">
        <f t="shared" si="2"/>
        <v>0</v>
      </c>
      <c r="AK10" s="131">
        <f t="shared" si="2"/>
        <v>0</v>
      </c>
      <c r="AL10" s="131">
        <f t="shared" si="2"/>
        <v>0</v>
      </c>
      <c r="AM10" s="131">
        <f t="shared" si="2"/>
        <v>0</v>
      </c>
      <c r="AN10" s="131">
        <f t="shared" si="2"/>
        <v>0</v>
      </c>
      <c r="AO10" s="131">
        <f t="shared" si="2"/>
        <v>0</v>
      </c>
    </row>
    <row r="11" spans="1:41" s="55" customFormat="1" x14ac:dyDescent="0.2">
      <c r="A11" s="55" t="s">
        <v>548</v>
      </c>
      <c r="B11" s="8">
        <f>B9*B10</f>
        <v>9938.76</v>
      </c>
      <c r="C11" s="8">
        <f t="shared" ref="C11:AO11" si="3">C9*C10</f>
        <v>10235.183516999998</v>
      </c>
      <c r="D11" s="8">
        <f t="shared" si="3"/>
        <v>10540.447865394523</v>
      </c>
      <c r="E11" s="8">
        <f t="shared" si="3"/>
        <v>10854.816722979913</v>
      </c>
      <c r="F11" s="8">
        <f t="shared" si="3"/>
        <v>11178.561631742787</v>
      </c>
      <c r="G11" s="8">
        <f t="shared" si="3"/>
        <v>11511.962232409514</v>
      </c>
      <c r="H11" s="8">
        <f t="shared" si="3"/>
        <v>11855.306505991126</v>
      </c>
      <c r="I11" s="8">
        <f t="shared" si="3"/>
        <v>12208.891022532312</v>
      </c>
      <c r="J11" s="8">
        <f t="shared" si="3"/>
        <v>12573.021197279339</v>
      </c>
      <c r="K11" s="8">
        <f t="shared" si="3"/>
        <v>12948.011554488194</v>
      </c>
      <c r="L11" s="8">
        <f t="shared" si="3"/>
        <v>13334.185999100806</v>
      </c>
      <c r="M11" s="8">
        <f t="shared" si="3"/>
        <v>13731.878096523988</v>
      </c>
      <c r="N11" s="8">
        <f t="shared" si="3"/>
        <v>14141.431360752813</v>
      </c>
      <c r="O11" s="8">
        <f t="shared" si="3"/>
        <v>14563.199551087266</v>
      </c>
      <c r="P11" s="8">
        <f t="shared" si="3"/>
        <v>14997.546977698441</v>
      </c>
      <c r="Q11" s="8">
        <f t="shared" si="3"/>
        <v>15444.848816308295</v>
      </c>
      <c r="R11" s="8">
        <f t="shared" si="3"/>
        <v>15905.491432254688</v>
      </c>
      <c r="S11" s="8">
        <f t="shared" si="3"/>
        <v>16379.872714221683</v>
      </c>
      <c r="T11" s="8">
        <f t="shared" si="3"/>
        <v>16868.402417923342</v>
      </c>
      <c r="U11" s="8">
        <f t="shared" si="3"/>
        <v>17371.502520037906</v>
      </c>
      <c r="V11" s="8">
        <f t="shared" si="3"/>
        <v>17889.607582698038</v>
      </c>
      <c r="W11" s="8">
        <f t="shared" si="3"/>
        <v>18423.165128852004</v>
      </c>
      <c r="X11" s="8">
        <f t="shared" si="3"/>
        <v>18972.636028820012</v>
      </c>
      <c r="Y11" s="8">
        <f t="shared" si="3"/>
        <v>19538.494898379566</v>
      </c>
      <c r="Z11" s="8">
        <f t="shared" si="3"/>
        <v>20121.23050872374</v>
      </c>
      <c r="AA11" s="8">
        <f t="shared" si="3"/>
        <v>0</v>
      </c>
      <c r="AB11" s="8">
        <f t="shared" si="3"/>
        <v>0</v>
      </c>
      <c r="AC11" s="8">
        <f t="shared" si="3"/>
        <v>0</v>
      </c>
      <c r="AD11" s="8">
        <f t="shared" si="3"/>
        <v>0</v>
      </c>
      <c r="AE11" s="8">
        <f t="shared" si="3"/>
        <v>0</v>
      </c>
      <c r="AF11" s="8">
        <f t="shared" si="3"/>
        <v>0</v>
      </c>
      <c r="AG11" s="8">
        <f t="shared" si="3"/>
        <v>0</v>
      </c>
      <c r="AH11" s="8">
        <f t="shared" si="3"/>
        <v>0</v>
      </c>
      <c r="AI11" s="8">
        <f t="shared" si="3"/>
        <v>0</v>
      </c>
      <c r="AJ11" s="8">
        <f t="shared" si="3"/>
        <v>0</v>
      </c>
      <c r="AK11" s="8">
        <f t="shared" si="3"/>
        <v>0</v>
      </c>
      <c r="AL11" s="8">
        <f t="shared" si="3"/>
        <v>0</v>
      </c>
      <c r="AM11" s="8">
        <f t="shared" si="3"/>
        <v>0</v>
      </c>
      <c r="AN11" s="8">
        <f t="shared" si="3"/>
        <v>0</v>
      </c>
      <c r="AO11" s="8">
        <f t="shared" si="3"/>
        <v>0</v>
      </c>
    </row>
    <row r="12" spans="1:41" s="58" customFormat="1" x14ac:dyDescent="0.2">
      <c r="A12" s="58" t="s">
        <v>549</v>
      </c>
      <c r="B12" s="58">
        <f>B11</f>
        <v>9938.76</v>
      </c>
      <c r="C12" s="58">
        <f t="shared" ref="C12:AO12" si="4">C11+B12</f>
        <v>20173.943517</v>
      </c>
      <c r="D12" s="58">
        <f t="shared" si="4"/>
        <v>30714.391382394522</v>
      </c>
      <c r="E12" s="58">
        <f t="shared" si="4"/>
        <v>41569.208105374433</v>
      </c>
      <c r="F12" s="58">
        <f t="shared" si="4"/>
        <v>52747.769737117218</v>
      </c>
      <c r="G12" s="58">
        <f t="shared" si="4"/>
        <v>64259.731969526736</v>
      </c>
      <c r="H12" s="58">
        <f t="shared" si="4"/>
        <v>76115.038475517867</v>
      </c>
      <c r="I12" s="58">
        <f t="shared" si="4"/>
        <v>88323.929498050187</v>
      </c>
      <c r="J12" s="58">
        <f t="shared" si="4"/>
        <v>100896.95069532952</v>
      </c>
      <c r="K12" s="58">
        <f t="shared" si="4"/>
        <v>113844.96224981772</v>
      </c>
      <c r="L12" s="58">
        <f t="shared" si="4"/>
        <v>127179.14824891853</v>
      </c>
      <c r="M12" s="58">
        <f t="shared" si="4"/>
        <v>140911.02634544251</v>
      </c>
      <c r="N12" s="58">
        <f t="shared" si="4"/>
        <v>155052.45770619533</v>
      </c>
      <c r="O12" s="58">
        <f t="shared" si="4"/>
        <v>169615.65725728258</v>
      </c>
      <c r="P12" s="58">
        <f t="shared" si="4"/>
        <v>184613.20423498104</v>
      </c>
      <c r="Q12" s="58">
        <f t="shared" si="4"/>
        <v>200058.05305128935</v>
      </c>
      <c r="R12" s="58">
        <f t="shared" si="4"/>
        <v>215963.54448354404</v>
      </c>
      <c r="S12" s="58">
        <f t="shared" si="4"/>
        <v>232343.41719776572</v>
      </c>
      <c r="T12" s="58">
        <f t="shared" si="4"/>
        <v>249211.81961568908</v>
      </c>
      <c r="U12" s="58">
        <f t="shared" si="4"/>
        <v>266583.32213572698</v>
      </c>
      <c r="V12" s="58">
        <f t="shared" si="4"/>
        <v>284472.92971842503</v>
      </c>
      <c r="W12" s="58">
        <f t="shared" si="4"/>
        <v>302896.09484727704</v>
      </c>
      <c r="X12" s="58">
        <f t="shared" si="4"/>
        <v>321868.73087609705</v>
      </c>
      <c r="Y12" s="58">
        <f t="shared" si="4"/>
        <v>341407.2257744766</v>
      </c>
      <c r="Z12" s="58">
        <f t="shared" si="4"/>
        <v>361528.45628320036</v>
      </c>
      <c r="AA12" s="58">
        <f t="shared" si="4"/>
        <v>361528.45628320036</v>
      </c>
      <c r="AB12" s="58">
        <f t="shared" si="4"/>
        <v>361528.45628320036</v>
      </c>
      <c r="AC12" s="58">
        <f t="shared" si="4"/>
        <v>361528.45628320036</v>
      </c>
      <c r="AD12" s="58">
        <f t="shared" si="4"/>
        <v>361528.45628320036</v>
      </c>
      <c r="AE12" s="58">
        <f t="shared" si="4"/>
        <v>361528.45628320036</v>
      </c>
      <c r="AF12" s="58">
        <f t="shared" si="4"/>
        <v>361528.45628320036</v>
      </c>
      <c r="AG12" s="58">
        <f t="shared" si="4"/>
        <v>361528.45628320036</v>
      </c>
      <c r="AH12" s="58">
        <f t="shared" si="4"/>
        <v>361528.45628320036</v>
      </c>
      <c r="AI12" s="58">
        <f t="shared" si="4"/>
        <v>361528.45628320036</v>
      </c>
      <c r="AJ12" s="58">
        <f t="shared" si="4"/>
        <v>361528.45628320036</v>
      </c>
      <c r="AK12" s="58">
        <f t="shared" si="4"/>
        <v>361528.45628320036</v>
      </c>
      <c r="AL12" s="58">
        <f t="shared" si="4"/>
        <v>361528.45628320036</v>
      </c>
      <c r="AM12" s="58">
        <f t="shared" si="4"/>
        <v>361528.45628320036</v>
      </c>
      <c r="AN12" s="58">
        <f t="shared" si="4"/>
        <v>361528.45628320036</v>
      </c>
      <c r="AO12" s="58">
        <f t="shared" si="4"/>
        <v>361528.45628320036</v>
      </c>
    </row>
    <row r="13" spans="1:41" s="58" customFormat="1" x14ac:dyDescent="0.2">
      <c r="A13" s="58" t="s">
        <v>550</v>
      </c>
      <c r="B13" s="58" t="e">
        <f>B25</f>
        <v>#N/A</v>
      </c>
      <c r="C13" s="58" t="e">
        <f t="shared" ref="C13:AO13" si="5">C25</f>
        <v>#N/A</v>
      </c>
      <c r="D13" s="58" t="e">
        <f t="shared" si="5"/>
        <v>#N/A</v>
      </c>
      <c r="E13" s="58" t="e">
        <f t="shared" si="5"/>
        <v>#N/A</v>
      </c>
      <c r="F13" s="58" t="e">
        <f t="shared" si="5"/>
        <v>#N/A</v>
      </c>
      <c r="G13" s="58" t="e">
        <f t="shared" si="5"/>
        <v>#N/A</v>
      </c>
      <c r="H13" s="58" t="e">
        <f t="shared" si="5"/>
        <v>#N/A</v>
      </c>
      <c r="I13" s="58" t="e">
        <f t="shared" si="5"/>
        <v>#N/A</v>
      </c>
      <c r="J13" s="58" t="e">
        <f t="shared" si="5"/>
        <v>#N/A</v>
      </c>
      <c r="K13" s="58" t="e">
        <f t="shared" si="5"/>
        <v>#N/A</v>
      </c>
      <c r="L13" s="58" t="e">
        <f t="shared" si="5"/>
        <v>#N/A</v>
      </c>
      <c r="M13" s="58" t="e">
        <f t="shared" si="5"/>
        <v>#N/A</v>
      </c>
      <c r="N13" s="58" t="e">
        <f t="shared" si="5"/>
        <v>#N/A</v>
      </c>
      <c r="O13" s="58" t="e">
        <f t="shared" si="5"/>
        <v>#N/A</v>
      </c>
      <c r="P13" s="58" t="e">
        <f t="shared" si="5"/>
        <v>#N/A</v>
      </c>
      <c r="Q13" s="58" t="e">
        <f t="shared" si="5"/>
        <v>#N/A</v>
      </c>
      <c r="R13" s="58" t="e">
        <f t="shared" si="5"/>
        <v>#N/A</v>
      </c>
      <c r="S13" s="58" t="e">
        <f t="shared" si="5"/>
        <v>#N/A</v>
      </c>
      <c r="T13" s="58" t="e">
        <f t="shared" si="5"/>
        <v>#N/A</v>
      </c>
      <c r="U13" s="58" t="e">
        <f t="shared" si="5"/>
        <v>#N/A</v>
      </c>
      <c r="V13" s="58" t="e">
        <f t="shared" si="5"/>
        <v>#N/A</v>
      </c>
      <c r="W13" s="58" t="e">
        <f t="shared" si="5"/>
        <v>#N/A</v>
      </c>
      <c r="X13" s="58" t="e">
        <f t="shared" si="5"/>
        <v>#N/A</v>
      </c>
      <c r="Y13" s="58" t="e">
        <f t="shared" si="5"/>
        <v>#N/A</v>
      </c>
      <c r="Z13" s="58" t="e">
        <f t="shared" si="5"/>
        <v>#N/A</v>
      </c>
      <c r="AA13" s="58" t="e">
        <f t="shared" si="5"/>
        <v>#N/A</v>
      </c>
      <c r="AB13" s="58" t="e">
        <f t="shared" si="5"/>
        <v>#N/A</v>
      </c>
      <c r="AC13" s="58" t="e">
        <f t="shared" si="5"/>
        <v>#N/A</v>
      </c>
      <c r="AD13" s="58" t="e">
        <f t="shared" si="5"/>
        <v>#N/A</v>
      </c>
      <c r="AE13" s="58" t="e">
        <f t="shared" si="5"/>
        <v>#N/A</v>
      </c>
      <c r="AF13" s="58" t="e">
        <f t="shared" si="5"/>
        <v>#N/A</v>
      </c>
      <c r="AG13" s="58" t="e">
        <f t="shared" si="5"/>
        <v>#N/A</v>
      </c>
      <c r="AH13" s="58" t="e">
        <f t="shared" si="5"/>
        <v>#N/A</v>
      </c>
      <c r="AI13" s="58" t="e">
        <f t="shared" si="5"/>
        <v>#N/A</v>
      </c>
      <c r="AJ13" s="58" t="e">
        <f t="shared" si="5"/>
        <v>#N/A</v>
      </c>
      <c r="AK13" s="58" t="e">
        <f t="shared" si="5"/>
        <v>#N/A</v>
      </c>
      <c r="AL13" s="58" t="e">
        <f t="shared" si="5"/>
        <v>#N/A</v>
      </c>
      <c r="AM13" s="58" t="e">
        <f t="shared" si="5"/>
        <v>#N/A</v>
      </c>
      <c r="AN13" s="58" t="e">
        <f t="shared" si="5"/>
        <v>#N/A</v>
      </c>
      <c r="AO13" s="58" t="e">
        <f t="shared" si="5"/>
        <v>#N/A</v>
      </c>
    </row>
    <row r="14" spans="1:41" s="58" customFormat="1" x14ac:dyDescent="0.2">
      <c r="A14" s="58" t="s">
        <v>551</v>
      </c>
      <c r="B14" s="58">
        <f>B26</f>
        <v>0</v>
      </c>
      <c r="C14" s="58">
        <f t="shared" ref="C14:AO14" si="6">C26</f>
        <v>0</v>
      </c>
      <c r="D14" s="58">
        <f t="shared" si="6"/>
        <v>0</v>
      </c>
      <c r="E14" s="58">
        <f t="shared" si="6"/>
        <v>0</v>
      </c>
      <c r="F14" s="58">
        <f t="shared" si="6"/>
        <v>0</v>
      </c>
      <c r="G14" s="58">
        <f t="shared" si="6"/>
        <v>0</v>
      </c>
      <c r="H14" s="58">
        <f t="shared" si="6"/>
        <v>0</v>
      </c>
      <c r="I14" s="58">
        <f t="shared" si="6"/>
        <v>0</v>
      </c>
      <c r="J14" s="58">
        <f t="shared" si="6"/>
        <v>0</v>
      </c>
      <c r="K14" s="58">
        <f t="shared" si="6"/>
        <v>0</v>
      </c>
      <c r="L14" s="58">
        <f t="shared" si="6"/>
        <v>0</v>
      </c>
      <c r="M14" s="58">
        <f t="shared" si="6"/>
        <v>0</v>
      </c>
      <c r="N14" s="58">
        <f t="shared" si="6"/>
        <v>0</v>
      </c>
      <c r="O14" s="58">
        <f t="shared" si="6"/>
        <v>0</v>
      </c>
      <c r="P14" s="58">
        <f t="shared" si="6"/>
        <v>0</v>
      </c>
      <c r="Q14" s="58">
        <f t="shared" si="6"/>
        <v>0</v>
      </c>
      <c r="R14" s="58">
        <f t="shared" si="6"/>
        <v>0</v>
      </c>
      <c r="S14" s="58">
        <f t="shared" si="6"/>
        <v>0</v>
      </c>
      <c r="T14" s="58">
        <f t="shared" si="6"/>
        <v>0</v>
      </c>
      <c r="U14" s="58">
        <f t="shared" si="6"/>
        <v>0</v>
      </c>
      <c r="V14" s="58">
        <f t="shared" si="6"/>
        <v>0</v>
      </c>
      <c r="W14" s="58">
        <f t="shared" si="6"/>
        <v>0</v>
      </c>
      <c r="X14" s="58">
        <f t="shared" si="6"/>
        <v>0</v>
      </c>
      <c r="Y14" s="58">
        <f t="shared" si="6"/>
        <v>0</v>
      </c>
      <c r="Z14" s="58">
        <f t="shared" si="6"/>
        <v>0</v>
      </c>
      <c r="AA14" s="58">
        <f t="shared" si="6"/>
        <v>0</v>
      </c>
      <c r="AB14" s="58">
        <f t="shared" si="6"/>
        <v>0</v>
      </c>
      <c r="AC14" s="58">
        <f t="shared" si="6"/>
        <v>0</v>
      </c>
      <c r="AD14" s="58">
        <f t="shared" si="6"/>
        <v>0</v>
      </c>
      <c r="AE14" s="58">
        <f t="shared" si="6"/>
        <v>0</v>
      </c>
      <c r="AF14" s="58">
        <f t="shared" si="6"/>
        <v>0</v>
      </c>
      <c r="AG14" s="58">
        <f t="shared" si="6"/>
        <v>0</v>
      </c>
      <c r="AH14" s="58">
        <f t="shared" si="6"/>
        <v>0</v>
      </c>
      <c r="AI14" s="58">
        <f t="shared" si="6"/>
        <v>0</v>
      </c>
      <c r="AJ14" s="58">
        <f t="shared" si="6"/>
        <v>0</v>
      </c>
      <c r="AK14" s="58">
        <f t="shared" si="6"/>
        <v>0</v>
      </c>
      <c r="AL14" s="58">
        <f t="shared" si="6"/>
        <v>0</v>
      </c>
      <c r="AM14" s="58">
        <f t="shared" si="6"/>
        <v>0</v>
      </c>
      <c r="AN14" s="58">
        <f t="shared" si="6"/>
        <v>0</v>
      </c>
      <c r="AO14" s="58">
        <f t="shared" si="6"/>
        <v>0</v>
      </c>
    </row>
    <row r="15" spans="1:41" s="58" customFormat="1" x14ac:dyDescent="0.2">
      <c r="A15" s="58" t="s">
        <v>552</v>
      </c>
      <c r="B15" s="58" t="e">
        <f t="shared" ref="B15:AO15" si="7">-sys_price+SUM(B12:B14)</f>
        <v>#N/A</v>
      </c>
      <c r="C15" s="58" t="e">
        <f t="shared" si="7"/>
        <v>#N/A</v>
      </c>
      <c r="D15" s="58" t="e">
        <f t="shared" si="7"/>
        <v>#N/A</v>
      </c>
      <c r="E15" s="58" t="e">
        <f t="shared" si="7"/>
        <v>#N/A</v>
      </c>
      <c r="F15" s="58" t="e">
        <f t="shared" si="7"/>
        <v>#N/A</v>
      </c>
      <c r="G15" s="58" t="e">
        <f t="shared" si="7"/>
        <v>#N/A</v>
      </c>
      <c r="H15" s="58" t="e">
        <f t="shared" si="7"/>
        <v>#N/A</v>
      </c>
      <c r="I15" s="58" t="e">
        <f t="shared" si="7"/>
        <v>#N/A</v>
      </c>
      <c r="J15" s="58" t="e">
        <f t="shared" si="7"/>
        <v>#N/A</v>
      </c>
      <c r="K15" s="58" t="e">
        <f t="shared" si="7"/>
        <v>#N/A</v>
      </c>
      <c r="L15" s="58" t="e">
        <f t="shared" si="7"/>
        <v>#N/A</v>
      </c>
      <c r="M15" s="58" t="e">
        <f t="shared" si="7"/>
        <v>#N/A</v>
      </c>
      <c r="N15" s="58" t="e">
        <f t="shared" si="7"/>
        <v>#N/A</v>
      </c>
      <c r="O15" s="58" t="e">
        <f t="shared" si="7"/>
        <v>#N/A</v>
      </c>
      <c r="P15" s="58" t="e">
        <f t="shared" si="7"/>
        <v>#N/A</v>
      </c>
      <c r="Q15" s="58" t="e">
        <f t="shared" si="7"/>
        <v>#N/A</v>
      </c>
      <c r="R15" s="58" t="e">
        <f t="shared" si="7"/>
        <v>#N/A</v>
      </c>
      <c r="S15" s="58" t="e">
        <f t="shared" si="7"/>
        <v>#N/A</v>
      </c>
      <c r="T15" s="58" t="e">
        <f t="shared" si="7"/>
        <v>#N/A</v>
      </c>
      <c r="U15" s="58" t="e">
        <f t="shared" si="7"/>
        <v>#N/A</v>
      </c>
      <c r="V15" s="58" t="e">
        <f t="shared" si="7"/>
        <v>#N/A</v>
      </c>
      <c r="W15" s="58" t="e">
        <f t="shared" si="7"/>
        <v>#N/A</v>
      </c>
      <c r="X15" s="58" t="e">
        <f t="shared" si="7"/>
        <v>#N/A</v>
      </c>
      <c r="Y15" s="58" t="e">
        <f t="shared" si="7"/>
        <v>#N/A</v>
      </c>
      <c r="Z15" s="58" t="e">
        <f t="shared" si="7"/>
        <v>#N/A</v>
      </c>
      <c r="AA15" s="58" t="e">
        <f t="shared" si="7"/>
        <v>#N/A</v>
      </c>
      <c r="AB15" s="58" t="e">
        <f t="shared" si="7"/>
        <v>#N/A</v>
      </c>
      <c r="AC15" s="58" t="e">
        <f t="shared" si="7"/>
        <v>#N/A</v>
      </c>
      <c r="AD15" s="58" t="e">
        <f t="shared" si="7"/>
        <v>#N/A</v>
      </c>
      <c r="AE15" s="58" t="e">
        <f t="shared" si="7"/>
        <v>#N/A</v>
      </c>
      <c r="AF15" s="58" t="e">
        <f t="shared" si="7"/>
        <v>#N/A</v>
      </c>
      <c r="AG15" s="58" t="e">
        <f t="shared" si="7"/>
        <v>#N/A</v>
      </c>
      <c r="AH15" s="58" t="e">
        <f t="shared" si="7"/>
        <v>#N/A</v>
      </c>
      <c r="AI15" s="58" t="e">
        <f t="shared" si="7"/>
        <v>#N/A</v>
      </c>
      <c r="AJ15" s="58" t="e">
        <f t="shared" si="7"/>
        <v>#N/A</v>
      </c>
      <c r="AK15" s="58" t="e">
        <f t="shared" si="7"/>
        <v>#N/A</v>
      </c>
      <c r="AL15" s="58" t="e">
        <f t="shared" si="7"/>
        <v>#N/A</v>
      </c>
      <c r="AM15" s="58" t="e">
        <f t="shared" si="7"/>
        <v>#N/A</v>
      </c>
      <c r="AN15" s="58" t="e">
        <f t="shared" si="7"/>
        <v>#N/A</v>
      </c>
      <c r="AO15" s="58" t="e">
        <f t="shared" si="7"/>
        <v>#N/A</v>
      </c>
    </row>
    <row r="16" spans="1:41" x14ac:dyDescent="0.2">
      <c r="A16" t="s">
        <v>553</v>
      </c>
      <c r="B16" s="132" t="str">
        <f>IFERROR(IF(B15&lt;0,"-",ABS(A15/B12)),"N/A")</f>
        <v>N/A</v>
      </c>
      <c r="C16" s="132" t="str">
        <f t="shared" ref="C16:AO16" si="8">IFERROR(IF(C15&lt;0,"-",ABS(B15/C12)),"N/A")</f>
        <v>N/A</v>
      </c>
      <c r="D16" s="132" t="str">
        <f t="shared" si="8"/>
        <v>N/A</v>
      </c>
      <c r="E16" s="132" t="str">
        <f t="shared" si="8"/>
        <v>N/A</v>
      </c>
      <c r="F16" s="132" t="str">
        <f t="shared" si="8"/>
        <v>N/A</v>
      </c>
      <c r="G16" s="132" t="str">
        <f t="shared" si="8"/>
        <v>N/A</v>
      </c>
      <c r="H16" s="132" t="str">
        <f t="shared" si="8"/>
        <v>N/A</v>
      </c>
      <c r="I16" s="132" t="str">
        <f t="shared" si="8"/>
        <v>N/A</v>
      </c>
      <c r="J16" s="132" t="str">
        <f t="shared" si="8"/>
        <v>N/A</v>
      </c>
      <c r="K16" s="132" t="str">
        <f t="shared" si="8"/>
        <v>N/A</v>
      </c>
      <c r="L16" s="132" t="str">
        <f t="shared" si="8"/>
        <v>N/A</v>
      </c>
      <c r="M16" s="132" t="str">
        <f t="shared" si="8"/>
        <v>N/A</v>
      </c>
      <c r="N16" s="132" t="str">
        <f t="shared" si="8"/>
        <v>N/A</v>
      </c>
      <c r="O16" s="132" t="str">
        <f t="shared" si="8"/>
        <v>N/A</v>
      </c>
      <c r="P16" s="132" t="str">
        <f t="shared" si="8"/>
        <v>N/A</v>
      </c>
      <c r="Q16" s="132" t="str">
        <f t="shared" si="8"/>
        <v>N/A</v>
      </c>
      <c r="R16" s="132" t="str">
        <f t="shared" si="8"/>
        <v>N/A</v>
      </c>
      <c r="S16" s="132" t="str">
        <f t="shared" si="8"/>
        <v>N/A</v>
      </c>
      <c r="T16" s="132" t="str">
        <f t="shared" si="8"/>
        <v>N/A</v>
      </c>
      <c r="U16" s="132" t="str">
        <f t="shared" si="8"/>
        <v>N/A</v>
      </c>
      <c r="V16" s="132" t="str">
        <f t="shared" si="8"/>
        <v>N/A</v>
      </c>
      <c r="W16" s="132" t="str">
        <f t="shared" si="8"/>
        <v>N/A</v>
      </c>
      <c r="X16" s="132" t="str">
        <f t="shared" si="8"/>
        <v>N/A</v>
      </c>
      <c r="Y16" s="132" t="str">
        <f t="shared" si="8"/>
        <v>N/A</v>
      </c>
      <c r="Z16" s="132" t="str">
        <f t="shared" si="8"/>
        <v>N/A</v>
      </c>
      <c r="AA16" s="132" t="str">
        <f t="shared" si="8"/>
        <v>N/A</v>
      </c>
      <c r="AB16" s="132" t="str">
        <f t="shared" si="8"/>
        <v>N/A</v>
      </c>
      <c r="AC16" s="132" t="str">
        <f t="shared" si="8"/>
        <v>N/A</v>
      </c>
      <c r="AD16" s="132" t="str">
        <f t="shared" si="8"/>
        <v>N/A</v>
      </c>
      <c r="AE16" s="132" t="str">
        <f t="shared" si="8"/>
        <v>N/A</v>
      </c>
      <c r="AF16" s="132" t="str">
        <f t="shared" si="8"/>
        <v>N/A</v>
      </c>
      <c r="AG16" s="132" t="str">
        <f t="shared" si="8"/>
        <v>N/A</v>
      </c>
      <c r="AH16" s="132" t="str">
        <f t="shared" si="8"/>
        <v>N/A</v>
      </c>
      <c r="AI16" s="132" t="str">
        <f t="shared" si="8"/>
        <v>N/A</v>
      </c>
      <c r="AJ16" s="132" t="str">
        <f t="shared" si="8"/>
        <v>N/A</v>
      </c>
      <c r="AK16" s="132" t="str">
        <f t="shared" si="8"/>
        <v>N/A</v>
      </c>
      <c r="AL16" s="132" t="str">
        <f t="shared" si="8"/>
        <v>N/A</v>
      </c>
      <c r="AM16" s="132" t="str">
        <f t="shared" si="8"/>
        <v>N/A</v>
      </c>
      <c r="AN16" s="132" t="str">
        <f t="shared" si="8"/>
        <v>N/A</v>
      </c>
      <c r="AO16" s="132" t="str">
        <f t="shared" si="8"/>
        <v>N/A</v>
      </c>
    </row>
    <row r="18" spans="1:41" x14ac:dyDescent="0.2">
      <c r="A18" t="s">
        <v>554</v>
      </c>
      <c r="B18" s="133" t="e" cm="1">
        <f t="array" ref="B18">COUNTIF(B15:M15,"&lt;"&amp;0)+INDEX(B16:M16,COUNTIF(B15:M15,"&lt;"&amp;0)+1)</f>
        <v>#VALUE!</v>
      </c>
    </row>
    <row r="19" spans="1:41" s="126" customFormat="1" x14ac:dyDescent="0.2">
      <c r="B19" s="134"/>
    </row>
    <row r="20" spans="1:41" x14ac:dyDescent="0.2">
      <c r="B20" s="7"/>
    </row>
    <row r="21" spans="1:41" x14ac:dyDescent="0.2">
      <c r="A21" s="31" t="s">
        <v>555</v>
      </c>
      <c r="B21" s="7"/>
    </row>
    <row r="22" spans="1:41" x14ac:dyDescent="0.2">
      <c r="A22" t="s">
        <v>542</v>
      </c>
      <c r="B22" s="7">
        <f t="shared" ref="B22:AO22" si="9">B$2*IF(Term&gt;=B$2,1,0)</f>
        <v>1</v>
      </c>
      <c r="C22" s="7">
        <f t="shared" si="9"/>
        <v>2</v>
      </c>
      <c r="D22" s="7">
        <f t="shared" si="9"/>
        <v>3</v>
      </c>
      <c r="E22" s="7">
        <f t="shared" si="9"/>
        <v>4</v>
      </c>
      <c r="F22" s="7">
        <f t="shared" si="9"/>
        <v>5</v>
      </c>
      <c r="G22" s="7">
        <f t="shared" si="9"/>
        <v>6</v>
      </c>
      <c r="H22" s="7">
        <f t="shared" si="9"/>
        <v>7</v>
      </c>
      <c r="I22" s="7">
        <f t="shared" si="9"/>
        <v>8</v>
      </c>
      <c r="J22" s="7">
        <f t="shared" si="9"/>
        <v>9</v>
      </c>
      <c r="K22" s="7">
        <f t="shared" si="9"/>
        <v>10</v>
      </c>
      <c r="L22" s="7">
        <f t="shared" si="9"/>
        <v>11</v>
      </c>
      <c r="M22" s="7">
        <f t="shared" si="9"/>
        <v>12</v>
      </c>
      <c r="N22" s="7">
        <f t="shared" si="9"/>
        <v>13</v>
      </c>
      <c r="O22" s="7">
        <f t="shared" si="9"/>
        <v>14</v>
      </c>
      <c r="P22" s="7">
        <f t="shared" si="9"/>
        <v>15</v>
      </c>
      <c r="Q22" s="7">
        <f t="shared" si="9"/>
        <v>16</v>
      </c>
      <c r="R22" s="7">
        <f t="shared" si="9"/>
        <v>17</v>
      </c>
      <c r="S22" s="7">
        <f t="shared" si="9"/>
        <v>18</v>
      </c>
      <c r="T22" s="7">
        <f t="shared" si="9"/>
        <v>19</v>
      </c>
      <c r="U22" s="7">
        <f t="shared" si="9"/>
        <v>20</v>
      </c>
      <c r="V22" s="7">
        <f t="shared" si="9"/>
        <v>21</v>
      </c>
      <c r="W22" s="7">
        <f t="shared" si="9"/>
        <v>22</v>
      </c>
      <c r="X22" s="7">
        <f t="shared" si="9"/>
        <v>23</v>
      </c>
      <c r="Y22" s="7">
        <f t="shared" si="9"/>
        <v>24</v>
      </c>
      <c r="Z22" s="7">
        <f t="shared" si="9"/>
        <v>25</v>
      </c>
      <c r="AA22" s="7">
        <f t="shared" si="9"/>
        <v>0</v>
      </c>
      <c r="AB22" s="7">
        <f t="shared" si="9"/>
        <v>0</v>
      </c>
      <c r="AC22" s="7">
        <f t="shared" si="9"/>
        <v>0</v>
      </c>
      <c r="AD22" s="7">
        <f t="shared" si="9"/>
        <v>0</v>
      </c>
      <c r="AE22" s="7">
        <f t="shared" si="9"/>
        <v>0</v>
      </c>
      <c r="AF22" s="7">
        <f t="shared" si="9"/>
        <v>0</v>
      </c>
      <c r="AG22" s="7">
        <f t="shared" si="9"/>
        <v>0</v>
      </c>
      <c r="AH22" s="7">
        <f t="shared" si="9"/>
        <v>0</v>
      </c>
      <c r="AI22" s="7">
        <f t="shared" si="9"/>
        <v>0</v>
      </c>
      <c r="AJ22" s="7">
        <f t="shared" si="9"/>
        <v>0</v>
      </c>
      <c r="AK22" s="7">
        <f t="shared" si="9"/>
        <v>0</v>
      </c>
      <c r="AL22" s="7">
        <f t="shared" si="9"/>
        <v>0</v>
      </c>
      <c r="AM22" s="7">
        <f t="shared" si="9"/>
        <v>0</v>
      </c>
      <c r="AN22" s="7">
        <f t="shared" si="9"/>
        <v>0</v>
      </c>
      <c r="AO22" s="7">
        <f t="shared" si="9"/>
        <v>0</v>
      </c>
    </row>
    <row r="23" spans="1:41" s="58" customFormat="1" x14ac:dyDescent="0.2">
      <c r="A23" s="58" t="s">
        <v>556</v>
      </c>
      <c r="B23" s="58">
        <f>-Net_sys_price</f>
        <v>-65000</v>
      </c>
    </row>
    <row r="24" spans="1:41" s="58" customFormat="1" x14ac:dyDescent="0.2">
      <c r="A24" s="58" t="s">
        <v>548</v>
      </c>
      <c r="B24" s="58">
        <f>B11</f>
        <v>9938.76</v>
      </c>
      <c r="C24" s="58">
        <f t="shared" ref="C24:AO24" si="10">C11</f>
        <v>10235.183516999998</v>
      </c>
      <c r="D24" s="58">
        <f t="shared" si="10"/>
        <v>10540.447865394523</v>
      </c>
      <c r="E24" s="58">
        <f t="shared" si="10"/>
        <v>10854.816722979913</v>
      </c>
      <c r="F24" s="58">
        <f t="shared" si="10"/>
        <v>11178.561631742787</v>
      </c>
      <c r="G24" s="58">
        <f t="shared" si="10"/>
        <v>11511.962232409514</v>
      </c>
      <c r="H24" s="58">
        <f t="shared" si="10"/>
        <v>11855.306505991126</v>
      </c>
      <c r="I24" s="58">
        <f t="shared" si="10"/>
        <v>12208.891022532312</v>
      </c>
      <c r="J24" s="58">
        <f t="shared" si="10"/>
        <v>12573.021197279339</v>
      </c>
      <c r="K24" s="58">
        <f t="shared" si="10"/>
        <v>12948.011554488194</v>
      </c>
      <c r="L24" s="58">
        <f t="shared" si="10"/>
        <v>13334.185999100806</v>
      </c>
      <c r="M24" s="58">
        <f t="shared" si="10"/>
        <v>13731.878096523988</v>
      </c>
      <c r="N24" s="58">
        <f t="shared" si="10"/>
        <v>14141.431360752813</v>
      </c>
      <c r="O24" s="58">
        <f t="shared" si="10"/>
        <v>14563.199551087266</v>
      </c>
      <c r="P24" s="58">
        <f t="shared" si="10"/>
        <v>14997.546977698441</v>
      </c>
      <c r="Q24" s="58">
        <f t="shared" si="10"/>
        <v>15444.848816308295</v>
      </c>
      <c r="R24" s="58">
        <f t="shared" si="10"/>
        <v>15905.491432254688</v>
      </c>
      <c r="S24" s="58">
        <f t="shared" si="10"/>
        <v>16379.872714221683</v>
      </c>
      <c r="T24" s="58">
        <f t="shared" si="10"/>
        <v>16868.402417923342</v>
      </c>
      <c r="U24" s="58">
        <f t="shared" si="10"/>
        <v>17371.502520037906</v>
      </c>
      <c r="V24" s="58">
        <f t="shared" si="10"/>
        <v>17889.607582698038</v>
      </c>
      <c r="W24" s="58">
        <f t="shared" si="10"/>
        <v>18423.165128852004</v>
      </c>
      <c r="X24" s="58">
        <f t="shared" si="10"/>
        <v>18972.636028820012</v>
      </c>
      <c r="Y24" s="58">
        <f t="shared" si="10"/>
        <v>19538.494898379566</v>
      </c>
      <c r="Z24" s="58">
        <f t="shared" si="10"/>
        <v>20121.23050872374</v>
      </c>
      <c r="AA24" s="58">
        <f t="shared" si="10"/>
        <v>0</v>
      </c>
      <c r="AB24" s="58">
        <f t="shared" si="10"/>
        <v>0</v>
      </c>
      <c r="AC24" s="58">
        <f t="shared" si="10"/>
        <v>0</v>
      </c>
      <c r="AD24" s="58">
        <f t="shared" si="10"/>
        <v>0</v>
      </c>
      <c r="AE24" s="58">
        <f t="shared" si="10"/>
        <v>0</v>
      </c>
      <c r="AF24" s="58">
        <f t="shared" si="10"/>
        <v>0</v>
      </c>
      <c r="AG24" s="58">
        <f t="shared" si="10"/>
        <v>0</v>
      </c>
      <c r="AH24" s="58">
        <f t="shared" si="10"/>
        <v>0</v>
      </c>
      <c r="AI24" s="58">
        <f t="shared" si="10"/>
        <v>0</v>
      </c>
      <c r="AJ24" s="58">
        <f t="shared" si="10"/>
        <v>0</v>
      </c>
      <c r="AK24" s="58">
        <f t="shared" si="10"/>
        <v>0</v>
      </c>
      <c r="AL24" s="58">
        <f t="shared" si="10"/>
        <v>0</v>
      </c>
      <c r="AM24" s="58">
        <f t="shared" si="10"/>
        <v>0</v>
      </c>
      <c r="AN24" s="58">
        <f t="shared" si="10"/>
        <v>0</v>
      </c>
      <c r="AO24" s="58">
        <f t="shared" si="10"/>
        <v>0</v>
      </c>
    </row>
    <row r="25" spans="1:41" s="58" customFormat="1" x14ac:dyDescent="0.2">
      <c r="A25" s="58" t="s">
        <v>557</v>
      </c>
      <c r="B25" s="58" t="e">
        <f t="shared" ref="B25:AO25" si="11">-maint*sys_size*IF(B22&gt;=maint_start, 1,0)*IF(Term&gt;=B$2,1,0)</f>
        <v>#N/A</v>
      </c>
      <c r="C25" s="58" t="e">
        <f t="shared" si="11"/>
        <v>#N/A</v>
      </c>
      <c r="D25" s="58" t="e">
        <f t="shared" si="11"/>
        <v>#N/A</v>
      </c>
      <c r="E25" s="58" t="e">
        <f t="shared" si="11"/>
        <v>#N/A</v>
      </c>
      <c r="F25" s="58" t="e">
        <f t="shared" si="11"/>
        <v>#N/A</v>
      </c>
      <c r="G25" s="58" t="e">
        <f t="shared" si="11"/>
        <v>#N/A</v>
      </c>
      <c r="H25" s="58" t="e">
        <f t="shared" si="11"/>
        <v>#N/A</v>
      </c>
      <c r="I25" s="58" t="e">
        <f t="shared" si="11"/>
        <v>#N/A</v>
      </c>
      <c r="J25" s="58" t="e">
        <f t="shared" si="11"/>
        <v>#N/A</v>
      </c>
      <c r="K25" s="58" t="e">
        <f t="shared" si="11"/>
        <v>#N/A</v>
      </c>
      <c r="L25" s="58" t="e">
        <f t="shared" si="11"/>
        <v>#N/A</v>
      </c>
      <c r="M25" s="58" t="e">
        <f t="shared" si="11"/>
        <v>#N/A</v>
      </c>
      <c r="N25" s="58" t="e">
        <f t="shared" si="11"/>
        <v>#N/A</v>
      </c>
      <c r="O25" s="58" t="e">
        <f t="shared" si="11"/>
        <v>#N/A</v>
      </c>
      <c r="P25" s="58" t="e">
        <f t="shared" si="11"/>
        <v>#N/A</v>
      </c>
      <c r="Q25" s="58" t="e">
        <f t="shared" si="11"/>
        <v>#N/A</v>
      </c>
      <c r="R25" s="58" t="e">
        <f t="shared" si="11"/>
        <v>#N/A</v>
      </c>
      <c r="S25" s="58" t="e">
        <f t="shared" si="11"/>
        <v>#N/A</v>
      </c>
      <c r="T25" s="58" t="e">
        <f t="shared" si="11"/>
        <v>#N/A</v>
      </c>
      <c r="U25" s="58" t="e">
        <f t="shared" si="11"/>
        <v>#N/A</v>
      </c>
      <c r="V25" s="58" t="e">
        <f t="shared" si="11"/>
        <v>#N/A</v>
      </c>
      <c r="W25" s="58" t="e">
        <f t="shared" si="11"/>
        <v>#N/A</v>
      </c>
      <c r="X25" s="58" t="e">
        <f t="shared" si="11"/>
        <v>#N/A</v>
      </c>
      <c r="Y25" s="58" t="e">
        <f t="shared" si="11"/>
        <v>#N/A</v>
      </c>
      <c r="Z25" s="58" t="e">
        <f t="shared" si="11"/>
        <v>#N/A</v>
      </c>
      <c r="AA25" s="58" t="e">
        <f t="shared" si="11"/>
        <v>#N/A</v>
      </c>
      <c r="AB25" s="58" t="e">
        <f t="shared" si="11"/>
        <v>#N/A</v>
      </c>
      <c r="AC25" s="58" t="e">
        <f t="shared" si="11"/>
        <v>#N/A</v>
      </c>
      <c r="AD25" s="58" t="e">
        <f t="shared" si="11"/>
        <v>#N/A</v>
      </c>
      <c r="AE25" s="58" t="e">
        <f t="shared" si="11"/>
        <v>#N/A</v>
      </c>
      <c r="AF25" s="58" t="e">
        <f t="shared" si="11"/>
        <v>#N/A</v>
      </c>
      <c r="AG25" s="58" t="e">
        <f t="shared" si="11"/>
        <v>#N/A</v>
      </c>
      <c r="AH25" s="58" t="e">
        <f t="shared" si="11"/>
        <v>#N/A</v>
      </c>
      <c r="AI25" s="58" t="e">
        <f t="shared" si="11"/>
        <v>#N/A</v>
      </c>
      <c r="AJ25" s="58" t="e">
        <f t="shared" si="11"/>
        <v>#N/A</v>
      </c>
      <c r="AK25" s="58" t="e">
        <f t="shared" si="11"/>
        <v>#N/A</v>
      </c>
      <c r="AL25" s="58" t="e">
        <f t="shared" si="11"/>
        <v>#N/A</v>
      </c>
      <c r="AM25" s="58" t="e">
        <f t="shared" si="11"/>
        <v>#N/A</v>
      </c>
      <c r="AN25" s="58" t="e">
        <f t="shared" si="11"/>
        <v>#N/A</v>
      </c>
      <c r="AO25" s="58" t="e">
        <f t="shared" si="11"/>
        <v>#N/A</v>
      </c>
    </row>
    <row r="26" spans="1:41" s="58" customFormat="1" x14ac:dyDescent="0.2">
      <c r="A26" s="58" t="s">
        <v>551</v>
      </c>
      <c r="B26" s="58">
        <f>-'ROI Dashboard'!$E$4*'ROI Dashboard'!$B$19*Variables!E8*IF(Term&gt;=B$2,1,0)</f>
        <v>0</v>
      </c>
    </row>
    <row r="27" spans="1:41" s="58" customFormat="1" x14ac:dyDescent="0.2">
      <c r="A27" s="58" t="s">
        <v>558</v>
      </c>
      <c r="B27" s="58" t="e">
        <f>SUM(B23:B26)</f>
        <v>#N/A</v>
      </c>
      <c r="C27" s="58" t="e">
        <f t="shared" ref="C27:AO27" si="12">SUM(C23:C26)</f>
        <v>#N/A</v>
      </c>
      <c r="D27" s="58" t="e">
        <f t="shared" si="12"/>
        <v>#N/A</v>
      </c>
      <c r="E27" s="58" t="e">
        <f t="shared" si="12"/>
        <v>#N/A</v>
      </c>
      <c r="F27" s="58" t="e">
        <f t="shared" si="12"/>
        <v>#N/A</v>
      </c>
      <c r="G27" s="58" t="e">
        <f t="shared" si="12"/>
        <v>#N/A</v>
      </c>
      <c r="H27" s="58" t="e">
        <f t="shared" si="12"/>
        <v>#N/A</v>
      </c>
      <c r="I27" s="58" t="e">
        <f t="shared" si="12"/>
        <v>#N/A</v>
      </c>
      <c r="J27" s="58" t="e">
        <f t="shared" si="12"/>
        <v>#N/A</v>
      </c>
      <c r="K27" s="58" t="e">
        <f t="shared" si="12"/>
        <v>#N/A</v>
      </c>
      <c r="L27" s="58" t="e">
        <f t="shared" si="12"/>
        <v>#N/A</v>
      </c>
      <c r="M27" s="58" t="e">
        <f t="shared" si="12"/>
        <v>#N/A</v>
      </c>
      <c r="N27" s="58" t="e">
        <f t="shared" si="12"/>
        <v>#N/A</v>
      </c>
      <c r="O27" s="58" t="e">
        <f t="shared" si="12"/>
        <v>#N/A</v>
      </c>
      <c r="P27" s="58" t="e">
        <f t="shared" si="12"/>
        <v>#N/A</v>
      </c>
      <c r="Q27" s="58" t="e">
        <f t="shared" si="12"/>
        <v>#N/A</v>
      </c>
      <c r="R27" s="58" t="e">
        <f t="shared" si="12"/>
        <v>#N/A</v>
      </c>
      <c r="S27" s="58" t="e">
        <f t="shared" si="12"/>
        <v>#N/A</v>
      </c>
      <c r="T27" s="58" t="e">
        <f t="shared" si="12"/>
        <v>#N/A</v>
      </c>
      <c r="U27" s="58" t="e">
        <f t="shared" si="12"/>
        <v>#N/A</v>
      </c>
      <c r="V27" s="58" t="e">
        <f t="shared" si="12"/>
        <v>#N/A</v>
      </c>
      <c r="W27" s="58" t="e">
        <f t="shared" si="12"/>
        <v>#N/A</v>
      </c>
      <c r="X27" s="58" t="e">
        <f t="shared" si="12"/>
        <v>#N/A</v>
      </c>
      <c r="Y27" s="58" t="e">
        <f t="shared" si="12"/>
        <v>#N/A</v>
      </c>
      <c r="Z27" s="58" t="e">
        <f t="shared" si="12"/>
        <v>#N/A</v>
      </c>
      <c r="AA27" s="58" t="e">
        <f t="shared" si="12"/>
        <v>#N/A</v>
      </c>
      <c r="AB27" s="58" t="e">
        <f t="shared" si="12"/>
        <v>#N/A</v>
      </c>
      <c r="AC27" s="58" t="e">
        <f t="shared" si="12"/>
        <v>#N/A</v>
      </c>
      <c r="AD27" s="58" t="e">
        <f t="shared" si="12"/>
        <v>#N/A</v>
      </c>
      <c r="AE27" s="58" t="e">
        <f t="shared" si="12"/>
        <v>#N/A</v>
      </c>
      <c r="AF27" s="58" t="e">
        <f t="shared" si="12"/>
        <v>#N/A</v>
      </c>
      <c r="AG27" s="58" t="e">
        <f t="shared" si="12"/>
        <v>#N/A</v>
      </c>
      <c r="AH27" s="58" t="e">
        <f t="shared" si="12"/>
        <v>#N/A</v>
      </c>
      <c r="AI27" s="58" t="e">
        <f t="shared" si="12"/>
        <v>#N/A</v>
      </c>
      <c r="AJ27" s="58" t="e">
        <f t="shared" si="12"/>
        <v>#N/A</v>
      </c>
      <c r="AK27" s="58" t="e">
        <f t="shared" si="12"/>
        <v>#N/A</v>
      </c>
      <c r="AL27" s="58" t="e">
        <f t="shared" si="12"/>
        <v>#N/A</v>
      </c>
      <c r="AM27" s="58" t="e">
        <f t="shared" si="12"/>
        <v>#N/A</v>
      </c>
      <c r="AN27" s="58" t="e">
        <f t="shared" si="12"/>
        <v>#N/A</v>
      </c>
      <c r="AO27" s="58" t="e">
        <f t="shared" si="12"/>
        <v>#N/A</v>
      </c>
    </row>
    <row r="29" spans="1:41" x14ac:dyDescent="0.2">
      <c r="A29" t="s">
        <v>559</v>
      </c>
      <c r="B29" s="155" t="e">
        <f>IRR(B27:AO27,0.1)</f>
        <v>#VALUE!</v>
      </c>
    </row>
    <row r="30" spans="1:41" s="126" customFormat="1" x14ac:dyDescent="0.2">
      <c r="B30" s="134"/>
      <c r="C30" s="134"/>
    </row>
    <row r="31" spans="1:41" x14ac:dyDescent="0.2">
      <c r="C31" s="18"/>
    </row>
    <row r="32" spans="1:41" x14ac:dyDescent="0.2">
      <c r="B32" t="e" cm="1">
        <f t="array" ref="B32">main</f>
        <v>#NAME?</v>
      </c>
    </row>
    <row r="33" spans="2:2" x14ac:dyDescent="0.2">
      <c r="B33">
        <f>sys_size</f>
        <v>26</v>
      </c>
    </row>
    <row r="34" spans="2:2" x14ac:dyDescent="0.2">
      <c r="B34">
        <f>sys_size</f>
        <v>26</v>
      </c>
    </row>
    <row r="39" spans="2:2" x14ac:dyDescent="0.2">
      <c r="B39">
        <f>sys_size</f>
        <v>26</v>
      </c>
    </row>
    <row r="40" spans="2:2" x14ac:dyDescent="0.2">
      <c r="B40" t="e">
        <f>maint</f>
        <v>#N/A</v>
      </c>
    </row>
  </sheetData>
  <sheetProtection selectLockedCells="1"/>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E28FD-B4FB-BF46-A69F-4D8CD5D859B5}">
  <sheetPr codeName="Sheet11"/>
  <dimension ref="A1:G32"/>
  <sheetViews>
    <sheetView workbookViewId="0">
      <selection activeCell="F17" sqref="F17"/>
    </sheetView>
  </sheetViews>
  <sheetFormatPr baseColWidth="10" defaultColWidth="11" defaultRowHeight="16" x14ac:dyDescent="0.2"/>
  <cols>
    <col min="1" max="1" width="26.1640625" customWidth="1"/>
    <col min="2" max="2" width="16.6640625" bestFit="1" customWidth="1"/>
    <col min="3" max="3" width="14.1640625" customWidth="1"/>
    <col min="4" max="4" width="19.83203125" customWidth="1"/>
    <col min="7" max="7" width="11.6640625" bestFit="1" customWidth="1"/>
  </cols>
  <sheetData>
    <row r="1" spans="1:4" x14ac:dyDescent="0.2">
      <c r="A1" s="93" t="s">
        <v>560</v>
      </c>
      <c r="B1" s="135">
        <f>Production</f>
        <v>39780</v>
      </c>
      <c r="C1" s="55"/>
    </row>
    <row r="2" spans="1:4" x14ac:dyDescent="0.2">
      <c r="A2" s="93" t="s">
        <v>561</v>
      </c>
      <c r="B2" s="136">
        <f>Variables!B5</f>
        <v>5.0000000000000001E-3</v>
      </c>
      <c r="C2" s="125"/>
    </row>
    <row r="3" spans="1:4" x14ac:dyDescent="0.2">
      <c r="A3" s="93" t="s">
        <v>562</v>
      </c>
      <c r="B3" s="137">
        <f>Tariff</f>
        <v>0.24984313725490195</v>
      </c>
      <c r="C3" s="122"/>
    </row>
    <row r="4" spans="1:4" x14ac:dyDescent="0.2">
      <c r="A4" s="93" t="s">
        <v>563</v>
      </c>
      <c r="B4" s="136">
        <f>VLOOKUP('ROI Dashboard'!$C$9, 'ROI Dashboard'!$Q$8:$R$29,2,FALSE)</f>
        <v>3.5000000000000003E-2</v>
      </c>
      <c r="C4" s="125"/>
    </row>
    <row r="6" spans="1:4" x14ac:dyDescent="0.2">
      <c r="A6" s="26" t="s">
        <v>542</v>
      </c>
      <c r="B6" s="138" t="s">
        <v>564</v>
      </c>
      <c r="C6" s="138" t="s">
        <v>565</v>
      </c>
      <c r="D6" s="138" t="s">
        <v>566</v>
      </c>
    </row>
    <row r="7" spans="1:4" x14ac:dyDescent="0.2">
      <c r="A7" s="139">
        <v>1</v>
      </c>
      <c r="B7" s="140">
        <f>HLOOKUP(A7,'ROI Calculations'!$A$8:$AO$11,3,FALSE)</f>
        <v>39780</v>
      </c>
      <c r="C7" s="141">
        <f>HLOOKUP(A7, 'ROI Calculations'!$A$8:$AO$11,2,FALSE)</f>
        <v>0.24984313725490195</v>
      </c>
      <c r="D7" s="141">
        <f>HLOOKUP(A7,'ROI Calculations'!$A$8:$AO$11,4,FALSE)</f>
        <v>9938.76</v>
      </c>
    </row>
    <row r="8" spans="1:4" x14ac:dyDescent="0.2">
      <c r="A8" s="139">
        <v>2</v>
      </c>
      <c r="B8" s="140">
        <f>HLOOKUP(A8,'ROI Calculations'!$A$8:$AO$11,3,FALSE)</f>
        <v>39581.1</v>
      </c>
      <c r="C8" s="141">
        <f>HLOOKUP(A8, 'ROI Calculations'!$A$8:$AO$11,2,FALSE)</f>
        <v>0.25858764705882348</v>
      </c>
      <c r="D8" s="141">
        <f>HLOOKUP(A8,'ROI Calculations'!$A$8:$AO$11,4,FALSE)</f>
        <v>10235.183516999998</v>
      </c>
    </row>
    <row r="9" spans="1:4" x14ac:dyDescent="0.2">
      <c r="A9" s="139">
        <v>3</v>
      </c>
      <c r="B9" s="140">
        <f>HLOOKUP(A9,'ROI Calculations'!$A$8:$AO$11,3,FALSE)</f>
        <v>39383.194499999998</v>
      </c>
      <c r="C9" s="141">
        <f>HLOOKUP(A9, 'ROI Calculations'!$A$8:$AO$11,2,FALSE)</f>
        <v>0.26763821470588228</v>
      </c>
      <c r="D9" s="141">
        <f>HLOOKUP(A9,'ROI Calculations'!$A$8:$AO$11,4,FALSE)</f>
        <v>10540.447865394523</v>
      </c>
    </row>
    <row r="10" spans="1:4" x14ac:dyDescent="0.2">
      <c r="A10" s="139">
        <v>4</v>
      </c>
      <c r="B10" s="140">
        <f>HLOOKUP(A10,'ROI Calculations'!$A$8:$AO$11,3,FALSE)</f>
        <v>39186.278527499999</v>
      </c>
      <c r="C10" s="141">
        <f>HLOOKUP(A10, 'ROI Calculations'!$A$8:$AO$11,2,FALSE)</f>
        <v>0.27700555222058815</v>
      </c>
      <c r="D10" s="141">
        <f>HLOOKUP(A10,'ROI Calculations'!$A$8:$AO$11,4,FALSE)</f>
        <v>10854.816722979913</v>
      </c>
    </row>
    <row r="11" spans="1:4" x14ac:dyDescent="0.2">
      <c r="A11" s="139">
        <v>5</v>
      </c>
      <c r="B11" s="140">
        <f>HLOOKUP(A11,'ROI Calculations'!$A$8:$AO$11,3,FALSE)</f>
        <v>38990.347134862495</v>
      </c>
      <c r="C11" s="141">
        <f>HLOOKUP(A11, 'ROI Calculations'!$A$8:$AO$11,2,FALSE)</f>
        <v>0.28670074654830868</v>
      </c>
      <c r="D11" s="141">
        <f>HLOOKUP(A11,'ROI Calculations'!$A$8:$AO$11,4,FALSE)</f>
        <v>11178.561631742787</v>
      </c>
    </row>
    <row r="12" spans="1:4" x14ac:dyDescent="0.2">
      <c r="A12" s="139">
        <v>6</v>
      </c>
      <c r="B12" s="140">
        <f>HLOOKUP(A12,'ROI Calculations'!$A$8:$AO$11,3,FALSE)</f>
        <v>38795.395399188186</v>
      </c>
      <c r="C12" s="141">
        <f>HLOOKUP(A12, 'ROI Calculations'!$A$8:$AO$11,2,FALSE)</f>
        <v>0.29673527267749944</v>
      </c>
      <c r="D12" s="141">
        <f>HLOOKUP(A12,'ROI Calculations'!$A$8:$AO$11,4,FALSE)</f>
        <v>11511.962232409514</v>
      </c>
    </row>
    <row r="13" spans="1:4" x14ac:dyDescent="0.2">
      <c r="A13" s="139">
        <v>7</v>
      </c>
      <c r="B13" s="140">
        <f>HLOOKUP(A13,'ROI Calculations'!$A$8:$AO$11,3,FALSE)</f>
        <v>38601.418422192248</v>
      </c>
      <c r="C13" s="141">
        <f>HLOOKUP(A13, 'ROI Calculations'!$A$8:$AO$11,2,FALSE)</f>
        <v>0.30712100722121188</v>
      </c>
      <c r="D13" s="141">
        <f>HLOOKUP(A13,'ROI Calculations'!$A$8:$AO$11,4,FALSE)</f>
        <v>11855.306505991126</v>
      </c>
    </row>
    <row r="14" spans="1:4" x14ac:dyDescent="0.2">
      <c r="A14" s="139">
        <v>8</v>
      </c>
      <c r="B14" s="140">
        <f>HLOOKUP(A14,'ROI Calculations'!$A$8:$AO$11,3,FALSE)</f>
        <v>38408.41133008129</v>
      </c>
      <c r="C14" s="141">
        <f>HLOOKUP(A14, 'ROI Calculations'!$A$8:$AO$11,2,FALSE)</f>
        <v>0.31787024247395429</v>
      </c>
      <c r="D14" s="141">
        <f>HLOOKUP(A14,'ROI Calculations'!$A$8:$AO$11,4,FALSE)</f>
        <v>12208.891022532312</v>
      </c>
    </row>
    <row r="15" spans="1:4" x14ac:dyDescent="0.2">
      <c r="A15" s="139">
        <v>9</v>
      </c>
      <c r="B15" s="140">
        <f>HLOOKUP(A15,'ROI Calculations'!$A$8:$AO$11,3,FALSE)</f>
        <v>38216.369273430886</v>
      </c>
      <c r="C15" s="141">
        <f>HLOOKUP(A15, 'ROI Calculations'!$A$8:$AO$11,2,FALSE)</f>
        <v>0.32899570096054265</v>
      </c>
      <c r="D15" s="141">
        <f>HLOOKUP(A15,'ROI Calculations'!$A$8:$AO$11,4,FALSE)</f>
        <v>12573.021197279339</v>
      </c>
    </row>
    <row r="16" spans="1:4" x14ac:dyDescent="0.2">
      <c r="A16" s="139">
        <v>10</v>
      </c>
      <c r="B16" s="140">
        <f>HLOOKUP(A16,'ROI Calculations'!$A$8:$AO$11,3,FALSE)</f>
        <v>38025.287427063733</v>
      </c>
      <c r="C16" s="141">
        <f>HLOOKUP(A16, 'ROI Calculations'!$A$8:$AO$11,2,FALSE)</f>
        <v>0.34051055049416162</v>
      </c>
      <c r="D16" s="141">
        <f>HLOOKUP(A16,'ROI Calculations'!$A$8:$AO$11,4,FALSE)</f>
        <v>12948.011554488194</v>
      </c>
    </row>
    <row r="17" spans="1:7" x14ac:dyDescent="0.2">
      <c r="A17" s="139">
        <v>11</v>
      </c>
      <c r="B17" s="140">
        <f>HLOOKUP(A17,'ROI Calculations'!$A$8:$AO$11,3,FALSE)</f>
        <v>37835.160989928416</v>
      </c>
      <c r="C17" s="141">
        <f>HLOOKUP(A17, 'ROI Calculations'!$A$8:$AO$11,2,FALSE)</f>
        <v>0.35242841976145728</v>
      </c>
      <c r="D17" s="141">
        <f>HLOOKUP(A17,'ROI Calculations'!$A$8:$AO$11,4,FALSE)</f>
        <v>13334.185999100806</v>
      </c>
    </row>
    <row r="18" spans="1:7" x14ac:dyDescent="0.2">
      <c r="A18" s="139">
        <v>12</v>
      </c>
      <c r="B18" s="140">
        <f>HLOOKUP(A18,'ROI Calculations'!$A$8:$AO$11,3,FALSE)</f>
        <v>37645.985184978774</v>
      </c>
      <c r="C18" s="141">
        <f>HLOOKUP(A18, 'ROI Calculations'!$A$8:$AO$11,2,FALSE)</f>
        <v>0.36476341445310828</v>
      </c>
      <c r="D18" s="141">
        <f>HLOOKUP(A18,'ROI Calculations'!$A$8:$AO$11,4,FALSE)</f>
        <v>13731.878096523988</v>
      </c>
    </row>
    <row r="19" spans="1:7" x14ac:dyDescent="0.2">
      <c r="A19" s="139">
        <v>13</v>
      </c>
      <c r="B19" s="140">
        <f>HLOOKUP(A19,'ROI Calculations'!$A$8:$AO$11,3,FALSE)</f>
        <v>37457.755259053876</v>
      </c>
      <c r="C19" s="141">
        <f>HLOOKUP(A19, 'ROI Calculations'!$A$8:$AO$11,2,FALSE)</f>
        <v>0.37753013395896706</v>
      </c>
      <c r="D19" s="141">
        <f>HLOOKUP(A19,'ROI Calculations'!$A$8:$AO$11,4,FALSE)</f>
        <v>14141.431360752813</v>
      </c>
    </row>
    <row r="20" spans="1:7" x14ac:dyDescent="0.2">
      <c r="A20" s="139">
        <v>14</v>
      </c>
      <c r="B20" s="140">
        <f>HLOOKUP(A20,'ROI Calculations'!$A$8:$AO$11,3,FALSE)</f>
        <v>37270.466482758609</v>
      </c>
      <c r="C20" s="141">
        <f>HLOOKUP(A20, 'ROI Calculations'!$A$8:$AO$11,2,FALSE)</f>
        <v>0.3907436886475309</v>
      </c>
      <c r="D20" s="141">
        <f>HLOOKUP(A20,'ROI Calculations'!$A$8:$AO$11,4,FALSE)</f>
        <v>14563.199551087266</v>
      </c>
    </row>
    <row r="21" spans="1:7" x14ac:dyDescent="0.2">
      <c r="A21" s="139">
        <v>15</v>
      </c>
      <c r="B21" s="140">
        <f>HLOOKUP(A21,'ROI Calculations'!$A$8:$AO$11,3,FALSE)</f>
        <v>37084.114150344816</v>
      </c>
      <c r="C21" s="141">
        <f>HLOOKUP(A21, 'ROI Calculations'!$A$8:$AO$11,2,FALSE)</f>
        <v>0.40441971775019442</v>
      </c>
      <c r="D21" s="141">
        <f>HLOOKUP(A21,'ROI Calculations'!$A$8:$AO$11,4,FALSE)</f>
        <v>14997.546977698441</v>
      </c>
    </row>
    <row r="22" spans="1:7" x14ac:dyDescent="0.2">
      <c r="A22" s="139">
        <v>16</v>
      </c>
      <c r="B22" s="140">
        <f>HLOOKUP(A22,'ROI Calculations'!$A$8:$AO$11,3,FALSE)</f>
        <v>36898.693579593091</v>
      </c>
      <c r="C22" s="141">
        <f>HLOOKUP(A22, 'ROI Calculations'!$A$8:$AO$11,2,FALSE)</f>
        <v>0.41857440787145117</v>
      </c>
      <c r="D22" s="141">
        <f>HLOOKUP(A22,'ROI Calculations'!$A$8:$AO$11,4,FALSE)</f>
        <v>15444.848816308295</v>
      </c>
    </row>
    <row r="23" spans="1:7" x14ac:dyDescent="0.2">
      <c r="A23" s="139">
        <v>17</v>
      </c>
      <c r="B23" s="140">
        <f>HLOOKUP(A23,'ROI Calculations'!$A$8:$AO$11,3,FALSE)</f>
        <v>36714.200111695129</v>
      </c>
      <c r="C23" s="141">
        <f>HLOOKUP(A23, 'ROI Calculations'!$A$8:$AO$11,2,FALSE)</f>
        <v>0.4332245121469519</v>
      </c>
      <c r="D23" s="141">
        <f>HLOOKUP(A23,'ROI Calculations'!$A$8:$AO$11,4,FALSE)</f>
        <v>15905.491432254688</v>
      </c>
    </row>
    <row r="24" spans="1:7" x14ac:dyDescent="0.2">
      <c r="A24" s="139">
        <v>18</v>
      </c>
      <c r="B24" s="140">
        <f>HLOOKUP(A24,'ROI Calculations'!$A$8:$AO$11,3,FALSE)</f>
        <v>36530.629111136652</v>
      </c>
      <c r="C24" s="141">
        <f>HLOOKUP(A24, 'ROI Calculations'!$A$8:$AO$11,2,FALSE)</f>
        <v>0.44838737007209517</v>
      </c>
      <c r="D24" s="141">
        <f>HLOOKUP(A24,'ROI Calculations'!$A$8:$AO$11,4,FALSE)</f>
        <v>16379.872714221683</v>
      </c>
    </row>
    <row r="25" spans="1:7" x14ac:dyDescent="0.2">
      <c r="A25" s="139">
        <v>19</v>
      </c>
      <c r="B25" s="140">
        <f>HLOOKUP(A25,'ROI Calculations'!$A$8:$AO$11,3,FALSE)</f>
        <v>36347.975965580968</v>
      </c>
      <c r="C25" s="141">
        <f>HLOOKUP(A25, 'ROI Calculations'!$A$8:$AO$11,2,FALSE)</f>
        <v>0.46408092802461848</v>
      </c>
      <c r="D25" s="141">
        <f>HLOOKUP(A25,'ROI Calculations'!$A$8:$AO$11,4,FALSE)</f>
        <v>16868.402417923342</v>
      </c>
    </row>
    <row r="26" spans="1:7" x14ac:dyDescent="0.2">
      <c r="A26" s="139">
        <v>20</v>
      </c>
      <c r="B26" s="140">
        <f>HLOOKUP(A26,'ROI Calculations'!$A$8:$AO$11,3,FALSE)</f>
        <v>36166.236085753066</v>
      </c>
      <c r="C26" s="141">
        <f>HLOOKUP(A26, 'ROI Calculations'!$A$8:$AO$11,2,FALSE)</f>
        <v>0.48032376050548009</v>
      </c>
      <c r="D26" s="141">
        <f>HLOOKUP(A26,'ROI Calculations'!$A$8:$AO$11,4,FALSE)</f>
        <v>17371.502520037906</v>
      </c>
    </row>
    <row r="27" spans="1:7" x14ac:dyDescent="0.2">
      <c r="A27" s="139">
        <v>21</v>
      </c>
      <c r="B27" s="140">
        <f>HLOOKUP(A27,'ROI Calculations'!$A$8:$AO$11,3,FALSE)</f>
        <v>35985.4049053243</v>
      </c>
      <c r="C27" s="141">
        <f>HLOOKUP(A27, 'ROI Calculations'!$A$8:$AO$11,2,FALSE)</f>
        <v>0.49713509212317186</v>
      </c>
      <c r="D27" s="141">
        <f>HLOOKUP(A27,'ROI Calculations'!$A$8:$AO$11,4,FALSE)</f>
        <v>17889.607582698038</v>
      </c>
    </row>
    <row r="28" spans="1:7" x14ac:dyDescent="0.2">
      <c r="A28" s="139">
        <v>22</v>
      </c>
      <c r="B28" s="140">
        <f>HLOOKUP(A28,'ROI Calculations'!$A$8:$AO$11,3,FALSE)</f>
        <v>35805.477880797676</v>
      </c>
      <c r="C28" s="141">
        <f>HLOOKUP(A28, 'ROI Calculations'!$A$8:$AO$11,2,FALSE)</f>
        <v>0.51453482034748288</v>
      </c>
      <c r="D28" s="141">
        <f>HLOOKUP(A28,'ROI Calculations'!$A$8:$AO$11,4,FALSE)</f>
        <v>18423.165128852004</v>
      </c>
    </row>
    <row r="29" spans="1:7" x14ac:dyDescent="0.2">
      <c r="A29" s="139">
        <v>23</v>
      </c>
      <c r="B29" s="140">
        <f>HLOOKUP(A29,'ROI Calculations'!$A$8:$AO$11,3,FALSE)</f>
        <v>35626.450491393691</v>
      </c>
      <c r="C29" s="141">
        <f>HLOOKUP(A29, 'ROI Calculations'!$A$8:$AO$11,2,FALSE)</f>
        <v>0.53254353905964469</v>
      </c>
      <c r="D29" s="141">
        <f>HLOOKUP(A29,'ROI Calculations'!$A$8:$AO$11,4,FALSE)</f>
        <v>18972.636028820012</v>
      </c>
    </row>
    <row r="30" spans="1:7" x14ac:dyDescent="0.2">
      <c r="A30" s="139">
        <v>24</v>
      </c>
      <c r="B30" s="140">
        <f>HLOOKUP(A30,'ROI Calculations'!$A$8:$AO$11,3,FALSE)</f>
        <v>35448.318238936721</v>
      </c>
      <c r="C30" s="141">
        <f>HLOOKUP(A30, 'ROI Calculations'!$A$8:$AO$11,2,FALSE)</f>
        <v>0.55118256292673218</v>
      </c>
      <c r="D30" s="141">
        <f>HLOOKUP(A30,'ROI Calculations'!$A$8:$AO$11,4,FALSE)</f>
        <v>19538.494898379566</v>
      </c>
    </row>
    <row r="31" spans="1:7" x14ac:dyDescent="0.2">
      <c r="A31" s="143">
        <v>25</v>
      </c>
      <c r="B31" s="140">
        <f>HLOOKUP(A31,'ROI Calculations'!$A$8:$AO$11,3,FALSE)</f>
        <v>35271.07664774204</v>
      </c>
      <c r="C31" s="141">
        <f>HLOOKUP(A31, 'ROI Calculations'!$A$8:$AO$11,2,FALSE)</f>
        <v>0.57047395262916778</v>
      </c>
      <c r="D31" s="141">
        <f>HLOOKUP(A31,'ROI Calculations'!$A$8:$AO$11,4,FALSE)</f>
        <v>20121.23050872374</v>
      </c>
    </row>
    <row r="32" spans="1:7" x14ac:dyDescent="0.2">
      <c r="A32" s="144" t="s">
        <v>325</v>
      </c>
      <c r="D32" s="145">
        <f>SUM(D7:D31)</f>
        <v>361528.45628320036</v>
      </c>
      <c r="G32" s="122"/>
    </row>
  </sheetData>
  <sheetProtection sheet="1" objects="1" scenarios="1" selectLockedCells="1"/>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C69FF-D016-0B45-AF71-767A1D6BE08B}">
  <sheetPr codeName="Sheet3"/>
  <dimension ref="A1:R32"/>
  <sheetViews>
    <sheetView workbookViewId="0">
      <selection activeCell="B17" sqref="B17"/>
    </sheetView>
  </sheetViews>
  <sheetFormatPr baseColWidth="10" defaultColWidth="11" defaultRowHeight="16" x14ac:dyDescent="0.2"/>
  <cols>
    <col min="1" max="1" width="34.83203125" customWidth="1"/>
    <col min="2" max="2" width="33.1640625" customWidth="1"/>
    <col min="3" max="3" width="23" customWidth="1"/>
    <col min="4" max="4" width="14.5" customWidth="1"/>
    <col min="5" max="5" width="11.6640625" customWidth="1"/>
    <col min="6" max="15" width="13.6640625" customWidth="1"/>
    <col min="17" max="18" width="0" hidden="1" customWidth="1"/>
  </cols>
  <sheetData>
    <row r="1" spans="1:18" ht="17" thickBot="1" x14ac:dyDescent="0.25">
      <c r="A1" s="31" t="s">
        <v>567</v>
      </c>
      <c r="B1" s="31"/>
    </row>
    <row r="2" spans="1:18" ht="17" thickBot="1" x14ac:dyDescent="0.25">
      <c r="A2" s="89" t="s">
        <v>568</v>
      </c>
      <c r="B2" s="90"/>
    </row>
    <row r="3" spans="1:18" ht="17" thickBot="1" x14ac:dyDescent="0.25">
      <c r="A3" s="89"/>
      <c r="B3" s="91" t="s">
        <v>569</v>
      </c>
      <c r="D3" s="409" t="s">
        <v>570</v>
      </c>
      <c r="E3" s="409"/>
      <c r="F3" s="409"/>
    </row>
    <row r="4" spans="1:18" x14ac:dyDescent="0.2">
      <c r="A4" s="92" t="s">
        <v>571</v>
      </c>
      <c r="B4" s="157">
        <v>25</v>
      </c>
      <c r="D4" s="93" t="s">
        <v>572</v>
      </c>
      <c r="E4" s="496">
        <f>Total_storage</f>
        <v>0</v>
      </c>
      <c r="F4" s="496"/>
      <c r="G4" s="55"/>
      <c r="H4" s="55"/>
      <c r="I4" s="55"/>
      <c r="J4" s="55"/>
    </row>
    <row r="5" spans="1:18" x14ac:dyDescent="0.2">
      <c r="A5" s="92" t="s">
        <v>573</v>
      </c>
      <c r="B5" s="234">
        <f>'Panel de Informacion'!C52</f>
        <v>26</v>
      </c>
      <c r="D5" s="93" t="s">
        <v>574</v>
      </c>
      <c r="E5" s="496">
        <f>IFERROR(ROUNDUP(E4/4,0),0)</f>
        <v>0</v>
      </c>
      <c r="F5" s="496"/>
    </row>
    <row r="6" spans="1:18" x14ac:dyDescent="0.2">
      <c r="A6" s="92" t="s">
        <v>575</v>
      </c>
      <c r="B6" s="97">
        <f>IF(sys_price=0,0,(sys_price)/(sys_size*1000))</f>
        <v>2.5</v>
      </c>
      <c r="E6" s="497"/>
      <c r="F6" s="497"/>
    </row>
    <row r="7" spans="1:18" ht="17" thickBot="1" x14ac:dyDescent="0.25">
      <c r="A7" s="92" t="s">
        <v>576</v>
      </c>
      <c r="B7" s="148">
        <f>'Panel de Informacion'!C40</f>
        <v>0.24984313725490195</v>
      </c>
      <c r="E7" s="497"/>
      <c r="F7" s="497"/>
    </row>
    <row r="8" spans="1:18" x14ac:dyDescent="0.2">
      <c r="A8" s="92" t="s">
        <v>577</v>
      </c>
      <c r="B8" s="149">
        <f>Variables!B3</f>
        <v>1530</v>
      </c>
      <c r="C8" s="91" t="s">
        <v>578</v>
      </c>
      <c r="E8" s="497"/>
      <c r="F8" s="497"/>
      <c r="Q8" s="139" t="s">
        <v>579</v>
      </c>
      <c r="R8" s="241">
        <f>B9</f>
        <v>3.5000000000000003E-2</v>
      </c>
    </row>
    <row r="9" spans="1:18" ht="17" thickBot="1" x14ac:dyDescent="0.25">
      <c r="A9" s="92" t="s">
        <v>580</v>
      </c>
      <c r="B9" s="147">
        <f>Variables!B6</f>
        <v>3.5000000000000003E-2</v>
      </c>
      <c r="C9" s="255" t="s">
        <v>579</v>
      </c>
      <c r="Q9" s="242">
        <v>0</v>
      </c>
      <c r="R9" s="242">
        <v>0</v>
      </c>
    </row>
    <row r="10" spans="1:18" ht="17" thickBot="1" x14ac:dyDescent="0.25">
      <c r="A10" s="89" t="s">
        <v>581</v>
      </c>
      <c r="B10" s="150"/>
      <c r="Q10" s="242">
        <f t="shared" ref="Q10:Q29" si="0">Q9+0.005</f>
        <v>5.0000000000000001E-3</v>
      </c>
      <c r="R10" s="242">
        <f t="shared" ref="R10:R29" si="1">R9+0.005</f>
        <v>5.0000000000000001E-3</v>
      </c>
    </row>
    <row r="11" spans="1:18" x14ac:dyDescent="0.2">
      <c r="A11" s="92" t="s">
        <v>582</v>
      </c>
      <c r="B11" s="152">
        <f>'Panel de Informacion'!C28</f>
        <v>0</v>
      </c>
      <c r="Q11" s="242">
        <f t="shared" si="0"/>
        <v>0.01</v>
      </c>
      <c r="R11" s="242">
        <f t="shared" si="1"/>
        <v>0.01</v>
      </c>
    </row>
    <row r="12" spans="1:18" x14ac:dyDescent="0.2">
      <c r="A12" s="92" t="s">
        <v>583</v>
      </c>
      <c r="B12" s="153">
        <f>'Panel de Informacion'!C24</f>
        <v>0.09</v>
      </c>
      <c r="Q12" s="242">
        <f t="shared" si="0"/>
        <v>1.4999999999999999E-2</v>
      </c>
      <c r="R12" s="242">
        <f t="shared" si="1"/>
        <v>1.4999999999999999E-2</v>
      </c>
    </row>
    <row r="13" spans="1:18" ht="17" thickBot="1" x14ac:dyDescent="0.25">
      <c r="A13" s="92" t="s">
        <v>584</v>
      </c>
      <c r="B13" s="154">
        <f>VLOOKUP('Panel de Informacion'!C20,Variables!$A$25:$D$29,4,FALSE)</f>
        <v>0</v>
      </c>
      <c r="Q13" s="242">
        <f t="shared" si="0"/>
        <v>0.02</v>
      </c>
      <c r="R13" s="242">
        <f t="shared" si="1"/>
        <v>0.02</v>
      </c>
    </row>
    <row r="14" spans="1:18" ht="17" thickBot="1" x14ac:dyDescent="0.25">
      <c r="A14" s="89" t="s">
        <v>585</v>
      </c>
      <c r="B14" s="151"/>
      <c r="Q14" s="242">
        <f t="shared" si="0"/>
        <v>2.5000000000000001E-2</v>
      </c>
      <c r="R14" s="242">
        <f t="shared" si="1"/>
        <v>2.5000000000000001E-2</v>
      </c>
    </row>
    <row r="15" spans="1:18" x14ac:dyDescent="0.2">
      <c r="A15" s="92" t="s">
        <v>586</v>
      </c>
      <c r="B15" s="158" t="s">
        <v>587</v>
      </c>
      <c r="Q15" s="242">
        <f t="shared" si="0"/>
        <v>3.0000000000000002E-2</v>
      </c>
      <c r="R15" s="242">
        <f t="shared" si="1"/>
        <v>3.0000000000000002E-2</v>
      </c>
    </row>
    <row r="16" spans="1:18" x14ac:dyDescent="0.2">
      <c r="A16" s="94" t="s">
        <v>588</v>
      </c>
      <c r="B16" s="95" t="e">
        <f>VLOOKUP(B15, Variables!$I$45:$J$46,2,FALSE)</f>
        <v>#N/A</v>
      </c>
      <c r="Q16" s="242">
        <f t="shared" si="0"/>
        <v>3.5000000000000003E-2</v>
      </c>
      <c r="R16" s="242">
        <f t="shared" si="1"/>
        <v>3.5000000000000003E-2</v>
      </c>
    </row>
    <row r="17" spans="1:18" x14ac:dyDescent="0.2">
      <c r="A17" s="94" t="s">
        <v>589</v>
      </c>
      <c r="B17" s="159">
        <v>1</v>
      </c>
      <c r="Q17" s="242">
        <f t="shared" si="0"/>
        <v>0.04</v>
      </c>
      <c r="R17" s="242">
        <f t="shared" si="1"/>
        <v>0.04</v>
      </c>
    </row>
    <row r="18" spans="1:18" x14ac:dyDescent="0.2">
      <c r="A18" s="92" t="s">
        <v>590</v>
      </c>
      <c r="B18" s="96" t="str">
        <f>IF(E4&lt;&gt;0,"MANDATORY","N/A")</f>
        <v>N/A</v>
      </c>
      <c r="Q18" s="242">
        <f t="shared" si="0"/>
        <v>4.4999999999999998E-2</v>
      </c>
      <c r="R18" s="242">
        <f t="shared" si="1"/>
        <v>4.4999999999999998E-2</v>
      </c>
    </row>
    <row r="19" spans="1:18" x14ac:dyDescent="0.2">
      <c r="A19" s="92" t="s">
        <v>591</v>
      </c>
      <c r="B19" s="97">
        <f>IF(B18="MANDATORY",VLOOKUP(B15,Variables!$I$45:$K$46,3,FALSE),0)</f>
        <v>0</v>
      </c>
      <c r="Q19" s="242">
        <f t="shared" si="0"/>
        <v>4.9999999999999996E-2</v>
      </c>
      <c r="R19" s="242">
        <f t="shared" si="1"/>
        <v>4.9999999999999996E-2</v>
      </c>
    </row>
    <row r="20" spans="1:18" ht="17" thickBot="1" x14ac:dyDescent="0.25">
      <c r="A20" s="92" t="s">
        <v>592</v>
      </c>
      <c r="B20" s="98">
        <v>0</v>
      </c>
      <c r="Q20" s="242">
        <f t="shared" si="0"/>
        <v>5.4999999999999993E-2</v>
      </c>
      <c r="R20" s="242">
        <f t="shared" si="1"/>
        <v>5.4999999999999993E-2</v>
      </c>
    </row>
    <row r="21" spans="1:18" ht="17" thickBot="1" x14ac:dyDescent="0.25">
      <c r="B21" s="99"/>
      <c r="D21" s="1"/>
      <c r="E21" s="1"/>
      <c r="F21" s="1"/>
      <c r="G21" s="1"/>
      <c r="H21" s="1"/>
      <c r="I21" s="1"/>
      <c r="J21" s="1"/>
      <c r="K21" s="1"/>
      <c r="L21" s="1"/>
      <c r="M21" s="1"/>
      <c r="N21" s="1"/>
      <c r="O21" s="1"/>
      <c r="Q21" s="242">
        <f t="shared" si="0"/>
        <v>5.9999999999999991E-2</v>
      </c>
      <c r="R21" s="242">
        <f t="shared" si="1"/>
        <v>5.9999999999999991E-2</v>
      </c>
    </row>
    <row r="22" spans="1:18" ht="17" thickBot="1" x14ac:dyDescent="0.25">
      <c r="A22" s="31" t="s">
        <v>593</v>
      </c>
      <c r="B22" s="31"/>
      <c r="D22" s="1"/>
      <c r="E22" s="1"/>
      <c r="F22" s="487" t="s">
        <v>594</v>
      </c>
      <c r="G22" s="488"/>
      <c r="H22" s="488"/>
      <c r="I22" s="488"/>
      <c r="J22" s="488"/>
      <c r="K22" s="488"/>
      <c r="L22" s="488"/>
      <c r="M22" s="488"/>
      <c r="N22" s="488"/>
      <c r="O22" s="489"/>
      <c r="Q22" s="242">
        <f t="shared" si="0"/>
        <v>6.4999999999999988E-2</v>
      </c>
      <c r="R22" s="242">
        <f t="shared" si="1"/>
        <v>6.4999999999999988E-2</v>
      </c>
    </row>
    <row r="23" spans="1:18" x14ac:dyDescent="0.2">
      <c r="A23" s="92" t="s">
        <v>595</v>
      </c>
      <c r="B23" s="100">
        <f>'Panel de Informacion'!C14</f>
        <v>65000</v>
      </c>
      <c r="D23" s="1"/>
      <c r="E23" s="1"/>
      <c r="F23" s="490" t="s">
        <v>596</v>
      </c>
      <c r="G23" s="491"/>
      <c r="H23" s="491"/>
      <c r="I23" s="491"/>
      <c r="J23" s="491"/>
      <c r="K23" s="491"/>
      <c r="L23" s="491"/>
      <c r="M23" s="491"/>
      <c r="N23" s="491"/>
      <c r="O23" s="492"/>
      <c r="Q23" s="242">
        <f t="shared" si="0"/>
        <v>6.9999999999999993E-2</v>
      </c>
      <c r="R23" s="242">
        <f t="shared" si="1"/>
        <v>6.9999999999999993E-2</v>
      </c>
    </row>
    <row r="24" spans="1:18" ht="17" thickBot="1" x14ac:dyDescent="0.25">
      <c r="A24" s="92" t="s">
        <v>597</v>
      </c>
      <c r="B24" s="227">
        <v>0</v>
      </c>
      <c r="D24" s="1"/>
      <c r="E24" s="101" t="e">
        <f>B32</f>
        <v>#VALUE!</v>
      </c>
      <c r="F24" s="102">
        <v>0</v>
      </c>
      <c r="G24" s="102">
        <v>5.0000000000000001E-3</v>
      </c>
      <c r="H24" s="102">
        <v>0.01</v>
      </c>
      <c r="I24" s="102">
        <v>1.4999999999999999E-2</v>
      </c>
      <c r="J24" s="102">
        <v>0.02</v>
      </c>
      <c r="K24" s="102">
        <v>2.5000000000000001E-2</v>
      </c>
      <c r="L24" s="102">
        <v>0.03</v>
      </c>
      <c r="M24" s="102">
        <v>3.5000000000000003E-2</v>
      </c>
      <c r="N24" s="102">
        <v>0.04</v>
      </c>
      <c r="O24" s="102">
        <v>4.4999999999999998E-2</v>
      </c>
      <c r="Q24" s="242">
        <f t="shared" si="0"/>
        <v>7.4999999999999997E-2</v>
      </c>
      <c r="R24" s="242">
        <f t="shared" si="1"/>
        <v>7.4999999999999997E-2</v>
      </c>
    </row>
    <row r="25" spans="1:18" x14ac:dyDescent="0.2">
      <c r="A25" s="92" t="s">
        <v>598</v>
      </c>
      <c r="B25" s="103">
        <f>B23*(1-B24)</f>
        <v>65000</v>
      </c>
      <c r="D25" s="493" t="s">
        <v>599</v>
      </c>
      <c r="E25" s="104">
        <v>10</v>
      </c>
      <c r="F25" s="105" t="e">
        <f t="dataTable" ref="F25:O31" dt2D="1" dtr="1" r1="B9" r2="B4"/>
        <v>#VALUE!</v>
      </c>
      <c r="G25" s="106" t="e">
        <v>#VALUE!</v>
      </c>
      <c r="H25" s="106" t="e">
        <v>#VALUE!</v>
      </c>
      <c r="I25" s="106" t="e">
        <v>#VALUE!</v>
      </c>
      <c r="J25" s="106" t="e">
        <v>#VALUE!</v>
      </c>
      <c r="K25" s="106" t="e">
        <v>#VALUE!</v>
      </c>
      <c r="L25" s="106" t="e">
        <v>#VALUE!</v>
      </c>
      <c r="M25" s="106" t="e">
        <v>#VALUE!</v>
      </c>
      <c r="N25" s="106" t="e">
        <v>#VALUE!</v>
      </c>
      <c r="O25" s="107" t="e">
        <v>#VALUE!</v>
      </c>
      <c r="Q25" s="242">
        <f t="shared" si="0"/>
        <v>0.08</v>
      </c>
      <c r="R25" s="242">
        <f t="shared" si="1"/>
        <v>0.08</v>
      </c>
    </row>
    <row r="26" spans="1:18" x14ac:dyDescent="0.2">
      <c r="A26" s="92" t="s">
        <v>600</v>
      </c>
      <c r="B26" s="108">
        <f>B5*B8</f>
        <v>39780</v>
      </c>
      <c r="D26" s="494"/>
      <c r="E26" s="109">
        <v>15</v>
      </c>
      <c r="F26" s="110" t="e">
        <v>#VALUE!</v>
      </c>
      <c r="G26" s="111" t="e">
        <v>#VALUE!</v>
      </c>
      <c r="H26" s="111" t="e">
        <v>#VALUE!</v>
      </c>
      <c r="I26" s="111" t="e">
        <v>#VALUE!</v>
      </c>
      <c r="J26" s="111" t="e">
        <v>#VALUE!</v>
      </c>
      <c r="K26" s="111" t="e">
        <v>#VALUE!</v>
      </c>
      <c r="L26" s="111" t="e">
        <v>#VALUE!</v>
      </c>
      <c r="M26" s="111" t="e">
        <v>#VALUE!</v>
      </c>
      <c r="N26" s="111" t="e">
        <v>#VALUE!</v>
      </c>
      <c r="O26" s="112" t="e">
        <v>#VALUE!</v>
      </c>
      <c r="Q26" s="242">
        <f t="shared" si="0"/>
        <v>8.5000000000000006E-2</v>
      </c>
      <c r="R26" s="242">
        <f t="shared" si="1"/>
        <v>8.5000000000000006E-2</v>
      </c>
    </row>
    <row r="27" spans="1:18" x14ac:dyDescent="0.2">
      <c r="A27" s="92" t="s">
        <v>601</v>
      </c>
      <c r="B27" s="113">
        <f>B7</f>
        <v>0.24984313725490195</v>
      </c>
      <c r="D27" s="494"/>
      <c r="E27" s="109">
        <v>20</v>
      </c>
      <c r="F27" s="110" t="e">
        <v>#VALUE!</v>
      </c>
      <c r="G27" s="111" t="e">
        <v>#VALUE!</v>
      </c>
      <c r="H27" s="111" t="e">
        <v>#VALUE!</v>
      </c>
      <c r="I27" s="111" t="e">
        <v>#VALUE!</v>
      </c>
      <c r="J27" s="111" t="e">
        <v>#VALUE!</v>
      </c>
      <c r="K27" s="111" t="e">
        <v>#VALUE!</v>
      </c>
      <c r="L27" s="111" t="e">
        <v>#VALUE!</v>
      </c>
      <c r="M27" s="111" t="e">
        <v>#VALUE!</v>
      </c>
      <c r="N27" s="111" t="e">
        <v>#VALUE!</v>
      </c>
      <c r="O27" s="112" t="e">
        <v>#VALUE!</v>
      </c>
      <c r="Q27" s="242">
        <f t="shared" si="0"/>
        <v>9.0000000000000011E-2</v>
      </c>
      <c r="R27" s="242">
        <f t="shared" si="1"/>
        <v>9.0000000000000011E-2</v>
      </c>
    </row>
    <row r="28" spans="1:18" ht="17" thickBot="1" x14ac:dyDescent="0.25">
      <c r="A28" s="92" t="s">
        <v>602</v>
      </c>
      <c r="B28" s="114">
        <f>B26*B27</f>
        <v>9938.76</v>
      </c>
      <c r="D28" s="494"/>
      <c r="E28" s="109">
        <v>25</v>
      </c>
      <c r="F28" s="110" t="e">
        <v>#VALUE!</v>
      </c>
      <c r="G28" s="111" t="e">
        <v>#VALUE!</v>
      </c>
      <c r="H28" s="111" t="e">
        <v>#VALUE!</v>
      </c>
      <c r="I28" s="111" t="e">
        <v>#VALUE!</v>
      </c>
      <c r="J28" s="111" t="e">
        <v>#VALUE!</v>
      </c>
      <c r="K28" s="111" t="e">
        <v>#VALUE!</v>
      </c>
      <c r="L28" s="111" t="e">
        <v>#VALUE!</v>
      </c>
      <c r="M28" s="111" t="e">
        <v>#VALUE!</v>
      </c>
      <c r="N28" s="111" t="e">
        <v>#VALUE!</v>
      </c>
      <c r="O28" s="112" t="e">
        <v>#VALUE!</v>
      </c>
      <c r="Q28" s="242">
        <f t="shared" si="0"/>
        <v>9.5000000000000015E-2</v>
      </c>
      <c r="R28" s="242">
        <f t="shared" si="1"/>
        <v>9.5000000000000015E-2</v>
      </c>
    </row>
    <row r="29" spans="1:18" x14ac:dyDescent="0.2">
      <c r="D29" s="494"/>
      <c r="E29" s="109">
        <v>30</v>
      </c>
      <c r="F29" s="110" t="e">
        <v>#VALUE!</v>
      </c>
      <c r="G29" s="111" t="e">
        <v>#VALUE!</v>
      </c>
      <c r="H29" s="111" t="e">
        <v>#VALUE!</v>
      </c>
      <c r="I29" s="111" t="e">
        <v>#VALUE!</v>
      </c>
      <c r="J29" s="111" t="e">
        <v>#VALUE!</v>
      </c>
      <c r="K29" s="111" t="e">
        <v>#VALUE!</v>
      </c>
      <c r="L29" s="111" t="e">
        <v>#VALUE!</v>
      </c>
      <c r="M29" s="111" t="e">
        <v>#VALUE!</v>
      </c>
      <c r="N29" s="111" t="e">
        <v>#VALUE!</v>
      </c>
      <c r="O29" s="112" t="e">
        <v>#VALUE!</v>
      </c>
      <c r="Q29" s="242">
        <f t="shared" si="0"/>
        <v>0.10000000000000002</v>
      </c>
      <c r="R29" s="242">
        <f t="shared" si="1"/>
        <v>0.10000000000000002</v>
      </c>
    </row>
    <row r="30" spans="1:18" ht="17" thickBot="1" x14ac:dyDescent="0.25">
      <c r="A30" s="115" t="s">
        <v>603</v>
      </c>
      <c r="B30" s="115"/>
      <c r="D30" s="494"/>
      <c r="E30" s="109">
        <v>35</v>
      </c>
      <c r="F30" s="110" t="e">
        <v>#VALUE!</v>
      </c>
      <c r="G30" s="111" t="e">
        <v>#VALUE!</v>
      </c>
      <c r="H30" s="111" t="e">
        <v>#VALUE!</v>
      </c>
      <c r="I30" s="111" t="e">
        <v>#VALUE!</v>
      </c>
      <c r="J30" s="111" t="e">
        <v>#VALUE!</v>
      </c>
      <c r="K30" s="111" t="e">
        <v>#VALUE!</v>
      </c>
      <c r="L30" s="111" t="e">
        <v>#VALUE!</v>
      </c>
      <c r="M30" s="111" t="e">
        <v>#VALUE!</v>
      </c>
      <c r="N30" s="111" t="e">
        <v>#VALUE!</v>
      </c>
      <c r="O30" s="112" t="e">
        <v>#VALUE!</v>
      </c>
    </row>
    <row r="31" spans="1:18" ht="17" thickBot="1" x14ac:dyDescent="0.25">
      <c r="A31" s="92" t="s">
        <v>604</v>
      </c>
      <c r="B31" s="116" t="e">
        <f>'ROI Calculations'!B18</f>
        <v>#VALUE!</v>
      </c>
      <c r="D31" s="495"/>
      <c r="E31" s="117">
        <v>40</v>
      </c>
      <c r="F31" s="118" t="e">
        <v>#VALUE!</v>
      </c>
      <c r="G31" s="119" t="e">
        <v>#VALUE!</v>
      </c>
      <c r="H31" s="119" t="e">
        <v>#VALUE!</v>
      </c>
      <c r="I31" s="119" t="e">
        <v>#VALUE!</v>
      </c>
      <c r="J31" s="119" t="e">
        <v>#VALUE!</v>
      </c>
      <c r="K31" s="119" t="e">
        <v>#VALUE!</v>
      </c>
      <c r="L31" s="119" t="e">
        <v>#VALUE!</v>
      </c>
      <c r="M31" s="119" t="e">
        <v>#VALUE!</v>
      </c>
      <c r="N31" s="119" t="e">
        <v>#VALUE!</v>
      </c>
      <c r="O31" s="120" t="e">
        <v>#VALUE!</v>
      </c>
    </row>
    <row r="32" spans="1:18" x14ac:dyDescent="0.2">
      <c r="A32" s="92" t="s">
        <v>605</v>
      </c>
      <c r="B32" s="121" t="e">
        <f>'ROI Calculations'!B29</f>
        <v>#VALUE!</v>
      </c>
    </row>
  </sheetData>
  <sheetProtection selectLockedCells="1"/>
  <mergeCells count="9">
    <mergeCell ref="F22:O22"/>
    <mergeCell ref="F23:O23"/>
    <mergeCell ref="D25:D31"/>
    <mergeCell ref="D3:F3"/>
    <mergeCell ref="E4:F4"/>
    <mergeCell ref="E5:F5"/>
    <mergeCell ref="E6:F6"/>
    <mergeCell ref="E7:F7"/>
    <mergeCell ref="E8:F8"/>
  </mergeCells>
  <conditionalFormatting sqref="F25:O31">
    <cfRule type="colorScale" priority="1">
      <colorScale>
        <cfvo type="min"/>
        <cfvo type="max"/>
        <color rgb="FFFFEF9C"/>
        <color rgb="FF63BE7B"/>
      </colorScale>
    </cfRule>
    <cfRule type="colorScale" priority="2">
      <colorScale>
        <cfvo type="min"/>
        <cfvo type="percentile" val="50"/>
        <cfvo type="max"/>
        <color rgb="FF63BE7B"/>
        <color rgb="FFFFEB84"/>
        <color rgb="FFF8696B"/>
      </colorScale>
    </cfRule>
  </conditionalFormatting>
  <dataValidations count="1">
    <dataValidation type="list" allowBlank="1" showInputMessage="1" showErrorMessage="1" sqref="C9" xr:uid="{6CD73358-6E08-6C44-B854-1DF731ACDED1}">
      <formula1>$Q$8:$Q$29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1">
        <x14:dataValidation type="list" allowBlank="1" showInputMessage="1" showErrorMessage="1" xr:uid="{42768289-C310-7041-9023-DFB947782880}">
          <x14:formula1>
            <xm:f>Variables!$I$45:$I$46</xm:f>
          </x14:formula1>
          <xm:sqref>B15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07C54-9AF3-424A-854C-05E6AC90E2A4}">
  <sheetPr codeName="Sheet13"/>
  <dimension ref="A1"/>
  <sheetViews>
    <sheetView workbookViewId="0">
      <selection activeCell="I21" sqref="I21"/>
    </sheetView>
  </sheetViews>
  <sheetFormatPr baseColWidth="10" defaultColWidth="11" defaultRowHeight="16" x14ac:dyDescent="0.2"/>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D697B9668E73C443937172C490D834E0" ma:contentTypeVersion="16" ma:contentTypeDescription="Crear nuevo documento." ma:contentTypeScope="" ma:versionID="c629c84500aab942f6e2de2dd88e19cb">
  <xsd:schema xmlns:xsd="http://www.w3.org/2001/XMLSchema" xmlns:xs="http://www.w3.org/2001/XMLSchema" xmlns:p="http://schemas.microsoft.com/office/2006/metadata/properties" xmlns:ns2="6c2855d8-75b9-4442-b8a1-54259b27cdb1" xmlns:ns3="50d527a4-521c-4994-bbff-3f3eefa13e52" targetNamespace="http://schemas.microsoft.com/office/2006/metadata/properties" ma:root="true" ma:fieldsID="5717f2165b97f02ab5cdc2ad9ab7de25" ns2:_="" ns3:_="">
    <xsd:import namespace="6c2855d8-75b9-4442-b8a1-54259b27cdb1"/>
    <xsd:import namespace="50d527a4-521c-4994-bbff-3f3eefa13e5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Location" minOccurs="0"/>
                <xsd:element ref="ns2:MediaServiceSearchProperties"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2855d8-75b9-4442-b8a1-54259b27cdb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Etiquetas de imagen" ma:readOnly="false" ma:fieldId="{5cf76f15-5ced-4ddc-b409-7134ff3c332f}" ma:taxonomyMulti="true" ma:sspId="d0686286-2c4c-4118-b114-4f1c44ffebc4"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0d527a4-521c-4994-bbff-3f3eefa13e52"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4bca0184-c716-4ecc-986b-1d71d9cb3b4b}" ma:internalName="TaxCatchAll" ma:showField="CatchAllData" ma:web="50d527a4-521c-4994-bbff-3f3eefa13e52">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6c2855d8-75b9-4442-b8a1-54259b27cdb1">
      <Terms xmlns="http://schemas.microsoft.com/office/infopath/2007/PartnerControls"/>
    </lcf76f155ced4ddcb4097134ff3c332f>
    <TaxCatchAll xmlns="50d527a4-521c-4994-bbff-3f3eefa13e52" xsi:nil="true"/>
    <SharedWithUsers xmlns="50d527a4-521c-4994-bbff-3f3eefa13e52">
      <UserInfo>
        <DisplayName>Luis Morales</DisplayName>
        <AccountId>10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ABB7D3C-FC76-483E-B044-6A9C70E8262C}"/>
</file>

<file path=customXml/itemProps2.xml><?xml version="1.0" encoding="utf-8"?>
<ds:datastoreItem xmlns:ds="http://schemas.openxmlformats.org/officeDocument/2006/customXml" ds:itemID="{3D9AADC4-1A2B-4136-931B-84F5063A5EC1}">
  <ds:schemaRefs>
    <ds:schemaRef ds:uri="6c2855d8-75b9-4442-b8a1-54259b27cdb1"/>
    <ds:schemaRef ds:uri="http://schemas.microsoft.com/office/2006/documentManagement/types"/>
    <ds:schemaRef ds:uri="http://www.w3.org/XML/1998/namespace"/>
    <ds:schemaRef ds:uri="http://purl.org/dc/elements/1.1/"/>
    <ds:schemaRef ds:uri="http://schemas.microsoft.com/office/infopath/2007/PartnerControls"/>
    <ds:schemaRef ds:uri="http://purl.org/dc/terms/"/>
    <ds:schemaRef ds:uri="http://schemas.openxmlformats.org/package/2006/metadata/core-properties"/>
    <ds:schemaRef ds:uri="50d527a4-521c-4994-bbff-3f3eefa13e52"/>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FB6211E8-8B11-48CF-A4C0-FC73602AF8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46</vt:i4>
      </vt:variant>
    </vt:vector>
  </HeadingPairs>
  <TitlesOfParts>
    <vt:vector size="61" baseType="lpstr">
      <vt:lpstr>Panel de Informacion</vt:lpstr>
      <vt:lpstr>Variables</vt:lpstr>
      <vt:lpstr>Lista de Facturas</vt:lpstr>
      <vt:lpstr>Lista de Sistemas</vt:lpstr>
      <vt:lpstr>e-mail al Cliente</vt:lpstr>
      <vt:lpstr>e-mail al vendedor</vt:lpstr>
      <vt:lpstr>Lista de Baterias (custom)</vt:lpstr>
      <vt:lpstr>Cotización Baterias (custom)</vt:lpstr>
      <vt:lpstr>Calculo ATR</vt:lpstr>
      <vt:lpstr>Notas</vt:lpstr>
      <vt:lpstr>Tabla de Precios</vt:lpstr>
      <vt:lpstr>ROI Calculations</vt:lpstr>
      <vt:lpstr>Cash Flows</vt:lpstr>
      <vt:lpstr>ROI Dashboard</vt:lpstr>
      <vt:lpstr>Scratch pad</vt:lpstr>
      <vt:lpstr>abono_1</vt:lpstr>
      <vt:lpstr>abono_2</vt:lpstr>
      <vt:lpstr>ac_dc_conv</vt:lpstr>
      <vt:lpstr>c_cont_slack</vt:lpstr>
      <vt:lpstr>c_demanda_dist</vt:lpstr>
      <vt:lpstr>c_demanda_prim</vt:lpstr>
      <vt:lpstr>c_demanda_trans</vt:lpstr>
      <vt:lpstr>c_ex_demanda_dist</vt:lpstr>
      <vt:lpstr>c_ex_demanda_prim</vt:lpstr>
      <vt:lpstr>c_ex_demanda_trans</vt:lpstr>
      <vt:lpstr>carta_vendedor_body</vt:lpstr>
      <vt:lpstr>como_llenar_contrato</vt:lpstr>
      <vt:lpstr>cons_diar_prom</vt:lpstr>
      <vt:lpstr>days_year</vt:lpstr>
      <vt:lpstr>default_sp_yield</vt:lpstr>
      <vt:lpstr>Entidad_Financiera</vt:lpstr>
      <vt:lpstr>Equip_markup</vt:lpstr>
      <vt:lpstr>hours_day</vt:lpstr>
      <vt:lpstr>hours_dayu</vt:lpstr>
      <vt:lpstr>maint</vt:lpstr>
      <vt:lpstr>maint_markup</vt:lpstr>
      <vt:lpstr>maint_start</vt:lpstr>
      <vt:lpstr>max_demanda</vt:lpstr>
      <vt:lpstr>Net_sys_price</vt:lpstr>
      <vt:lpstr>No_factura_cliente</vt:lpstr>
      <vt:lpstr>No_info</vt:lpstr>
      <vt:lpstr>No_PPA_PW</vt:lpstr>
      <vt:lpstr>Nota_proyecto</vt:lpstr>
      <vt:lpstr>PowerWall1</vt:lpstr>
      <vt:lpstr>Production</vt:lpstr>
      <vt:lpstr>PW_1</vt:lpstr>
      <vt:lpstr>PW_2</vt:lpstr>
      <vt:lpstr>PW_3</vt:lpstr>
      <vt:lpstr>PW_end</vt:lpstr>
      <vt:lpstr>PW_fin</vt:lpstr>
      <vt:lpstr>PW_fin_end</vt:lpstr>
      <vt:lpstr>REAP_CAP</vt:lpstr>
      <vt:lpstr>REAP_level</vt:lpstr>
      <vt:lpstr>service_markup</vt:lpstr>
      <vt:lpstr>sys_price</vt:lpstr>
      <vt:lpstr>sys_size</vt:lpstr>
      <vt:lpstr>Tarifa_1</vt:lpstr>
      <vt:lpstr>Tariff</vt:lpstr>
      <vt:lpstr>Term</vt:lpstr>
      <vt:lpstr>Total_storage</vt:lpstr>
      <vt:lpstr>Tx_slack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Luis Morales</dc:creator>
  <cp:keywords/>
  <dc:description/>
  <cp:lastModifiedBy>Luis Morales</cp:lastModifiedBy>
  <cp:revision/>
  <dcterms:created xsi:type="dcterms:W3CDTF">2023-08-17T17:04:30Z</dcterms:created>
  <dcterms:modified xsi:type="dcterms:W3CDTF">2026-01-23T23:28:15Z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0x010100D697B9668E73C443937172C490D834E0</vt:lpwstr>
  </property>
  <property fmtid="{D5CDD505-2E9C-101B-9397-08002B2CF9AE}" pid="3" name="MediaServiceImageTags">
    <vt:lpwstr/>
  </property>
</Properties>
</file>