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to Tópicos (SE)\Documentação\"/>
    </mc:Choice>
  </mc:AlternateContent>
  <xr:revisionPtr revIDLastSave="0" documentId="13_ncr:1_{370C7105-5DED-43B2-8265-8AA1B72A3D33}" xr6:coauthVersionLast="47" xr6:coauthVersionMax="47" xr10:uidLastSave="{00000000-0000-0000-0000-000000000000}"/>
  <bookViews>
    <workbookView xWindow="-120" yWindow="-120" windowWidth="20730" windowHeight="11160" firstSheet="1" activeTab="3" xr2:uid="{45E7AD80-7AC7-4B4B-B551-7966C6DE7A24}"/>
  </bookViews>
  <sheets>
    <sheet name="Base de estudo" sheetId="1" r:id="rId1"/>
    <sheet name="Base comparativa" sheetId="2" r:id="rId2"/>
    <sheet name="Escala comparativa" sheetId="3" r:id="rId3"/>
    <sheet name="Ofertas" sheetId="5" r:id="rId4"/>
    <sheet name="Gráfico" sheetId="4" r:id="rId5"/>
  </sheets>
  <definedNames>
    <definedName name="_xlnm._FilterDatabase" localSheetId="0" hidden="1">'Base de estudo'!$B$3:$M$28</definedName>
    <definedName name="_xlnm._FilterDatabase" localSheetId="2" hidden="1">'Escala comparativa'!$B$5:$P$30</definedName>
    <definedName name="_xlnm._FilterDatabase" localSheetId="3" hidden="1">Ofertas!$A$1:$F$53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G12" i="1"/>
  <c r="G11" i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N9" i="3"/>
  <c r="N7" i="3"/>
  <c r="N10" i="3"/>
  <c r="N8" i="3"/>
  <c r="N12" i="3"/>
  <c r="N11" i="3"/>
  <c r="N13" i="3"/>
  <c r="N14" i="3"/>
  <c r="N15" i="3"/>
  <c r="N16" i="3"/>
  <c r="N19" i="3"/>
  <c r="N18" i="3"/>
  <c r="N17" i="3"/>
  <c r="N20" i="3"/>
  <c r="N21" i="3"/>
  <c r="N24" i="3"/>
  <c r="N22" i="3"/>
  <c r="N23" i="3"/>
  <c r="N25" i="3"/>
  <c r="N26" i="3"/>
  <c r="N27" i="3"/>
  <c r="N28" i="3"/>
  <c r="N29" i="3"/>
  <c r="N30" i="3"/>
  <c r="N6" i="3"/>
  <c r="M3" i="3"/>
  <c r="L3" i="3"/>
  <c r="K3" i="3"/>
  <c r="J3" i="3"/>
  <c r="I3" i="3"/>
  <c r="H3" i="3"/>
  <c r="G3" i="3"/>
  <c r="F3" i="3"/>
  <c r="E3" i="3"/>
  <c r="D3" i="3"/>
  <c r="G10" i="1"/>
  <c r="D12" i="3"/>
  <c r="E12" i="3"/>
  <c r="F12" i="3"/>
  <c r="G12" i="3"/>
  <c r="H12" i="3"/>
  <c r="I12" i="3"/>
  <c r="J12" i="3"/>
  <c r="K12" i="3"/>
  <c r="L12" i="3"/>
  <c r="D11" i="3"/>
  <c r="E11" i="3"/>
  <c r="F11" i="3"/>
  <c r="G11" i="3"/>
  <c r="H11" i="3"/>
  <c r="I11" i="3"/>
  <c r="J11" i="3"/>
  <c r="K11" i="3"/>
  <c r="L11" i="3"/>
  <c r="D13" i="3"/>
  <c r="E13" i="3"/>
  <c r="F13" i="3"/>
  <c r="G13" i="3"/>
  <c r="H13" i="3"/>
  <c r="I13" i="3"/>
  <c r="J13" i="3"/>
  <c r="K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9" i="3"/>
  <c r="E19" i="3"/>
  <c r="F19" i="3"/>
  <c r="G19" i="3"/>
  <c r="H19" i="3"/>
  <c r="I19" i="3"/>
  <c r="J19" i="3"/>
  <c r="K19" i="3"/>
  <c r="L19" i="3"/>
  <c r="D18" i="3"/>
  <c r="E18" i="3"/>
  <c r="F18" i="3"/>
  <c r="G18" i="3"/>
  <c r="H18" i="3"/>
  <c r="I18" i="3"/>
  <c r="J18" i="3"/>
  <c r="K18" i="3"/>
  <c r="L18" i="3"/>
  <c r="D17" i="3"/>
  <c r="E17" i="3"/>
  <c r="F17" i="3"/>
  <c r="G17" i="3"/>
  <c r="H17" i="3"/>
  <c r="I17" i="3"/>
  <c r="J17" i="3"/>
  <c r="K17" i="3"/>
  <c r="L17" i="3"/>
  <c r="D20" i="3"/>
  <c r="E20" i="3"/>
  <c r="F20" i="3"/>
  <c r="G20" i="3"/>
  <c r="H20" i="3"/>
  <c r="I20" i="3"/>
  <c r="J20" i="3"/>
  <c r="K20" i="3"/>
  <c r="L20" i="3"/>
  <c r="D21" i="3"/>
  <c r="E21" i="3"/>
  <c r="F21" i="3"/>
  <c r="G21" i="3"/>
  <c r="H21" i="3"/>
  <c r="I21" i="3"/>
  <c r="J21" i="3"/>
  <c r="K21" i="3"/>
  <c r="L21" i="3"/>
  <c r="D24" i="3"/>
  <c r="E24" i="3"/>
  <c r="F24" i="3"/>
  <c r="G24" i="3"/>
  <c r="H24" i="3"/>
  <c r="I24" i="3"/>
  <c r="J24" i="3"/>
  <c r="K24" i="3"/>
  <c r="L24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5" i="3"/>
  <c r="E25" i="3"/>
  <c r="F25" i="3"/>
  <c r="G25" i="3"/>
  <c r="H25" i="3"/>
  <c r="I25" i="3"/>
  <c r="J25" i="3"/>
  <c r="K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I27" i="3"/>
  <c r="J27" i="3"/>
  <c r="K27" i="3"/>
  <c r="L27" i="3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E9" i="3"/>
  <c r="F9" i="3"/>
  <c r="G9" i="3"/>
  <c r="H9" i="3"/>
  <c r="I9" i="3"/>
  <c r="J9" i="3"/>
  <c r="K9" i="3"/>
  <c r="L9" i="3"/>
  <c r="E7" i="3"/>
  <c r="F7" i="3"/>
  <c r="G7" i="3"/>
  <c r="H7" i="3"/>
  <c r="I7" i="3"/>
  <c r="J7" i="3"/>
  <c r="K7" i="3"/>
  <c r="L7" i="3"/>
  <c r="E10" i="3"/>
  <c r="F10" i="3"/>
  <c r="G10" i="3"/>
  <c r="H10" i="3"/>
  <c r="I10" i="3"/>
  <c r="J10" i="3"/>
  <c r="K10" i="3"/>
  <c r="L10" i="3"/>
  <c r="E8" i="3"/>
  <c r="F8" i="3"/>
  <c r="G8" i="3"/>
  <c r="H8" i="3"/>
  <c r="I8" i="3"/>
  <c r="J8" i="3"/>
  <c r="K8" i="3"/>
  <c r="L8" i="3"/>
  <c r="L6" i="3"/>
  <c r="K6" i="3"/>
  <c r="J6" i="3"/>
  <c r="I6" i="3"/>
  <c r="H6" i="3"/>
  <c r="G6" i="3"/>
  <c r="F6" i="3"/>
  <c r="E6" i="3"/>
  <c r="D8" i="3"/>
  <c r="D10" i="3"/>
  <c r="D7" i="3"/>
  <c r="D9" i="3"/>
  <c r="D6" i="3"/>
  <c r="G9" i="1"/>
  <c r="G8" i="1"/>
  <c r="G7" i="1"/>
  <c r="G6" i="1"/>
  <c r="M18" i="3" l="1"/>
  <c r="M25" i="3"/>
  <c r="M22" i="3"/>
  <c r="M21" i="3"/>
  <c r="M13" i="3"/>
  <c r="M26" i="3"/>
  <c r="M29" i="3"/>
  <c r="M16" i="3"/>
  <c r="M28" i="3"/>
  <c r="M14" i="3"/>
  <c r="M11" i="3"/>
  <c r="M17" i="3"/>
  <c r="M23" i="3"/>
  <c r="M19" i="3"/>
  <c r="M15" i="3"/>
  <c r="M24" i="3"/>
  <c r="M27" i="3"/>
  <c r="M20" i="3"/>
  <c r="M30" i="3"/>
  <c r="M12" i="3"/>
  <c r="M6" i="3"/>
  <c r="M10" i="3"/>
  <c r="M7" i="3"/>
  <c r="M8" i="3"/>
  <c r="M9" i="3"/>
</calcChain>
</file>

<file path=xl/sharedStrings.xml><?xml version="1.0" encoding="utf-8"?>
<sst xmlns="http://schemas.openxmlformats.org/spreadsheetml/2006/main" count="323" uniqueCount="136">
  <si>
    <t>CLASSIFICAÇÃO DE CELULARES CONFORME SITES DE REVIEW</t>
  </si>
  <si>
    <t>MARCA</t>
  </si>
  <si>
    <t>MODELO</t>
  </si>
  <si>
    <t>MÉDIA DE PONTUAÇÃO DE ATRIBUTOS DE SMARTPHONES</t>
  </si>
  <si>
    <t>ATRIBUTO</t>
  </si>
  <si>
    <t>VALOR</t>
  </si>
  <si>
    <t>Cap Bateria</t>
  </si>
  <si>
    <t>OBS</t>
  </si>
  <si>
    <t>mAh</t>
  </si>
  <si>
    <t>Densidade Píxeis</t>
  </si>
  <si>
    <t>ppi</t>
  </si>
  <si>
    <t>RAM</t>
  </si>
  <si>
    <t>GB</t>
  </si>
  <si>
    <t>CPU</t>
  </si>
  <si>
    <t>GHz</t>
  </si>
  <si>
    <t>Resolução</t>
  </si>
  <si>
    <t>MP</t>
  </si>
  <si>
    <t>Píxels Cam. Principal</t>
  </si>
  <si>
    <t>Tamanho tela</t>
  </si>
  <si>
    <t>polegadas</t>
  </si>
  <si>
    <t>Píxels Cam. Frontal</t>
  </si>
  <si>
    <t>Apple</t>
  </si>
  <si>
    <t>LG</t>
  </si>
  <si>
    <t>Nokia</t>
  </si>
  <si>
    <t>Samsung</t>
  </si>
  <si>
    <t>Xiaomi</t>
  </si>
  <si>
    <t>iPhone 13 Pro Max</t>
  </si>
  <si>
    <t>iPhone 13</t>
  </si>
  <si>
    <t>iPhone 12 Pro Max</t>
  </si>
  <si>
    <t>iPhone 12</t>
  </si>
  <si>
    <t>iPhone 11 Pro Max</t>
  </si>
  <si>
    <t>G8</t>
  </si>
  <si>
    <t>G8s</t>
  </si>
  <si>
    <t>G7 Plus</t>
  </si>
  <si>
    <t>G7</t>
  </si>
  <si>
    <t>G6 Plus</t>
  </si>
  <si>
    <t>9 PureView</t>
  </si>
  <si>
    <t>8 Sirocco</t>
  </si>
  <si>
    <t>7.2</t>
  </si>
  <si>
    <t>7.1</t>
  </si>
  <si>
    <t>S21 Ultra</t>
  </si>
  <si>
    <t>S21</t>
  </si>
  <si>
    <t>S20 Ultra</t>
  </si>
  <si>
    <t>S20</t>
  </si>
  <si>
    <t>S10</t>
  </si>
  <si>
    <t>Mi 11 Ultra</t>
  </si>
  <si>
    <t>Mi 11</t>
  </si>
  <si>
    <t>Mi 10S</t>
  </si>
  <si>
    <t>Mi 9 Pro</t>
  </si>
  <si>
    <t>Mi 9</t>
  </si>
  <si>
    <t>Armaz. Interno</t>
  </si>
  <si>
    <t>PONTUAÇÃO</t>
  </si>
  <si>
    <t>Preço</t>
  </si>
  <si>
    <t>Entradas</t>
  </si>
  <si>
    <t>Qual marca?</t>
  </si>
  <si>
    <t>Nmr</t>
  </si>
  <si>
    <t>Qual a faixa de preço?</t>
  </si>
  <si>
    <t>2.1 &gt;=1000/&lt;2000</t>
  </si>
  <si>
    <t>2.2 &gt;=2000/&lt;3000</t>
  </si>
  <si>
    <t>2.3 &gt;=3000/&lt;5000</t>
  </si>
  <si>
    <t>2.4 &gt;=5000</t>
  </si>
  <si>
    <t>Produtos ofertados</t>
  </si>
  <si>
    <t>Up</t>
  </si>
  <si>
    <t>regra do maior</t>
  </si>
  <si>
    <t>venda</t>
  </si>
  <si>
    <t>Qual prioridade?</t>
  </si>
  <si>
    <t>CNF de todos</t>
  </si>
  <si>
    <t>Marca</t>
  </si>
  <si>
    <t>preço</t>
  </si>
  <si>
    <t>0-6,7-8,9-10</t>
  </si>
  <si>
    <t>7;10</t>
  </si>
  <si>
    <t>Cross</t>
  </si>
  <si>
    <t>Watch 7</t>
  </si>
  <si>
    <t>Watch 4</t>
  </si>
  <si>
    <t>Watch Sport</t>
  </si>
  <si>
    <t>G Watch</t>
  </si>
  <si>
    <t>Earbuds</t>
  </si>
  <si>
    <t>Power Earbuds</t>
  </si>
  <si>
    <t>Galaxy Steel</t>
  </si>
  <si>
    <t>Galaxy Aluminium</t>
  </si>
  <si>
    <t>Buds 3</t>
  </si>
  <si>
    <t>AirDots 3</t>
  </si>
  <si>
    <t>iPhone 13 Pro Max - R$ 14999 / Watch 7 - R$ 4463</t>
  </si>
  <si>
    <t>iPhone 12 Pro Max - R$ 10399 / Watch 7 - R$ 4463</t>
  </si>
  <si>
    <t>iPhone 11 Pro Max - R$ 6399 / Watch 4 - R$ 2152</t>
  </si>
  <si>
    <t>iPhone 13 - R$ 14817 / Watch 7 - R$ 4463</t>
  </si>
  <si>
    <t>iPhone 12 - R$ 6999 / Watch 4 - R$ 2152</t>
  </si>
  <si>
    <t>G8 - R$ 2049,9 / Watch Sport - R$ 945</t>
  </si>
  <si>
    <t>G8s - R$ 1062 / Watch Sport - R$ 945</t>
  </si>
  <si>
    <t>9 PureView - R$ 1349 / Earbuds - R$ 800</t>
  </si>
  <si>
    <t>7.2 - R$ 1199 / Power Earbuds - R$ 300</t>
  </si>
  <si>
    <t>8 - R$ 1199 / Power Earbuds - R$ 300</t>
  </si>
  <si>
    <t>8 Sirocco - R$ 4354 / Earbuds - R$ 800</t>
  </si>
  <si>
    <t>7.1 - R$ 1349 / Earbuds - R$ 800</t>
  </si>
  <si>
    <t>S21 Ultra - R$ 6883 / Galaxy Steel - R$ 2463</t>
  </si>
  <si>
    <t>S20 Ultra - R$ 7399 / Galaxy Steel - R$ 2463</t>
  </si>
  <si>
    <t>S20 - R$ 6988 / Galaxy Aluminium - R$ 1200</t>
  </si>
  <si>
    <t>S21 - R$ 5999 / Galaxy Aluminium - R$ 1200</t>
  </si>
  <si>
    <t>S10 - R$ 7586,16 / Galaxy Steel - R$ 2463</t>
  </si>
  <si>
    <t>Mi 11 Ultra - R$ 4780 / Buds 3 - R$ 330</t>
  </si>
  <si>
    <t>Mi 11 - R$ 6449,01 / Buds 3 - R$ 330</t>
  </si>
  <si>
    <t>Mi 10S - R$ 3120 / Buds 3 - R$ 330</t>
  </si>
  <si>
    <t>Mi 9 Pro - R$ 2299 / AirDots 3 - R$ 222</t>
  </si>
  <si>
    <t>Mi 9 - R$ 1599 / AirDots 3 - R$ 222</t>
  </si>
  <si>
    <t>iPhone 13 Pro Max - R$ 14999</t>
  </si>
  <si>
    <t>iPhone 12 Pro Max - R$ 10399</t>
  </si>
  <si>
    <t>iPhone 11 Pro Max - R$ 6399</t>
  </si>
  <si>
    <t>iPhone 13 - R$ 14817</t>
  </si>
  <si>
    <t>iPhone 12 - R$ 6999</t>
  </si>
  <si>
    <t>G8 - R$ 2049,9</t>
  </si>
  <si>
    <t>G8s - R$ 1062</t>
  </si>
  <si>
    <t>9 PureView - R$ 1349</t>
  </si>
  <si>
    <t>7.2 - R$ 1199</t>
  </si>
  <si>
    <t>8 - R$ 1199</t>
  </si>
  <si>
    <t>8 Sirocco - R$ 4354</t>
  </si>
  <si>
    <t>7.1 - R$ 1349</t>
  </si>
  <si>
    <t>S21 Ultra - R$ 6883</t>
  </si>
  <si>
    <t>S20 Ultra - R$ 7399</t>
  </si>
  <si>
    <t>S20 - R$ 6988</t>
  </si>
  <si>
    <t>S21 - R$ 5999</t>
  </si>
  <si>
    <t>S10 - R$ 7586,16</t>
  </si>
  <si>
    <t>Mi 11 Ultra - R$ 4780</t>
  </si>
  <si>
    <t>Mi 11 - R$ 6449,01</t>
  </si>
  <si>
    <t>Mi 10S - R$ 3120</t>
  </si>
  <si>
    <t>Mi 9 Pro - R$ 2299</t>
  </si>
  <si>
    <t>Mi 9 - R$ 1599</t>
  </si>
  <si>
    <t>Aparelho</t>
  </si>
  <si>
    <t>Valor</t>
  </si>
  <si>
    <t>Oferta Cross</t>
  </si>
  <si>
    <t>Oferta</t>
  </si>
  <si>
    <t>G7 Plus - R$ 4199 / Watch Sport - R$ 945</t>
  </si>
  <si>
    <t>G7 Plus - R$ 4199</t>
  </si>
  <si>
    <t>G7 - R$ 4199 / G Watch - R$ 70</t>
  </si>
  <si>
    <t>G7 - R$ 4199</t>
  </si>
  <si>
    <t>G6 Plus - R$ 1318 / G Watch - R$ 70</t>
  </si>
  <si>
    <t>G6 Plus - R$ 1318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</si>
</sst>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1" fillId="3" borderId="13" xfId="0" applyFont="1" applyFill="1" applyBorder="1" applyAlignment="1">
      <alignment horizontal="center"/>
    </xf>
    <xf numFmtId="2" fontId="0" fillId="0" borderId="1" xfId="0" applyNumberFormat="1" applyBorder="1"/>
    <xf numFmtId="2" fontId="0" fillId="5" borderId="1" xfId="0" applyNumberFormat="1" applyFill="1" applyBorder="1"/>
    <xf numFmtId="0" fontId="0" fillId="0" borderId="0" xfId="0"/>
    <xf numFmtId="0" fontId="1" fillId="3" borderId="10" xfId="0" applyFont="1" applyFill="1" applyBorder="1" applyAlignment="1">
      <alignment horizontal="center"/>
    </xf>
    <xf numFmtId="43" fontId="0" fillId="0" borderId="10" xfId="0" applyNumberFormat="1" applyBorder="1"/>
    <xf numFmtId="0" fontId="1" fillId="3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 patternType="darkUp">
          <fgColor auto="1"/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'Escala comparativa'!$M$5</c:f>
              <c:strCache>
                <c:ptCount val="1"/>
                <c:pt idx="0">
                  <c:v>PONTUAÇÃO</c:v>
                </c:pt>
              </c:strCache>
            </c:strRef>
          </c:tx>
          <c:spPr>
            <a:noFill/>
            <a:ln w="9525" cap="flat" cmpd="sng" algn="ctr">
              <a:solidFill>
                <a:srgbClr val="FFFF00"/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'Escala comparativa'!$C$6:$C$30</c:f>
              <c:strCache>
                <c:ptCount val="25"/>
                <c:pt idx="0">
                  <c:v>iPhone 13 Pro Max</c:v>
                </c:pt>
                <c:pt idx="1">
                  <c:v>iPhone 12 Pro Max</c:v>
                </c:pt>
                <c:pt idx="2">
                  <c:v>iPhone 11 Pro Max</c:v>
                </c:pt>
                <c:pt idx="3">
                  <c:v>iPhone 13</c:v>
                </c:pt>
                <c:pt idx="4">
                  <c:v>iPhone 12</c:v>
                </c:pt>
                <c:pt idx="5">
                  <c:v>G8</c:v>
                </c:pt>
                <c:pt idx="6">
                  <c:v>G8s</c:v>
                </c:pt>
                <c:pt idx="7">
                  <c:v>G7 Plus</c:v>
                </c:pt>
                <c:pt idx="8">
                  <c:v>G7</c:v>
                </c:pt>
                <c:pt idx="9">
                  <c:v>G6 Plus</c:v>
                </c:pt>
                <c:pt idx="10">
                  <c:v>9 PureView</c:v>
                </c:pt>
                <c:pt idx="11">
                  <c:v>7.2</c:v>
                </c:pt>
                <c:pt idx="12">
                  <c:v>8</c:v>
                </c:pt>
                <c:pt idx="13">
                  <c:v>8 Sirocco</c:v>
                </c:pt>
                <c:pt idx="14">
                  <c:v>7.1</c:v>
                </c:pt>
                <c:pt idx="15">
                  <c:v>S21 Ultra</c:v>
                </c:pt>
                <c:pt idx="16">
                  <c:v>S20 Ultra</c:v>
                </c:pt>
                <c:pt idx="17">
                  <c:v>S20</c:v>
                </c:pt>
                <c:pt idx="18">
                  <c:v>S21</c:v>
                </c:pt>
                <c:pt idx="19">
                  <c:v>S10</c:v>
                </c:pt>
                <c:pt idx="20">
                  <c:v>Mi 11 Ultra</c:v>
                </c:pt>
                <c:pt idx="21">
                  <c:v>Mi 11</c:v>
                </c:pt>
                <c:pt idx="22">
                  <c:v>Mi 10S</c:v>
                </c:pt>
                <c:pt idx="23">
                  <c:v>Mi 9 Pro</c:v>
                </c:pt>
                <c:pt idx="24">
                  <c:v>Mi 9</c:v>
                </c:pt>
              </c:strCache>
            </c:strRef>
          </c:cat>
          <c:val>
            <c:numRef>
              <c:f>'Escala comparativa'!$M$6:$M$30</c:f>
              <c:numCache>
                <c:formatCode>0.00</c:formatCode>
                <c:ptCount val="25"/>
                <c:pt idx="0">
                  <c:v>6.96</c:v>
                </c:pt>
                <c:pt idx="1">
                  <c:v>6.81</c:v>
                </c:pt>
                <c:pt idx="2">
                  <c:v>6.48</c:v>
                </c:pt>
                <c:pt idx="3">
                  <c:v>6.13</c:v>
                </c:pt>
                <c:pt idx="4">
                  <c:v>5.89</c:v>
                </c:pt>
                <c:pt idx="5">
                  <c:v>6.38</c:v>
                </c:pt>
                <c:pt idx="6">
                  <c:v>5.86</c:v>
                </c:pt>
                <c:pt idx="7">
                  <c:v>6.43</c:v>
                </c:pt>
                <c:pt idx="8">
                  <c:v>5.66</c:v>
                </c:pt>
                <c:pt idx="9">
                  <c:v>5.33</c:v>
                </c:pt>
                <c:pt idx="10">
                  <c:v>7.76</c:v>
                </c:pt>
                <c:pt idx="11">
                  <c:v>7.31</c:v>
                </c:pt>
                <c:pt idx="12">
                  <c:v>6.52</c:v>
                </c:pt>
                <c:pt idx="13">
                  <c:v>6.14</c:v>
                </c:pt>
                <c:pt idx="14">
                  <c:v>4.9400000000000004</c:v>
                </c:pt>
                <c:pt idx="15">
                  <c:v>8.69</c:v>
                </c:pt>
                <c:pt idx="16">
                  <c:v>8.64</c:v>
                </c:pt>
                <c:pt idx="17">
                  <c:v>7.8</c:v>
                </c:pt>
                <c:pt idx="18">
                  <c:v>7.5</c:v>
                </c:pt>
                <c:pt idx="19">
                  <c:v>7.36</c:v>
                </c:pt>
                <c:pt idx="20">
                  <c:v>8.5399999999999991</c:v>
                </c:pt>
                <c:pt idx="21">
                  <c:v>8.4700000000000006</c:v>
                </c:pt>
                <c:pt idx="22">
                  <c:v>8.02</c:v>
                </c:pt>
                <c:pt idx="23">
                  <c:v>7.89</c:v>
                </c:pt>
                <c:pt idx="24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C-43FE-878D-0B14D017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4674488"/>
        <c:axId val="524674816"/>
      </c:barChart>
      <c:catAx>
        <c:axId val="524674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816"/>
        <c:crosses val="autoZero"/>
        <c:auto val="1"/>
        <c:lblAlgn val="ctr"/>
        <c:lblOffset val="100"/>
        <c:noMultiLvlLbl val="0"/>
      </c:catAx>
      <c:valAx>
        <c:axId val="5246748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67448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333375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3B1C4-3577-426A-83A3-6E9278F1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053-263D-40B1-B0B9-E1EC50237EB8}">
  <dimension ref="A1:R28"/>
  <sheetViews>
    <sheetView showGridLines="0" topLeftCell="A7" workbookViewId="0">
      <selection activeCell="C13" sqref="C13"/>
    </sheetView>
  </sheetViews>
  <sheetFormatPr defaultColWidth="16.5703125" defaultRowHeight="15" x14ac:dyDescent="0.25"/>
  <cols>
    <col min="2" max="2" width="12.28515625" bestFit="1" customWidth="1"/>
    <col min="3" max="3" width="17.5703125" bestFit="1" customWidth="1"/>
    <col min="4" max="4" width="15.5703125" bestFit="1" customWidth="1"/>
    <col min="5" max="5" width="20.85546875" bestFit="1" customWidth="1"/>
    <col min="6" max="6" width="9.85546875" bestFit="1" customWidth="1"/>
    <col min="7" max="7" width="9.28515625" bestFit="1" customWidth="1"/>
    <col min="8" max="8" width="14.5703125" bestFit="1" customWidth="1"/>
    <col min="9" max="9" width="24.140625" bestFit="1" customWidth="1"/>
    <col min="10" max="10" width="17.7109375" bestFit="1" customWidth="1"/>
    <col min="11" max="11" width="22.7109375" bestFit="1" customWidth="1"/>
    <col min="12" max="12" width="18.85546875" bestFit="1" customWidth="1"/>
    <col min="13" max="13" width="10.5703125" bestFit="1" customWidth="1"/>
  </cols>
  <sheetData>
    <row r="1" spans="1:18" x14ac:dyDescent="0.2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7"/>
      <c r="N1" s="7"/>
      <c r="O1" s="7"/>
      <c r="P1" s="7"/>
      <c r="Q1" s="7"/>
      <c r="R1" s="7"/>
    </row>
    <row r="3" spans="1:18" x14ac:dyDescent="0.25">
      <c r="B3" s="11" t="s">
        <v>1</v>
      </c>
      <c r="C3" s="11" t="s">
        <v>2</v>
      </c>
      <c r="D3" s="11" t="s">
        <v>6</v>
      </c>
      <c r="E3" s="11" t="s">
        <v>9</v>
      </c>
      <c r="F3" s="11" t="s">
        <v>11</v>
      </c>
      <c r="G3" s="11" t="s">
        <v>13</v>
      </c>
      <c r="H3" s="11" t="s">
        <v>15</v>
      </c>
      <c r="I3" s="11" t="s">
        <v>17</v>
      </c>
      <c r="J3" s="11" t="s">
        <v>18</v>
      </c>
      <c r="K3" s="11" t="s">
        <v>20</v>
      </c>
      <c r="L3" s="11" t="s">
        <v>50</v>
      </c>
      <c r="M3" s="21" t="s">
        <v>52</v>
      </c>
    </row>
    <row r="4" spans="1:18" x14ac:dyDescent="0.25">
      <c r="B4" s="12" t="s">
        <v>21</v>
      </c>
      <c r="C4" s="12" t="s">
        <v>26</v>
      </c>
      <c r="D4" s="12">
        <v>4373</v>
      </c>
      <c r="E4" s="12">
        <v>458</v>
      </c>
      <c r="F4" s="12">
        <v>6</v>
      </c>
      <c r="G4" s="12">
        <v>14.4</v>
      </c>
      <c r="H4" s="12">
        <v>2.77</v>
      </c>
      <c r="I4" s="12">
        <v>36</v>
      </c>
      <c r="J4" s="12">
        <v>6.7</v>
      </c>
      <c r="K4" s="12">
        <v>12</v>
      </c>
      <c r="L4" s="12">
        <v>1000</v>
      </c>
      <c r="M4" s="22">
        <v>14999</v>
      </c>
    </row>
    <row r="5" spans="1:18" x14ac:dyDescent="0.25">
      <c r="A5" s="20"/>
      <c r="B5" s="12" t="s">
        <v>21</v>
      </c>
      <c r="C5" s="12" t="s">
        <v>27</v>
      </c>
      <c r="D5" s="12">
        <v>3240</v>
      </c>
      <c r="E5" s="12">
        <v>460</v>
      </c>
      <c r="F5" s="12">
        <v>4</v>
      </c>
      <c r="G5" s="12">
        <v>14.4</v>
      </c>
      <c r="H5" s="12">
        <v>2.5299999999999998</v>
      </c>
      <c r="I5" s="12">
        <v>24</v>
      </c>
      <c r="J5" s="12">
        <v>6.1</v>
      </c>
      <c r="K5" s="12">
        <v>12</v>
      </c>
      <c r="L5" s="12">
        <v>512</v>
      </c>
      <c r="M5" s="22">
        <v>14817</v>
      </c>
    </row>
    <row r="6" spans="1:18" x14ac:dyDescent="0.25">
      <c r="A6" s="20"/>
      <c r="B6" s="12" t="s">
        <v>21</v>
      </c>
      <c r="C6" s="12" t="s">
        <v>28</v>
      </c>
      <c r="D6" s="12">
        <v>3687</v>
      </c>
      <c r="E6" s="12">
        <v>458</v>
      </c>
      <c r="F6" s="12">
        <v>6</v>
      </c>
      <c r="G6" s="12">
        <f>2*3.1+(4*1.8)</f>
        <v>13.4</v>
      </c>
      <c r="H6" s="12">
        <v>2.77</v>
      </c>
      <c r="I6" s="12">
        <v>36</v>
      </c>
      <c r="J6" s="12">
        <v>6.7</v>
      </c>
      <c r="K6" s="12">
        <v>12</v>
      </c>
      <c r="L6" s="12">
        <v>256</v>
      </c>
      <c r="M6" s="22">
        <v>10399</v>
      </c>
    </row>
    <row r="7" spans="1:18" x14ac:dyDescent="0.25">
      <c r="A7" s="20"/>
      <c r="B7" s="12" t="s">
        <v>21</v>
      </c>
      <c r="C7" s="12" t="s">
        <v>29</v>
      </c>
      <c r="D7" s="12">
        <v>2815</v>
      </c>
      <c r="E7" s="12">
        <v>460</v>
      </c>
      <c r="F7" s="12">
        <v>4</v>
      </c>
      <c r="G7" s="12">
        <f>2*3.1+(4*1.8)</f>
        <v>13.4</v>
      </c>
      <c r="H7" s="12">
        <v>2.5299999999999998</v>
      </c>
      <c r="I7" s="12">
        <v>24</v>
      </c>
      <c r="J7" s="12">
        <v>6.1</v>
      </c>
      <c r="K7" s="12">
        <v>12</v>
      </c>
      <c r="L7" s="12">
        <v>128</v>
      </c>
      <c r="M7" s="22">
        <v>6999</v>
      </c>
    </row>
    <row r="8" spans="1:18" x14ac:dyDescent="0.25">
      <c r="A8" s="20"/>
      <c r="B8" s="12" t="s">
        <v>21</v>
      </c>
      <c r="C8" s="12" t="s">
        <v>30</v>
      </c>
      <c r="D8" s="12">
        <v>3969</v>
      </c>
      <c r="E8" s="12">
        <v>458</v>
      </c>
      <c r="F8" s="12">
        <v>4</v>
      </c>
      <c r="G8" s="12">
        <f>2*2.65+(4*1.8)</f>
        <v>12.5</v>
      </c>
      <c r="H8" s="12">
        <v>2.68</v>
      </c>
      <c r="I8" s="12">
        <v>36</v>
      </c>
      <c r="J8" s="12">
        <v>6.5</v>
      </c>
      <c r="K8" s="12">
        <v>12</v>
      </c>
      <c r="L8" s="12">
        <v>512</v>
      </c>
      <c r="M8" s="22">
        <v>6399</v>
      </c>
    </row>
    <row r="9" spans="1:18" x14ac:dyDescent="0.25">
      <c r="A9" s="20"/>
      <c r="B9" s="12" t="s">
        <v>22</v>
      </c>
      <c r="C9" s="12" t="s">
        <v>32</v>
      </c>
      <c r="D9" s="12">
        <v>3550</v>
      </c>
      <c r="E9" s="12">
        <v>402</v>
      </c>
      <c r="F9" s="12">
        <v>6</v>
      </c>
      <c r="G9" s="12">
        <f>2.84+(3*2.42)+(4*1.8)</f>
        <v>17.3</v>
      </c>
      <c r="H9" s="12">
        <v>2.2400000000000002</v>
      </c>
      <c r="I9" s="12">
        <v>13</v>
      </c>
      <c r="J9" s="12">
        <v>6.2</v>
      </c>
      <c r="K9" s="12">
        <v>8</v>
      </c>
      <c r="L9" s="12">
        <v>128</v>
      </c>
      <c r="M9" s="22">
        <v>1062</v>
      </c>
    </row>
    <row r="10" spans="1:18" x14ac:dyDescent="0.25">
      <c r="A10" s="20"/>
      <c r="B10" s="12" t="s">
        <v>22</v>
      </c>
      <c r="C10" s="12" t="s">
        <v>31</v>
      </c>
      <c r="D10" s="12">
        <v>3500</v>
      </c>
      <c r="E10" s="12">
        <v>564</v>
      </c>
      <c r="F10" s="12">
        <v>6</v>
      </c>
      <c r="G10" s="12">
        <f>2.84+(3*2.42)+(4*1.78)</f>
        <v>17.22</v>
      </c>
      <c r="H10" s="12">
        <v>2.17</v>
      </c>
      <c r="I10" s="12">
        <v>28</v>
      </c>
      <c r="J10" s="12">
        <v>6.1</v>
      </c>
      <c r="K10" s="12">
        <v>8</v>
      </c>
      <c r="L10" s="12">
        <v>128</v>
      </c>
      <c r="M10" s="22">
        <v>2049.9</v>
      </c>
    </row>
    <row r="11" spans="1:18" x14ac:dyDescent="0.25">
      <c r="A11" s="20"/>
      <c r="B11" s="12" t="s">
        <v>22</v>
      </c>
      <c r="C11" s="12" t="s">
        <v>33</v>
      </c>
      <c r="D11" s="12">
        <v>3000</v>
      </c>
      <c r="E11" s="12">
        <v>564</v>
      </c>
      <c r="F11" s="12">
        <v>6</v>
      </c>
      <c r="G11" s="12">
        <f>4*2.8+4*1.77</f>
        <v>18.28</v>
      </c>
      <c r="H11" s="12">
        <v>2.17</v>
      </c>
      <c r="I11" s="12">
        <v>32</v>
      </c>
      <c r="J11" s="12">
        <v>6.1</v>
      </c>
      <c r="K11" s="12">
        <v>8</v>
      </c>
      <c r="L11" s="12">
        <v>128</v>
      </c>
      <c r="M11" s="22">
        <v>4199</v>
      </c>
    </row>
    <row r="12" spans="1:18" x14ac:dyDescent="0.25">
      <c r="A12" s="20"/>
      <c r="B12" s="12" t="s">
        <v>22</v>
      </c>
      <c r="C12" s="12" t="s">
        <v>34</v>
      </c>
      <c r="D12" s="12">
        <v>3000</v>
      </c>
      <c r="E12" s="12">
        <v>564</v>
      </c>
      <c r="F12" s="12">
        <v>4</v>
      </c>
      <c r="G12" s="12">
        <f>4*2.8+4*1.77</f>
        <v>18.28</v>
      </c>
      <c r="H12" s="12">
        <v>2.17</v>
      </c>
      <c r="I12" s="12">
        <v>32</v>
      </c>
      <c r="J12" s="12">
        <v>6.1</v>
      </c>
      <c r="K12" s="12">
        <v>8</v>
      </c>
      <c r="L12" s="12">
        <v>64</v>
      </c>
      <c r="M12" s="22">
        <v>4199</v>
      </c>
    </row>
    <row r="13" spans="1:18" x14ac:dyDescent="0.25">
      <c r="A13" s="20"/>
      <c r="B13" s="12" t="s">
        <v>22</v>
      </c>
      <c r="C13" s="12" t="s">
        <v>35</v>
      </c>
      <c r="D13" s="12">
        <v>3300</v>
      </c>
      <c r="E13" s="12">
        <v>565</v>
      </c>
      <c r="F13" s="12">
        <v>4</v>
      </c>
      <c r="G13" s="12">
        <f>2*2.35+2*1.6</f>
        <v>7.9</v>
      </c>
      <c r="H13" s="12">
        <f>2880/1440</f>
        <v>2</v>
      </c>
      <c r="I13" s="12">
        <v>26</v>
      </c>
      <c r="J13" s="12">
        <v>5.7</v>
      </c>
      <c r="K13" s="12">
        <v>5</v>
      </c>
      <c r="L13" s="12">
        <v>128</v>
      </c>
      <c r="M13" s="22">
        <v>1318</v>
      </c>
    </row>
    <row r="14" spans="1:18" x14ac:dyDescent="0.25">
      <c r="A14" s="20"/>
      <c r="B14" s="12" t="s">
        <v>23</v>
      </c>
      <c r="C14" s="12" t="s">
        <v>36</v>
      </c>
      <c r="D14" s="12">
        <v>3320</v>
      </c>
      <c r="E14" s="12">
        <v>538</v>
      </c>
      <c r="F14" s="12">
        <v>6</v>
      </c>
      <c r="G14" s="12">
        <v>18.28</v>
      </c>
      <c r="H14" s="12">
        <v>2.88</v>
      </c>
      <c r="I14" s="12">
        <v>60</v>
      </c>
      <c r="J14" s="12">
        <v>5.99</v>
      </c>
      <c r="K14" s="12">
        <v>20</v>
      </c>
      <c r="L14" s="12">
        <v>128</v>
      </c>
      <c r="M14" s="22">
        <v>1349</v>
      </c>
    </row>
    <row r="15" spans="1:18" x14ac:dyDescent="0.25">
      <c r="A15" s="20"/>
      <c r="B15" s="12" t="s">
        <v>23</v>
      </c>
      <c r="C15" s="12" t="s">
        <v>37</v>
      </c>
      <c r="D15" s="12">
        <v>3260</v>
      </c>
      <c r="E15" s="12">
        <v>534</v>
      </c>
      <c r="F15" s="12">
        <v>6</v>
      </c>
      <c r="G15" s="12">
        <v>17.399999999999999</v>
      </c>
      <c r="H15" s="12">
        <v>2.56</v>
      </c>
      <c r="I15" s="12">
        <v>25</v>
      </c>
      <c r="J15" s="12">
        <v>5.5</v>
      </c>
      <c r="K15" s="12">
        <v>5</v>
      </c>
      <c r="L15" s="12">
        <v>128</v>
      </c>
      <c r="M15" s="22">
        <v>4354</v>
      </c>
    </row>
    <row r="16" spans="1:18" x14ac:dyDescent="0.25">
      <c r="A16" s="20"/>
      <c r="B16" s="12" t="s">
        <v>23</v>
      </c>
      <c r="C16" s="13">
        <v>8</v>
      </c>
      <c r="D16" s="12">
        <v>3090</v>
      </c>
      <c r="E16" s="12">
        <v>554</v>
      </c>
      <c r="F16" s="12">
        <v>6</v>
      </c>
      <c r="G16" s="12">
        <v>17.399999999999999</v>
      </c>
      <c r="H16" s="12">
        <v>2.56</v>
      </c>
      <c r="I16" s="12">
        <v>26</v>
      </c>
      <c r="J16" s="12">
        <v>5.3</v>
      </c>
      <c r="K16" s="12">
        <v>12</v>
      </c>
      <c r="L16" s="12">
        <v>128</v>
      </c>
      <c r="M16" s="22">
        <v>1199</v>
      </c>
    </row>
    <row r="17" spans="1:13" x14ac:dyDescent="0.25">
      <c r="A17" s="20"/>
      <c r="B17" s="12" t="s">
        <v>23</v>
      </c>
      <c r="C17" s="12" t="s">
        <v>38</v>
      </c>
      <c r="D17" s="12">
        <v>3500</v>
      </c>
      <c r="E17" s="12">
        <v>400</v>
      </c>
      <c r="F17" s="12">
        <v>6</v>
      </c>
      <c r="G17" s="12">
        <v>16.16</v>
      </c>
      <c r="H17" s="12">
        <v>2.2799999999999998</v>
      </c>
      <c r="I17" s="12">
        <v>61</v>
      </c>
      <c r="J17" s="12">
        <v>6.3</v>
      </c>
      <c r="K17" s="12">
        <v>20</v>
      </c>
      <c r="L17" s="12">
        <v>128</v>
      </c>
      <c r="M17" s="22">
        <v>1199</v>
      </c>
    </row>
    <row r="18" spans="1:13" x14ac:dyDescent="0.25">
      <c r="A18" s="20"/>
      <c r="B18" s="12" t="s">
        <v>23</v>
      </c>
      <c r="C18" s="12" t="s">
        <v>39</v>
      </c>
      <c r="D18" s="12">
        <v>3060</v>
      </c>
      <c r="E18" s="12">
        <v>432</v>
      </c>
      <c r="F18" s="12">
        <v>4</v>
      </c>
      <c r="G18" s="12">
        <v>13.6</v>
      </c>
      <c r="H18" s="12">
        <v>2.2799999999999998</v>
      </c>
      <c r="I18" s="12">
        <v>17</v>
      </c>
      <c r="J18" s="12">
        <v>5.84</v>
      </c>
      <c r="K18" s="12">
        <v>8</v>
      </c>
      <c r="L18" s="12">
        <v>64</v>
      </c>
      <c r="M18" s="22">
        <v>1349</v>
      </c>
    </row>
    <row r="19" spans="1:13" x14ac:dyDescent="0.25">
      <c r="A19" s="20"/>
      <c r="B19" s="12" t="s">
        <v>24</v>
      </c>
      <c r="C19" s="12" t="s">
        <v>40</v>
      </c>
      <c r="D19" s="12">
        <v>5000</v>
      </c>
      <c r="E19" s="12">
        <v>515</v>
      </c>
      <c r="F19" s="12">
        <v>16</v>
      </c>
      <c r="G19" s="12">
        <v>20.100000000000001</v>
      </c>
      <c r="H19" s="12">
        <v>3.2</v>
      </c>
      <c r="I19" s="12">
        <v>140</v>
      </c>
      <c r="J19" s="12">
        <v>6.8</v>
      </c>
      <c r="K19" s="12">
        <v>40</v>
      </c>
      <c r="L19" s="12">
        <v>512</v>
      </c>
      <c r="M19" s="22">
        <v>6883</v>
      </c>
    </row>
    <row r="20" spans="1:13" x14ac:dyDescent="0.25">
      <c r="A20" s="20"/>
      <c r="B20" s="12" t="s">
        <v>24</v>
      </c>
      <c r="C20" s="12" t="s">
        <v>41</v>
      </c>
      <c r="D20" s="12">
        <v>4000</v>
      </c>
      <c r="E20" s="12">
        <v>421</v>
      </c>
      <c r="F20" s="12">
        <v>8</v>
      </c>
      <c r="G20" s="12">
        <v>20.100000000000001</v>
      </c>
      <c r="H20" s="12">
        <v>2.4</v>
      </c>
      <c r="I20" s="12">
        <v>88</v>
      </c>
      <c r="J20" s="12">
        <v>6.2</v>
      </c>
      <c r="K20" s="12">
        <v>10</v>
      </c>
      <c r="L20" s="12">
        <v>256</v>
      </c>
      <c r="M20" s="22">
        <v>5999</v>
      </c>
    </row>
    <row r="21" spans="1:13" x14ac:dyDescent="0.25">
      <c r="A21" s="20"/>
      <c r="B21" s="12" t="s">
        <v>24</v>
      </c>
      <c r="C21" s="12" t="s">
        <v>42</v>
      </c>
      <c r="D21" s="12">
        <v>5000</v>
      </c>
      <c r="E21" s="12">
        <v>511</v>
      </c>
      <c r="F21" s="12">
        <v>16</v>
      </c>
      <c r="G21" s="12">
        <v>18.899999999999999</v>
      </c>
      <c r="H21" s="12">
        <v>3.2</v>
      </c>
      <c r="I21" s="12">
        <v>168.3</v>
      </c>
      <c r="J21" s="12">
        <v>6.9</v>
      </c>
      <c r="K21" s="12">
        <v>40</v>
      </c>
      <c r="L21" s="12">
        <v>512</v>
      </c>
      <c r="M21" s="22">
        <v>7399</v>
      </c>
    </row>
    <row r="22" spans="1:13" x14ac:dyDescent="0.25">
      <c r="A22" s="20"/>
      <c r="B22" s="12" t="s">
        <v>24</v>
      </c>
      <c r="C22" s="12" t="s">
        <v>43</v>
      </c>
      <c r="D22" s="12">
        <v>4000</v>
      </c>
      <c r="E22" s="12">
        <v>566</v>
      </c>
      <c r="F22" s="12">
        <v>8</v>
      </c>
      <c r="G22" s="12">
        <v>18.899999999999999</v>
      </c>
      <c r="H22" s="12">
        <v>3.2</v>
      </c>
      <c r="I22" s="12">
        <v>88</v>
      </c>
      <c r="J22" s="12">
        <v>6.2</v>
      </c>
      <c r="K22" s="12">
        <v>10</v>
      </c>
      <c r="L22" s="12">
        <v>128</v>
      </c>
      <c r="M22" s="22">
        <v>6988</v>
      </c>
    </row>
    <row r="23" spans="1:13" x14ac:dyDescent="0.25">
      <c r="A23" s="20"/>
      <c r="B23" s="12" t="s">
        <v>24</v>
      </c>
      <c r="C23" s="12" t="s">
        <v>44</v>
      </c>
      <c r="D23" s="12">
        <v>3400</v>
      </c>
      <c r="E23" s="12">
        <v>550</v>
      </c>
      <c r="F23" s="12">
        <v>8</v>
      </c>
      <c r="G23" s="12">
        <v>17.22</v>
      </c>
      <c r="H23" s="12">
        <v>3.04</v>
      </c>
      <c r="I23" s="12">
        <v>40</v>
      </c>
      <c r="J23" s="12">
        <v>6.1</v>
      </c>
      <c r="K23" s="12">
        <v>10</v>
      </c>
      <c r="L23" s="12">
        <v>512</v>
      </c>
      <c r="M23" s="22">
        <v>7586.16</v>
      </c>
    </row>
    <row r="24" spans="1:13" x14ac:dyDescent="0.25">
      <c r="A24" s="20"/>
      <c r="B24" s="12" t="s">
        <v>25</v>
      </c>
      <c r="C24" s="12" t="s">
        <v>45</v>
      </c>
      <c r="D24" s="12">
        <v>5000</v>
      </c>
      <c r="E24" s="12">
        <v>515</v>
      </c>
      <c r="F24" s="12">
        <v>12</v>
      </c>
      <c r="G24" s="12">
        <v>17.3</v>
      </c>
      <c r="H24" s="12">
        <v>3.2</v>
      </c>
      <c r="I24" s="12">
        <v>146</v>
      </c>
      <c r="J24" s="12">
        <v>6.81</v>
      </c>
      <c r="K24" s="12">
        <v>20</v>
      </c>
      <c r="L24" s="12">
        <v>512</v>
      </c>
      <c r="M24" s="22">
        <v>4780</v>
      </c>
    </row>
    <row r="25" spans="1:13" x14ac:dyDescent="0.25">
      <c r="A25" s="20"/>
      <c r="B25" s="12" t="s">
        <v>25</v>
      </c>
      <c r="C25" s="12" t="s">
        <v>46</v>
      </c>
      <c r="D25" s="12">
        <v>4600</v>
      </c>
      <c r="E25" s="12">
        <v>515</v>
      </c>
      <c r="F25" s="12">
        <v>12</v>
      </c>
      <c r="G25" s="12">
        <v>17.3</v>
      </c>
      <c r="H25" s="12">
        <v>3.2</v>
      </c>
      <c r="I25" s="12">
        <v>126</v>
      </c>
      <c r="J25" s="12">
        <v>6.81</v>
      </c>
      <c r="K25" s="12">
        <v>20</v>
      </c>
      <c r="L25" s="12">
        <v>256</v>
      </c>
      <c r="M25" s="22">
        <v>6449.01</v>
      </c>
    </row>
    <row r="26" spans="1:13" x14ac:dyDescent="0.25">
      <c r="A26" s="20"/>
      <c r="B26" s="12" t="s">
        <v>25</v>
      </c>
      <c r="C26" s="12" t="s">
        <v>47</v>
      </c>
      <c r="D26" s="12">
        <v>4780</v>
      </c>
      <c r="E26" s="12">
        <v>386</v>
      </c>
      <c r="F26" s="12">
        <v>12</v>
      </c>
      <c r="G26" s="12">
        <v>17.600000000000001</v>
      </c>
      <c r="H26" s="12">
        <v>2.34</v>
      </c>
      <c r="I26" s="12">
        <v>125</v>
      </c>
      <c r="J26" s="12">
        <v>6.67</v>
      </c>
      <c r="K26" s="12">
        <v>20</v>
      </c>
      <c r="L26" s="12">
        <v>256</v>
      </c>
      <c r="M26" s="22">
        <v>3120</v>
      </c>
    </row>
    <row r="27" spans="1:13" x14ac:dyDescent="0.25">
      <c r="A27" s="20"/>
      <c r="B27" s="12" t="s">
        <v>25</v>
      </c>
      <c r="C27" s="12" t="s">
        <v>48</v>
      </c>
      <c r="D27" s="12">
        <v>4000</v>
      </c>
      <c r="E27" s="12">
        <v>403</v>
      </c>
      <c r="F27" s="12">
        <v>12</v>
      </c>
      <c r="G27" s="12">
        <v>17.420000000000002</v>
      </c>
      <c r="H27" s="12">
        <v>2.34</v>
      </c>
      <c r="I27" s="12">
        <v>76</v>
      </c>
      <c r="J27" s="12">
        <v>6.39</v>
      </c>
      <c r="K27" s="12">
        <v>20</v>
      </c>
      <c r="L27" s="12">
        <v>512</v>
      </c>
      <c r="M27" s="22">
        <v>2299</v>
      </c>
    </row>
    <row r="28" spans="1:13" x14ac:dyDescent="0.25">
      <c r="A28" s="20"/>
      <c r="B28" s="12" t="s">
        <v>25</v>
      </c>
      <c r="C28" s="12" t="s">
        <v>49</v>
      </c>
      <c r="D28" s="12">
        <v>3300</v>
      </c>
      <c r="E28" s="12">
        <v>403</v>
      </c>
      <c r="F28" s="12">
        <v>8</v>
      </c>
      <c r="G28" s="12">
        <v>17.3</v>
      </c>
      <c r="H28" s="12">
        <v>2.34</v>
      </c>
      <c r="I28" s="12">
        <v>76</v>
      </c>
      <c r="J28" s="12">
        <v>6.39</v>
      </c>
      <c r="K28" s="12">
        <v>20</v>
      </c>
      <c r="L28" s="12">
        <v>128</v>
      </c>
      <c r="M28" s="22">
        <v>1599</v>
      </c>
    </row>
  </sheetData>
  <autoFilter ref="B3:M28" xr:uid="{5BF38053-263D-40B1-B0B9-E1EC50237EB8}"/>
  <mergeCells count="1">
    <mergeCell ref="B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1638-551B-4F55-89E0-F4DFA1C3397B}">
  <dimension ref="B1:I12"/>
  <sheetViews>
    <sheetView showGridLines="0" workbookViewId="0">
      <selection activeCell="G11" sqref="G11"/>
    </sheetView>
  </sheetViews>
  <sheetFormatPr defaultRowHeight="15" x14ac:dyDescent="0.25"/>
  <cols>
    <col min="1" max="1" width="9.140625" customWidth="1"/>
    <col min="3" max="3" width="20.5703125" customWidth="1"/>
    <col min="5" max="5" width="11" customWidth="1"/>
  </cols>
  <sheetData>
    <row r="1" spans="2:9" x14ac:dyDescent="0.25">
      <c r="B1" s="27" t="s">
        <v>3</v>
      </c>
      <c r="C1" s="27"/>
      <c r="D1" s="27"/>
      <c r="E1" s="27"/>
      <c r="F1" s="27"/>
      <c r="G1" s="7"/>
      <c r="H1" s="7"/>
      <c r="I1" s="7"/>
    </row>
    <row r="2" spans="2:9" ht="15.75" thickBot="1" x14ac:dyDescent="0.3"/>
    <row r="3" spans="2:9" x14ac:dyDescent="0.25">
      <c r="C3" s="8" t="s">
        <v>4</v>
      </c>
      <c r="D3" s="9" t="s">
        <v>5</v>
      </c>
      <c r="E3" s="10" t="s">
        <v>7</v>
      </c>
    </row>
    <row r="4" spans="2:9" x14ac:dyDescent="0.25">
      <c r="C4" s="5" t="s">
        <v>6</v>
      </c>
      <c r="D4" s="1">
        <v>3439.37</v>
      </c>
      <c r="E4" s="2" t="s">
        <v>8</v>
      </c>
    </row>
    <row r="5" spans="2:9" x14ac:dyDescent="0.25">
      <c r="C5" s="5" t="s">
        <v>9</v>
      </c>
      <c r="D5" s="1">
        <v>347.12</v>
      </c>
      <c r="E5" s="2" t="s">
        <v>10</v>
      </c>
    </row>
    <row r="6" spans="2:9" x14ac:dyDescent="0.25">
      <c r="C6" s="5" t="s">
        <v>11</v>
      </c>
      <c r="D6" s="1">
        <v>4.01</v>
      </c>
      <c r="E6" s="2" t="s">
        <v>12</v>
      </c>
    </row>
    <row r="7" spans="2:9" x14ac:dyDescent="0.25">
      <c r="C7" s="5" t="s">
        <v>13</v>
      </c>
      <c r="D7" s="1">
        <v>11.74</v>
      </c>
      <c r="E7" s="2" t="s">
        <v>14</v>
      </c>
    </row>
    <row r="8" spans="2:9" x14ac:dyDescent="0.25">
      <c r="C8" s="5" t="s">
        <v>15</v>
      </c>
      <c r="D8" s="1">
        <v>1.77</v>
      </c>
      <c r="E8" s="2" t="s">
        <v>16</v>
      </c>
    </row>
    <row r="9" spans="2:9" x14ac:dyDescent="0.25">
      <c r="C9" s="5" t="s">
        <v>17</v>
      </c>
      <c r="D9" s="1">
        <v>27.42</v>
      </c>
      <c r="E9" s="2" t="s">
        <v>16</v>
      </c>
    </row>
    <row r="10" spans="2:9" x14ac:dyDescent="0.25">
      <c r="C10" s="5" t="s">
        <v>18</v>
      </c>
      <c r="D10" s="1">
        <v>5.71</v>
      </c>
      <c r="E10" s="2" t="s">
        <v>19</v>
      </c>
    </row>
    <row r="11" spans="2:9" x14ac:dyDescent="0.25">
      <c r="C11" s="5" t="s">
        <v>20</v>
      </c>
      <c r="D11" s="1">
        <v>10.24</v>
      </c>
      <c r="E11" s="2" t="s">
        <v>16</v>
      </c>
    </row>
    <row r="12" spans="2:9" ht="15.75" thickBot="1" x14ac:dyDescent="0.3">
      <c r="C12" s="6" t="s">
        <v>50</v>
      </c>
      <c r="D12" s="3">
        <v>72.14</v>
      </c>
      <c r="E12" s="4" t="s">
        <v>12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A225-7311-4460-A366-06A43AC30413}">
  <dimension ref="A1:X30"/>
  <sheetViews>
    <sheetView topLeftCell="A13" workbookViewId="0">
      <selection activeCell="C23" sqref="C23"/>
    </sheetView>
  </sheetViews>
  <sheetFormatPr defaultRowHeight="15" x14ac:dyDescent="0.25"/>
  <cols>
    <col min="2" max="2" width="8.85546875" bestFit="1" customWidth="1"/>
    <col min="3" max="3" width="22.7109375" customWidth="1"/>
    <col min="4" max="4" width="14.140625" hidden="1" customWidth="1"/>
    <col min="5" max="5" width="11.42578125" hidden="1" customWidth="1"/>
    <col min="6" max="7" width="9.5703125" hidden="1" customWidth="1"/>
    <col min="8" max="8" width="10.140625" hidden="1" customWidth="1"/>
    <col min="9" max="9" width="19.7109375" hidden="1" customWidth="1"/>
    <col min="10" max="10" width="13.28515625" hidden="1" customWidth="1"/>
    <col min="11" max="11" width="18.28515625" hidden="1" customWidth="1"/>
    <col min="12" max="12" width="14.42578125" hidden="1" customWidth="1"/>
    <col min="13" max="13" width="12.7109375" customWidth="1"/>
    <col min="14" max="14" width="8.5703125" customWidth="1"/>
    <col min="15" max="15" width="17.42578125" style="20" bestFit="1" customWidth="1"/>
    <col min="16" max="16" width="8.5703125" style="20" customWidth="1"/>
    <col min="17" max="17" width="3.85546875" customWidth="1"/>
    <col min="19" max="19" width="20.7109375" bestFit="1" customWidth="1"/>
    <col min="20" max="20" width="12.85546875" bestFit="1" customWidth="1"/>
    <col min="21" max="23" width="15.5703125" bestFit="1" customWidth="1"/>
    <col min="24" max="24" width="11.5703125" bestFit="1" customWidth="1"/>
  </cols>
  <sheetData>
    <row r="1" spans="1:24" x14ac:dyDescent="0.25">
      <c r="B1" t="s">
        <v>67</v>
      </c>
      <c r="C1" t="s">
        <v>68</v>
      </c>
      <c r="D1" t="s">
        <v>6</v>
      </c>
      <c r="E1" t="s">
        <v>9</v>
      </c>
      <c r="F1" t="s">
        <v>11</v>
      </c>
      <c r="G1" t="s">
        <v>13</v>
      </c>
      <c r="H1" t="s">
        <v>15</v>
      </c>
      <c r="I1" t="s">
        <v>17</v>
      </c>
      <c r="J1" t="s">
        <v>18</v>
      </c>
      <c r="K1" t="s">
        <v>20</v>
      </c>
      <c r="L1" t="s">
        <v>50</v>
      </c>
    </row>
    <row r="2" spans="1:24" x14ac:dyDescent="0.25">
      <c r="D2" t="s">
        <v>69</v>
      </c>
      <c r="E2" s="20" t="s">
        <v>69</v>
      </c>
      <c r="F2" s="20" t="s">
        <v>69</v>
      </c>
      <c r="G2" s="20" t="s">
        <v>69</v>
      </c>
      <c r="H2" s="20" t="s">
        <v>69</v>
      </c>
      <c r="I2" s="20" t="s">
        <v>69</v>
      </c>
      <c r="J2" s="20" t="s">
        <v>69</v>
      </c>
      <c r="K2" s="20" t="s">
        <v>69</v>
      </c>
      <c r="L2" s="20" t="s">
        <v>69</v>
      </c>
      <c r="M2" s="20" t="s">
        <v>69</v>
      </c>
    </row>
    <row r="3" spans="1:24" s="20" customFormat="1" x14ac:dyDescent="0.25">
      <c r="D3" s="20" t="str">
        <f>_xlfn.CONCAT($C$7," - ",D5)</f>
        <v>iPhone 12 Pro Max - Cap Bateria</v>
      </c>
      <c r="E3" s="20" t="str">
        <f t="shared" ref="E3:M3" si="0">_xlfn.CONCAT($C$7," - ",E5)</f>
        <v>iPhone 12 Pro Max - Densidade Píxeis</v>
      </c>
      <c r="F3" s="20" t="str">
        <f t="shared" si="0"/>
        <v>iPhone 12 Pro Max - RAM</v>
      </c>
      <c r="G3" s="20" t="str">
        <f t="shared" si="0"/>
        <v>iPhone 12 Pro Max - CPU</v>
      </c>
      <c r="H3" s="20" t="str">
        <f t="shared" si="0"/>
        <v>iPhone 12 Pro Max - Resolução</v>
      </c>
      <c r="I3" s="20" t="str">
        <f t="shared" si="0"/>
        <v>iPhone 12 Pro Max - Píxels Cam. Principal</v>
      </c>
      <c r="J3" s="20" t="str">
        <f t="shared" si="0"/>
        <v>iPhone 12 Pro Max - Tamanho tela</v>
      </c>
      <c r="K3" s="20" t="str">
        <f t="shared" si="0"/>
        <v>iPhone 12 Pro Max - Píxels Cam. Frontal</v>
      </c>
      <c r="L3" s="20" t="str">
        <f t="shared" si="0"/>
        <v>iPhone 12 Pro Max - Armaz. Interno</v>
      </c>
      <c r="M3" s="20" t="str">
        <f t="shared" si="0"/>
        <v>iPhone 12 Pro Max - PONTUAÇÃO</v>
      </c>
    </row>
    <row r="4" spans="1:24" s="20" customFormat="1" x14ac:dyDescent="0.25">
      <c r="D4" s="20" t="s">
        <v>70</v>
      </c>
      <c r="E4" s="20" t="s">
        <v>70</v>
      </c>
      <c r="F4" s="20" t="s">
        <v>70</v>
      </c>
      <c r="G4" s="20" t="s">
        <v>70</v>
      </c>
      <c r="H4" s="20" t="s">
        <v>70</v>
      </c>
      <c r="I4" s="20" t="s">
        <v>70</v>
      </c>
      <c r="J4" s="20" t="s">
        <v>70</v>
      </c>
      <c r="K4" s="20" t="s">
        <v>70</v>
      </c>
      <c r="L4" s="20" t="s">
        <v>70</v>
      </c>
      <c r="M4" s="20" t="s">
        <v>70</v>
      </c>
    </row>
    <row r="5" spans="1:24" x14ac:dyDescent="0.25">
      <c r="B5" s="11" t="s">
        <v>1</v>
      </c>
      <c r="C5" s="11" t="s">
        <v>2</v>
      </c>
      <c r="D5" s="17" t="s">
        <v>6</v>
      </c>
      <c r="E5" s="17" t="s">
        <v>9</v>
      </c>
      <c r="F5" s="17" t="s">
        <v>11</v>
      </c>
      <c r="G5" s="17" t="s">
        <v>13</v>
      </c>
      <c r="H5" s="17" t="s">
        <v>15</v>
      </c>
      <c r="I5" s="17" t="s">
        <v>17</v>
      </c>
      <c r="J5" s="17" t="s">
        <v>18</v>
      </c>
      <c r="K5" s="17" t="s">
        <v>20</v>
      </c>
      <c r="L5" s="17" t="s">
        <v>50</v>
      </c>
      <c r="M5" s="14" t="s">
        <v>51</v>
      </c>
      <c r="N5" s="14" t="s">
        <v>52</v>
      </c>
      <c r="O5" s="23" t="s">
        <v>71</v>
      </c>
      <c r="P5" s="23" t="s">
        <v>52</v>
      </c>
      <c r="R5" s="23" t="s">
        <v>55</v>
      </c>
      <c r="S5" s="23" t="s">
        <v>53</v>
      </c>
    </row>
    <row r="6" spans="1:24" x14ac:dyDescent="0.25">
      <c r="B6" s="12" t="s">
        <v>21</v>
      </c>
      <c r="C6" s="15" t="s">
        <v>26</v>
      </c>
      <c r="D6" s="18">
        <f>IF(((VLOOKUP($C6,'Base de estudo'!$C$3:$L$28,2,0))/(VLOOKUP(D$5,'Base comparativa'!$C$3:$D$12,2,0))*5)&gt;=10,10,((VLOOKUP($C6,'Base de estudo'!$C$3:$L$28,2,0))/(VLOOKUP(D$5,'Base comparativa'!$C$3:$D$12,2,0))*5))</f>
        <v>6.3572689184356435</v>
      </c>
      <c r="E6" s="18">
        <f>IF(((VLOOKUP($C6,'Base de estudo'!$C$3:$L$28,3,0))/(VLOOKUP(E$5,'Base comparativa'!$C$3:$D$12,2,0))*5)&gt;=10,10,((VLOOKUP($C6,'Base de estudo'!$C$3:$L$28,3,0))/(VLOOKUP(E$5,'Base comparativa'!$C$3:$D$12,2,0))*5))</f>
        <v>6.5971421986632865</v>
      </c>
      <c r="F6" s="18">
        <f>IF(((VLOOKUP($C6,'Base de estudo'!$C$3:$L$28,4,0))/(VLOOKUP(F$5,'Base comparativa'!$C$3:$D$12,2,0))*5)&gt;=10,10,((VLOOKUP($C6,'Base de estudo'!$C$3:$L$28,4,0))/(VLOOKUP(F$5,'Base comparativa'!$C$3:$D$12,2,0))*5))</f>
        <v>7.4812967581047385</v>
      </c>
      <c r="G6" s="18">
        <f>IF(((VLOOKUP($C6,'Base de estudo'!$C$3:$L$28,5,0))/(VLOOKUP(G$5,'Base comparativa'!$C$3:$D$12,2,0))*5)&gt;=10,10,((VLOOKUP($C6,'Base de estudo'!$C$3:$L$28,5,0))/(VLOOKUP(G$5,'Base comparativa'!$C$3:$D$12,2,0))*5))</f>
        <v>6.1328790459965932</v>
      </c>
      <c r="H6" s="18">
        <f>IF(((VLOOKUP($C6,'Base de estudo'!$C$3:$L$28,6,0))/(VLOOKUP(H$5,'Base comparativa'!$C$3:$D$12,2,0))*5)&gt;=10,10,((VLOOKUP($C6,'Base de estudo'!$C$3:$L$28,6,0))/(VLOOKUP(H$5,'Base comparativa'!$C$3:$D$12,2,0))*5))</f>
        <v>7.8248587570621462</v>
      </c>
      <c r="I6" s="18">
        <f>IF(((VLOOKUP($C6,'Base de estudo'!$C$3:$L$28,7,0))/(VLOOKUP(I$5,'Base comparativa'!$C$3:$D$12,2,0))*5)&gt;=10,10,((VLOOKUP($C6,'Base de estudo'!$C$3:$L$28,7,0))/(VLOOKUP(I$5,'Base comparativa'!$C$3:$D$12,2,0))*5))</f>
        <v>6.5645514223194743</v>
      </c>
      <c r="J6" s="18">
        <f>IF(((VLOOKUP($C6,'Base de estudo'!$C$3:$L$28,8,0))/(VLOOKUP(J$5,'Base comparativa'!$C$3:$D$12,2,0))*5)&gt;=10,10,((VLOOKUP($C6,'Base de estudo'!$C$3:$L$28,8,0))/(VLOOKUP(J$5,'Base comparativa'!$C$3:$D$12,2,0))*5))</f>
        <v>5.8669001751313488</v>
      </c>
      <c r="K6" s="18">
        <f>IF(((VLOOKUP($C6,'Base de estudo'!$C$3:$L$28,9,0))/(VLOOKUP(K$5,'Base comparativa'!$C$3:$D$12,2,0))*5)&gt;=10,10,((VLOOKUP($C6,'Base de estudo'!$C$3:$L$28,9,0))/(VLOOKUP(K$5,'Base comparativa'!$C$3:$D$12,2,0))*5))</f>
        <v>5.859375</v>
      </c>
      <c r="L6" s="18">
        <f>IF(((VLOOKUP($C6,'Base de estudo'!$C$3:$L$28,10,0))/(VLOOKUP(L$5,'Base comparativa'!$C$3:$D$12,2,0))*5)&gt;=10,10,((VLOOKUP($C6,'Base de estudo'!$C$3:$L$28,10,0))/(VLOOKUP(L$5,'Base comparativa'!$C$3:$D$12,2,0))*5))</f>
        <v>10</v>
      </c>
      <c r="M6" s="19">
        <f t="shared" ref="M6:M30" si="1">ROUND((SUM(D6:L6)/9),2)</f>
        <v>6.96</v>
      </c>
      <c r="N6">
        <f>VLOOKUP(C6,'Base de estudo'!C3:M28,11,0)</f>
        <v>14999</v>
      </c>
      <c r="O6" s="20" t="s">
        <v>72</v>
      </c>
      <c r="P6" s="20">
        <v>4463</v>
      </c>
      <c r="R6">
        <v>1</v>
      </c>
      <c r="S6" s="20" t="s">
        <v>54</v>
      </c>
    </row>
    <row r="7" spans="1:24" x14ac:dyDescent="0.25">
      <c r="A7" s="20"/>
      <c r="B7" s="12" t="s">
        <v>21</v>
      </c>
      <c r="C7" s="15" t="s">
        <v>28</v>
      </c>
      <c r="D7" s="18">
        <f>IF(((VLOOKUP($C7,'Base de estudo'!$C$3:$L$28,2,0))/(VLOOKUP(D$5,'Base comparativa'!$C$3:$D$12,2,0))*5)&gt;=10,10,((VLOOKUP($C7,'Base de estudo'!$C$3:$L$28,2,0))/(VLOOKUP(D$5,'Base comparativa'!$C$3:$D$12,2,0))*5))</f>
        <v>5.3599932545786002</v>
      </c>
      <c r="E7" s="18">
        <f>IF(((VLOOKUP($C7,'Base de estudo'!$C$3:$L$28,3,0))/(VLOOKUP(E$5,'Base comparativa'!$C$3:$D$12,2,0))*5)&gt;=10,10,((VLOOKUP($C7,'Base de estudo'!$C$3:$L$28,3,0))/(VLOOKUP(E$5,'Base comparativa'!$C$3:$D$12,2,0))*5))</f>
        <v>6.5971421986632865</v>
      </c>
      <c r="F7" s="18">
        <f>IF(((VLOOKUP($C7,'Base de estudo'!$C$3:$L$28,4,0))/(VLOOKUP(F$5,'Base comparativa'!$C$3:$D$12,2,0))*5)&gt;=10,10,((VLOOKUP($C7,'Base de estudo'!$C$3:$L$28,4,0))/(VLOOKUP(F$5,'Base comparativa'!$C$3:$D$12,2,0))*5))</f>
        <v>7.4812967581047385</v>
      </c>
      <c r="G7" s="18">
        <f>IF(((VLOOKUP($C7,'Base de estudo'!$C$3:$L$28,5,0))/(VLOOKUP(G$5,'Base comparativa'!$C$3:$D$12,2,0))*5)&gt;=10,10,((VLOOKUP($C7,'Base de estudo'!$C$3:$L$28,5,0))/(VLOOKUP(G$5,'Base comparativa'!$C$3:$D$12,2,0))*5))</f>
        <v>5.7069846678023852</v>
      </c>
      <c r="H7" s="18">
        <f>IF(((VLOOKUP($C7,'Base de estudo'!$C$3:$L$28,6,0))/(VLOOKUP(H$5,'Base comparativa'!$C$3:$D$12,2,0))*5)&gt;=10,10,((VLOOKUP($C7,'Base de estudo'!$C$3:$L$28,6,0))/(VLOOKUP(H$5,'Base comparativa'!$C$3:$D$12,2,0))*5))</f>
        <v>7.8248587570621462</v>
      </c>
      <c r="I7" s="18">
        <f>IF(((VLOOKUP($C7,'Base de estudo'!$C$3:$L$28,7,0))/(VLOOKUP(I$5,'Base comparativa'!$C$3:$D$12,2,0))*5)&gt;=10,10,((VLOOKUP($C7,'Base de estudo'!$C$3:$L$28,7,0))/(VLOOKUP(I$5,'Base comparativa'!$C$3:$D$12,2,0))*5))</f>
        <v>6.5645514223194743</v>
      </c>
      <c r="J7" s="18">
        <f>IF(((VLOOKUP($C7,'Base de estudo'!$C$3:$L$28,8,0))/(VLOOKUP(J$5,'Base comparativa'!$C$3:$D$12,2,0))*5)&gt;=10,10,((VLOOKUP($C7,'Base de estudo'!$C$3:$L$28,8,0))/(VLOOKUP(J$5,'Base comparativa'!$C$3:$D$12,2,0))*5))</f>
        <v>5.8669001751313488</v>
      </c>
      <c r="K7" s="18">
        <f>IF(((VLOOKUP($C7,'Base de estudo'!$C$3:$L$28,9,0))/(VLOOKUP(K$5,'Base comparativa'!$C$3:$D$12,2,0))*5)&gt;=10,10,((VLOOKUP($C7,'Base de estudo'!$C$3:$L$28,9,0))/(VLOOKUP(K$5,'Base comparativa'!$C$3:$D$12,2,0))*5))</f>
        <v>5.859375</v>
      </c>
      <c r="L7" s="18">
        <f>IF(((VLOOKUP($C7,'Base de estudo'!$C$3:$L$28,10,0))/(VLOOKUP(L$5,'Base comparativa'!$C$3:$D$12,2,0))*5)&gt;=10,10,((VLOOKUP($C7,'Base de estudo'!$C$3:$L$28,10,0))/(VLOOKUP(L$5,'Base comparativa'!$C$3:$D$12,2,0))*5))</f>
        <v>10</v>
      </c>
      <c r="M7" s="19">
        <f t="shared" si="1"/>
        <v>6.81</v>
      </c>
      <c r="N7" s="20">
        <f>VLOOKUP(C7,'Base de estudo'!C5:M30,11,0)</f>
        <v>10399</v>
      </c>
      <c r="O7" s="20" t="s">
        <v>72</v>
      </c>
      <c r="P7" s="20">
        <v>4463</v>
      </c>
      <c r="R7">
        <v>2</v>
      </c>
      <c r="S7" t="s">
        <v>56</v>
      </c>
      <c r="T7" t="s">
        <v>57</v>
      </c>
      <c r="U7" t="s">
        <v>58</v>
      </c>
      <c r="V7" t="s">
        <v>59</v>
      </c>
      <c r="W7" t="s">
        <v>60</v>
      </c>
    </row>
    <row r="8" spans="1:24" x14ac:dyDescent="0.25">
      <c r="A8" s="20"/>
      <c r="B8" s="12" t="s">
        <v>21</v>
      </c>
      <c r="C8" s="15" t="s">
        <v>30</v>
      </c>
      <c r="D8" s="18">
        <f>IF(((VLOOKUP($C8,'Base de estudo'!$C$3:$L$28,2,0))/(VLOOKUP(D$5,'Base comparativa'!$C$3:$D$12,2,0))*5)&gt;=10,10,((VLOOKUP($C8,'Base de estudo'!$C$3:$L$28,2,0))/(VLOOKUP(D$5,'Base comparativa'!$C$3:$D$12,2,0))*5))</f>
        <v>5.7699520551728956</v>
      </c>
      <c r="E8" s="18">
        <f>IF(((VLOOKUP($C8,'Base de estudo'!$C$3:$L$28,3,0))/(VLOOKUP(E$5,'Base comparativa'!$C$3:$D$12,2,0))*5)&gt;=10,10,((VLOOKUP($C8,'Base de estudo'!$C$3:$L$28,3,0))/(VLOOKUP(E$5,'Base comparativa'!$C$3:$D$12,2,0))*5))</f>
        <v>6.5971421986632865</v>
      </c>
      <c r="F8" s="18">
        <f>IF(((VLOOKUP($C8,'Base de estudo'!$C$3:$L$28,4,0))/(VLOOKUP(F$5,'Base comparativa'!$C$3:$D$12,2,0))*5)&gt;=10,10,((VLOOKUP($C8,'Base de estudo'!$C$3:$L$28,4,0))/(VLOOKUP(F$5,'Base comparativa'!$C$3:$D$12,2,0))*5))</f>
        <v>4.9875311720698257</v>
      </c>
      <c r="G8" s="18">
        <f>IF(((VLOOKUP($C8,'Base de estudo'!$C$3:$L$28,5,0))/(VLOOKUP(G$5,'Base comparativa'!$C$3:$D$12,2,0))*5)&gt;=10,10,((VLOOKUP($C8,'Base de estudo'!$C$3:$L$28,5,0))/(VLOOKUP(G$5,'Base comparativa'!$C$3:$D$12,2,0))*5))</f>
        <v>5.3236797274275984</v>
      </c>
      <c r="H8" s="18">
        <f>IF(((VLOOKUP($C8,'Base de estudo'!$C$3:$L$28,6,0))/(VLOOKUP(H$5,'Base comparativa'!$C$3:$D$12,2,0))*5)&gt;=10,10,((VLOOKUP($C8,'Base de estudo'!$C$3:$L$28,6,0))/(VLOOKUP(H$5,'Base comparativa'!$C$3:$D$12,2,0))*5))</f>
        <v>7.5706214689265536</v>
      </c>
      <c r="I8" s="18">
        <f>IF(((VLOOKUP($C8,'Base de estudo'!$C$3:$L$28,7,0))/(VLOOKUP(I$5,'Base comparativa'!$C$3:$D$12,2,0))*5)&gt;=10,10,((VLOOKUP($C8,'Base de estudo'!$C$3:$L$28,7,0))/(VLOOKUP(I$5,'Base comparativa'!$C$3:$D$12,2,0))*5))</f>
        <v>6.5645514223194743</v>
      </c>
      <c r="J8" s="18">
        <f>IF(((VLOOKUP($C8,'Base de estudo'!$C$3:$L$28,8,0))/(VLOOKUP(J$5,'Base comparativa'!$C$3:$D$12,2,0))*5)&gt;=10,10,((VLOOKUP($C8,'Base de estudo'!$C$3:$L$28,8,0))/(VLOOKUP(J$5,'Base comparativa'!$C$3:$D$12,2,0))*5))</f>
        <v>5.6917688266199651</v>
      </c>
      <c r="K8" s="18">
        <f>IF(((VLOOKUP($C8,'Base de estudo'!$C$3:$L$28,9,0))/(VLOOKUP(K$5,'Base comparativa'!$C$3:$D$12,2,0))*5)&gt;=10,10,((VLOOKUP($C8,'Base de estudo'!$C$3:$L$28,9,0))/(VLOOKUP(K$5,'Base comparativa'!$C$3:$D$12,2,0))*5))</f>
        <v>5.859375</v>
      </c>
      <c r="L8" s="18">
        <f>IF(((VLOOKUP($C8,'Base de estudo'!$C$3:$L$28,10,0))/(VLOOKUP(L$5,'Base comparativa'!$C$3:$D$12,2,0))*5)&gt;=10,10,((VLOOKUP($C8,'Base de estudo'!$C$3:$L$28,10,0))/(VLOOKUP(L$5,'Base comparativa'!$C$3:$D$12,2,0))*5))</f>
        <v>10</v>
      </c>
      <c r="M8" s="19">
        <f t="shared" si="1"/>
        <v>6.48</v>
      </c>
      <c r="N8" s="20">
        <f>VLOOKUP(C8,'Base de estudo'!C7:M32,11,0)</f>
        <v>6399</v>
      </c>
      <c r="O8" s="24" t="s">
        <v>73</v>
      </c>
      <c r="P8" s="20">
        <v>2152</v>
      </c>
      <c r="R8">
        <v>3</v>
      </c>
      <c r="S8" t="s">
        <v>65</v>
      </c>
      <c r="T8" t="s">
        <v>66</v>
      </c>
    </row>
    <row r="9" spans="1:24" x14ac:dyDescent="0.25">
      <c r="A9" s="20"/>
      <c r="B9" s="12" t="s">
        <v>21</v>
      </c>
      <c r="C9" s="15" t="s">
        <v>27</v>
      </c>
      <c r="D9" s="18">
        <f>IF(((VLOOKUP($C9,'Base de estudo'!$C$3:$L$28,2,0))/(VLOOKUP(D$5,'Base comparativa'!$C$3:$D$12,2,0))*5)&gt;=10,10,((VLOOKUP($C9,'Base de estudo'!$C$3:$L$28,2,0))/(VLOOKUP(D$5,'Base comparativa'!$C$3:$D$12,2,0))*5))</f>
        <v>4.7101649429982819</v>
      </c>
      <c r="E9" s="18">
        <f>IF(((VLOOKUP($C9,'Base de estudo'!$C$3:$L$28,3,0))/(VLOOKUP(E$5,'Base comparativa'!$C$3:$D$12,2,0))*5)&gt;=10,10,((VLOOKUP($C9,'Base de estudo'!$C$3:$L$28,3,0))/(VLOOKUP(E$5,'Base comparativa'!$C$3:$D$12,2,0))*5))</f>
        <v>6.6259506798801571</v>
      </c>
      <c r="F9" s="18">
        <f>IF(((VLOOKUP($C9,'Base de estudo'!$C$3:$L$28,4,0))/(VLOOKUP(F$5,'Base comparativa'!$C$3:$D$12,2,0))*5)&gt;=10,10,((VLOOKUP($C9,'Base de estudo'!$C$3:$L$28,4,0))/(VLOOKUP(F$5,'Base comparativa'!$C$3:$D$12,2,0))*5))</f>
        <v>4.9875311720698257</v>
      </c>
      <c r="G9" s="18">
        <f>IF(((VLOOKUP($C9,'Base de estudo'!$C$3:$L$28,5,0))/(VLOOKUP(G$5,'Base comparativa'!$C$3:$D$12,2,0))*5)&gt;=10,10,((VLOOKUP($C9,'Base de estudo'!$C$3:$L$28,5,0))/(VLOOKUP(G$5,'Base comparativa'!$C$3:$D$12,2,0))*5))</f>
        <v>6.1328790459965932</v>
      </c>
      <c r="H9" s="18">
        <f>IF(((VLOOKUP($C9,'Base de estudo'!$C$3:$L$28,6,0))/(VLOOKUP(H$5,'Base comparativa'!$C$3:$D$12,2,0))*5)&gt;=10,10,((VLOOKUP($C9,'Base de estudo'!$C$3:$L$28,6,0))/(VLOOKUP(H$5,'Base comparativa'!$C$3:$D$12,2,0))*5))</f>
        <v>7.146892655367231</v>
      </c>
      <c r="I9" s="18">
        <f>IF(((VLOOKUP($C9,'Base de estudo'!$C$3:$L$28,7,0))/(VLOOKUP(I$5,'Base comparativa'!$C$3:$D$12,2,0))*5)&gt;=10,10,((VLOOKUP($C9,'Base de estudo'!$C$3:$L$28,7,0))/(VLOOKUP(I$5,'Base comparativa'!$C$3:$D$12,2,0))*5))</f>
        <v>4.3763676148796495</v>
      </c>
      <c r="J9" s="18">
        <f>IF(((VLOOKUP($C9,'Base de estudo'!$C$3:$L$28,8,0))/(VLOOKUP(J$5,'Base comparativa'!$C$3:$D$12,2,0))*5)&gt;=10,10,((VLOOKUP($C9,'Base de estudo'!$C$3:$L$28,8,0))/(VLOOKUP(J$5,'Base comparativa'!$C$3:$D$12,2,0))*5))</f>
        <v>5.3415061295971977</v>
      </c>
      <c r="K9" s="18">
        <f>IF(((VLOOKUP($C9,'Base de estudo'!$C$3:$L$28,9,0))/(VLOOKUP(K$5,'Base comparativa'!$C$3:$D$12,2,0))*5)&gt;=10,10,((VLOOKUP($C9,'Base de estudo'!$C$3:$L$28,9,0))/(VLOOKUP(K$5,'Base comparativa'!$C$3:$D$12,2,0))*5))</f>
        <v>5.859375</v>
      </c>
      <c r="L9" s="18">
        <f>IF(((VLOOKUP($C9,'Base de estudo'!$C$3:$L$28,10,0))/(VLOOKUP(L$5,'Base comparativa'!$C$3:$D$12,2,0))*5)&gt;=10,10,((VLOOKUP($C9,'Base de estudo'!$C$3:$L$28,10,0))/(VLOOKUP(L$5,'Base comparativa'!$C$3:$D$12,2,0))*5))</f>
        <v>10</v>
      </c>
      <c r="M9" s="19">
        <f t="shared" si="1"/>
        <v>6.13</v>
      </c>
      <c r="N9" s="20">
        <f>VLOOKUP(C9,'Base de estudo'!C4:M29,11,0)</f>
        <v>14817</v>
      </c>
      <c r="O9" s="20" t="s">
        <v>72</v>
      </c>
      <c r="P9" s="20">
        <v>4463</v>
      </c>
      <c r="R9">
        <v>4</v>
      </c>
    </row>
    <row r="10" spans="1:24" x14ac:dyDescent="0.25">
      <c r="A10" s="20"/>
      <c r="B10" s="12" t="s">
        <v>21</v>
      </c>
      <c r="C10" s="15" t="s">
        <v>29</v>
      </c>
      <c r="D10" s="18">
        <f>IF(((VLOOKUP($C10,'Base de estudo'!$C$3:$L$28,2,0))/(VLOOKUP(D$5,'Base comparativa'!$C$3:$D$12,2,0))*5)&gt;=10,10,((VLOOKUP($C10,'Base de estudo'!$C$3:$L$28,2,0))/(VLOOKUP(D$5,'Base comparativa'!$C$3:$D$12,2,0))*5))</f>
        <v>4.0923192328827662</v>
      </c>
      <c r="E10" s="18">
        <f>IF(((VLOOKUP($C10,'Base de estudo'!$C$3:$L$28,3,0))/(VLOOKUP(E$5,'Base comparativa'!$C$3:$D$12,2,0))*5)&gt;=10,10,((VLOOKUP($C10,'Base de estudo'!$C$3:$L$28,3,0))/(VLOOKUP(E$5,'Base comparativa'!$C$3:$D$12,2,0))*5))</f>
        <v>6.6259506798801571</v>
      </c>
      <c r="F10" s="18">
        <f>IF(((VLOOKUP($C10,'Base de estudo'!$C$3:$L$28,4,0))/(VLOOKUP(F$5,'Base comparativa'!$C$3:$D$12,2,0))*5)&gt;=10,10,((VLOOKUP($C10,'Base de estudo'!$C$3:$L$28,4,0))/(VLOOKUP(F$5,'Base comparativa'!$C$3:$D$12,2,0))*5))</f>
        <v>4.9875311720698257</v>
      </c>
      <c r="G10" s="18">
        <f>IF(((VLOOKUP($C10,'Base de estudo'!$C$3:$L$28,5,0))/(VLOOKUP(G$5,'Base comparativa'!$C$3:$D$12,2,0))*5)&gt;=10,10,((VLOOKUP($C10,'Base de estudo'!$C$3:$L$28,5,0))/(VLOOKUP(G$5,'Base comparativa'!$C$3:$D$12,2,0))*5))</f>
        <v>5.7069846678023852</v>
      </c>
      <c r="H10" s="18">
        <f>IF(((VLOOKUP($C10,'Base de estudo'!$C$3:$L$28,6,0))/(VLOOKUP(H$5,'Base comparativa'!$C$3:$D$12,2,0))*5)&gt;=10,10,((VLOOKUP($C10,'Base de estudo'!$C$3:$L$28,6,0))/(VLOOKUP(H$5,'Base comparativa'!$C$3:$D$12,2,0))*5))</f>
        <v>7.146892655367231</v>
      </c>
      <c r="I10" s="18">
        <f>IF(((VLOOKUP($C10,'Base de estudo'!$C$3:$L$28,7,0))/(VLOOKUP(I$5,'Base comparativa'!$C$3:$D$12,2,0))*5)&gt;=10,10,((VLOOKUP($C10,'Base de estudo'!$C$3:$L$28,7,0))/(VLOOKUP(I$5,'Base comparativa'!$C$3:$D$12,2,0))*5))</f>
        <v>4.3763676148796495</v>
      </c>
      <c r="J10" s="18">
        <f>IF(((VLOOKUP($C10,'Base de estudo'!$C$3:$L$28,8,0))/(VLOOKUP(J$5,'Base comparativa'!$C$3:$D$12,2,0))*5)&gt;=10,10,((VLOOKUP($C10,'Base de estudo'!$C$3:$L$28,8,0))/(VLOOKUP(J$5,'Base comparativa'!$C$3:$D$12,2,0))*5))</f>
        <v>5.3415061295971977</v>
      </c>
      <c r="K10" s="18">
        <f>IF(((VLOOKUP($C10,'Base de estudo'!$C$3:$L$28,9,0))/(VLOOKUP(K$5,'Base comparativa'!$C$3:$D$12,2,0))*5)&gt;=10,10,((VLOOKUP($C10,'Base de estudo'!$C$3:$L$28,9,0))/(VLOOKUP(K$5,'Base comparativa'!$C$3:$D$12,2,0))*5))</f>
        <v>5.859375</v>
      </c>
      <c r="L10" s="18">
        <f>IF(((VLOOKUP($C10,'Base de estudo'!$C$3:$L$28,10,0))/(VLOOKUP(L$5,'Base comparativa'!$C$3:$D$12,2,0))*5)&gt;=10,10,((VLOOKUP($C10,'Base de estudo'!$C$3:$L$28,10,0))/(VLOOKUP(L$5,'Base comparativa'!$C$3:$D$12,2,0))*5))</f>
        <v>8.8716384807319102</v>
      </c>
      <c r="M10" s="19">
        <f t="shared" si="1"/>
        <v>5.89</v>
      </c>
      <c r="N10" s="20">
        <f>VLOOKUP(C10,'Base de estudo'!C6:M31,11,0)</f>
        <v>6999</v>
      </c>
      <c r="O10" s="24" t="s">
        <v>73</v>
      </c>
      <c r="P10" s="20">
        <v>2152</v>
      </c>
      <c r="R10">
        <v>5</v>
      </c>
    </row>
    <row r="11" spans="1:24" x14ac:dyDescent="0.25">
      <c r="A11" s="20"/>
      <c r="B11" s="12" t="s">
        <v>22</v>
      </c>
      <c r="C11" s="15" t="s">
        <v>31</v>
      </c>
      <c r="D11" s="18">
        <f>IF(((VLOOKUP($C11,'Base de estudo'!$C$3:$L$28,2,0))/(VLOOKUP(D$5,'Base comparativa'!$C$3:$D$12,2,0))*5)&gt;=10,10,((VLOOKUP($C11,'Base de estudo'!$C$3:$L$28,2,0))/(VLOOKUP(D$5,'Base comparativa'!$C$3:$D$12,2,0))*5))</f>
        <v>5.0881411421277729</v>
      </c>
      <c r="E11" s="18">
        <f>IF(((VLOOKUP($C11,'Base de estudo'!$C$3:$L$28,3,0))/(VLOOKUP(E$5,'Base comparativa'!$C$3:$D$12,2,0))*5)&gt;=10,10,((VLOOKUP($C11,'Base de estudo'!$C$3:$L$28,3,0))/(VLOOKUP(E$5,'Base comparativa'!$C$3:$D$12,2,0))*5))</f>
        <v>8.1239917031574098</v>
      </c>
      <c r="F11" s="18">
        <f>IF(((VLOOKUP($C11,'Base de estudo'!$C$3:$L$28,4,0))/(VLOOKUP(F$5,'Base comparativa'!$C$3:$D$12,2,0))*5)&gt;=10,10,((VLOOKUP($C11,'Base de estudo'!$C$3:$L$28,4,0))/(VLOOKUP(F$5,'Base comparativa'!$C$3:$D$12,2,0))*5))</f>
        <v>7.4812967581047385</v>
      </c>
      <c r="G11" s="18">
        <f>IF(((VLOOKUP($C11,'Base de estudo'!$C$3:$L$28,5,0))/(VLOOKUP(G$5,'Base comparativa'!$C$3:$D$12,2,0))*5)&gt;=10,10,((VLOOKUP($C11,'Base de estudo'!$C$3:$L$28,5,0))/(VLOOKUP(G$5,'Base comparativa'!$C$3:$D$12,2,0))*5))</f>
        <v>7.3339011925042588</v>
      </c>
      <c r="H11" s="18">
        <f>IF(((VLOOKUP($C11,'Base de estudo'!$C$3:$L$28,6,0))/(VLOOKUP(H$5,'Base comparativa'!$C$3:$D$12,2,0))*5)&gt;=10,10,((VLOOKUP($C11,'Base de estudo'!$C$3:$L$28,6,0))/(VLOOKUP(H$5,'Base comparativa'!$C$3:$D$12,2,0))*5))</f>
        <v>6.1299435028248581</v>
      </c>
      <c r="I11" s="18">
        <f>IF(((VLOOKUP($C11,'Base de estudo'!$C$3:$L$28,7,0))/(VLOOKUP(I$5,'Base comparativa'!$C$3:$D$12,2,0))*5)&gt;=10,10,((VLOOKUP($C11,'Base de estudo'!$C$3:$L$28,7,0))/(VLOOKUP(I$5,'Base comparativa'!$C$3:$D$12,2,0))*5))</f>
        <v>5.1057622173595902</v>
      </c>
      <c r="J11" s="18">
        <f>IF(((VLOOKUP($C11,'Base de estudo'!$C$3:$L$28,8,0))/(VLOOKUP(J$5,'Base comparativa'!$C$3:$D$12,2,0))*5)&gt;=10,10,((VLOOKUP($C11,'Base de estudo'!$C$3:$L$28,8,0))/(VLOOKUP(J$5,'Base comparativa'!$C$3:$D$12,2,0))*5))</f>
        <v>5.3415061295971977</v>
      </c>
      <c r="K11" s="18">
        <f>IF(((VLOOKUP($C11,'Base de estudo'!$C$3:$L$28,9,0))/(VLOOKUP(K$5,'Base comparativa'!$C$3:$D$12,2,0))*5)&gt;=10,10,((VLOOKUP($C11,'Base de estudo'!$C$3:$L$28,9,0))/(VLOOKUP(K$5,'Base comparativa'!$C$3:$D$12,2,0))*5))</f>
        <v>3.90625</v>
      </c>
      <c r="L11" s="18">
        <f>IF(((VLOOKUP($C11,'Base de estudo'!$C$3:$L$28,10,0))/(VLOOKUP(L$5,'Base comparativa'!$C$3:$D$12,2,0))*5)&gt;=10,10,((VLOOKUP($C11,'Base de estudo'!$C$3:$L$28,10,0))/(VLOOKUP(L$5,'Base comparativa'!$C$3:$D$12,2,0))*5))</f>
        <v>8.8716384807319102</v>
      </c>
      <c r="M11" s="19">
        <f t="shared" si="1"/>
        <v>6.38</v>
      </c>
      <c r="N11" s="20">
        <f>VLOOKUP(C11,'Base de estudo'!C9:M34,11,0)</f>
        <v>2049.9</v>
      </c>
      <c r="O11" s="24" t="s">
        <v>74</v>
      </c>
      <c r="P11" s="20">
        <v>945</v>
      </c>
      <c r="R11">
        <v>6</v>
      </c>
      <c r="S11" t="s">
        <v>61</v>
      </c>
      <c r="T11">
        <v>1</v>
      </c>
      <c r="U11">
        <v>1</v>
      </c>
      <c r="V11">
        <v>1</v>
      </c>
      <c r="W11">
        <v>1</v>
      </c>
    </row>
    <row r="12" spans="1:24" x14ac:dyDescent="0.25">
      <c r="A12" s="20"/>
      <c r="B12" s="12" t="s">
        <v>22</v>
      </c>
      <c r="C12" s="15" t="s">
        <v>32</v>
      </c>
      <c r="D12" s="18">
        <f>IF(((VLOOKUP($C12,'Base de estudo'!$C$3:$L$28,2,0))/(VLOOKUP(D$5,'Base comparativa'!$C$3:$D$12,2,0))*5)&gt;=10,10,((VLOOKUP($C12,'Base de estudo'!$C$3:$L$28,2,0))/(VLOOKUP(D$5,'Base comparativa'!$C$3:$D$12,2,0))*5))</f>
        <v>5.1608288727295992</v>
      </c>
      <c r="E12" s="18">
        <f>IF(((VLOOKUP($C12,'Base de estudo'!$C$3:$L$28,3,0))/(VLOOKUP(E$5,'Base comparativa'!$C$3:$D$12,2,0))*5)&gt;=10,10,((VLOOKUP($C12,'Base de estudo'!$C$3:$L$28,3,0))/(VLOOKUP(E$5,'Base comparativa'!$C$3:$D$12,2,0))*5))</f>
        <v>5.7905047245909191</v>
      </c>
      <c r="F12" s="18">
        <f>IF(((VLOOKUP($C12,'Base de estudo'!$C$3:$L$28,4,0))/(VLOOKUP(F$5,'Base comparativa'!$C$3:$D$12,2,0))*5)&gt;=10,10,((VLOOKUP($C12,'Base de estudo'!$C$3:$L$28,4,0))/(VLOOKUP(F$5,'Base comparativa'!$C$3:$D$12,2,0))*5))</f>
        <v>7.4812967581047385</v>
      </c>
      <c r="G12" s="18">
        <f>IF(((VLOOKUP($C12,'Base de estudo'!$C$3:$L$28,5,0))/(VLOOKUP(G$5,'Base comparativa'!$C$3:$D$12,2,0))*5)&gt;=10,10,((VLOOKUP($C12,'Base de estudo'!$C$3:$L$28,5,0))/(VLOOKUP(G$5,'Base comparativa'!$C$3:$D$12,2,0))*5))</f>
        <v>7.367972742759795</v>
      </c>
      <c r="H12" s="18">
        <f>IF(((VLOOKUP($C12,'Base de estudo'!$C$3:$L$28,6,0))/(VLOOKUP(H$5,'Base comparativa'!$C$3:$D$12,2,0))*5)&gt;=10,10,((VLOOKUP($C12,'Base de estudo'!$C$3:$L$28,6,0))/(VLOOKUP(H$5,'Base comparativa'!$C$3:$D$12,2,0))*5))</f>
        <v>6.3276836158192094</v>
      </c>
      <c r="I12" s="18">
        <f>IF(((VLOOKUP($C12,'Base de estudo'!$C$3:$L$28,7,0))/(VLOOKUP(I$5,'Base comparativa'!$C$3:$D$12,2,0))*5)&gt;=10,10,((VLOOKUP($C12,'Base de estudo'!$C$3:$L$28,7,0))/(VLOOKUP(I$5,'Base comparativa'!$C$3:$D$12,2,0))*5))</f>
        <v>2.3705324580598104</v>
      </c>
      <c r="J12" s="18">
        <f>IF(((VLOOKUP($C12,'Base de estudo'!$C$3:$L$28,8,0))/(VLOOKUP(J$5,'Base comparativa'!$C$3:$D$12,2,0))*5)&gt;=10,10,((VLOOKUP($C12,'Base de estudo'!$C$3:$L$28,8,0))/(VLOOKUP(J$5,'Base comparativa'!$C$3:$D$12,2,0))*5))</f>
        <v>5.4290718038528896</v>
      </c>
      <c r="K12" s="18">
        <f>IF(((VLOOKUP($C12,'Base de estudo'!$C$3:$L$28,9,0))/(VLOOKUP(K$5,'Base comparativa'!$C$3:$D$12,2,0))*5)&gt;=10,10,((VLOOKUP($C12,'Base de estudo'!$C$3:$L$28,9,0))/(VLOOKUP(K$5,'Base comparativa'!$C$3:$D$12,2,0))*5))</f>
        <v>3.90625</v>
      </c>
      <c r="L12" s="18">
        <f>IF(((VLOOKUP($C12,'Base de estudo'!$C$3:$L$28,10,0))/(VLOOKUP(L$5,'Base comparativa'!$C$3:$D$12,2,0))*5)&gt;=10,10,((VLOOKUP($C12,'Base de estudo'!$C$3:$L$28,10,0))/(VLOOKUP(L$5,'Base comparativa'!$C$3:$D$12,2,0))*5))</f>
        <v>8.8716384807319102</v>
      </c>
      <c r="M12" s="19">
        <f t="shared" si="1"/>
        <v>5.86</v>
      </c>
      <c r="N12" s="20">
        <f>VLOOKUP(C12,'Base de estudo'!C8:M33,11,0)</f>
        <v>1062</v>
      </c>
      <c r="O12" s="24" t="s">
        <v>74</v>
      </c>
      <c r="P12" s="20">
        <v>945</v>
      </c>
      <c r="R12">
        <v>7</v>
      </c>
      <c r="S12" t="s">
        <v>62</v>
      </c>
      <c r="T12">
        <v>1</v>
      </c>
      <c r="U12">
        <v>1</v>
      </c>
      <c r="V12">
        <v>1</v>
      </c>
      <c r="W12">
        <v>1</v>
      </c>
      <c r="X12" t="s">
        <v>63</v>
      </c>
    </row>
    <row r="13" spans="1:24" x14ac:dyDescent="0.25">
      <c r="A13" s="20"/>
      <c r="B13" s="12" t="s">
        <v>22</v>
      </c>
      <c r="C13" s="15" t="s">
        <v>33</v>
      </c>
      <c r="D13" s="18">
        <f>IF(((VLOOKUP($C13,'Base de estudo'!$C$3:$L$28,2,0))/(VLOOKUP(D$5,'Base comparativa'!$C$3:$D$12,2,0))*5)&gt;=10,10,((VLOOKUP($C13,'Base de estudo'!$C$3:$L$28,2,0))/(VLOOKUP(D$5,'Base comparativa'!$C$3:$D$12,2,0))*5))</f>
        <v>4.3612638361095204</v>
      </c>
      <c r="E13" s="18">
        <f>IF(((VLOOKUP($C13,'Base de estudo'!$C$3:$L$28,3,0))/(VLOOKUP(E$5,'Base comparativa'!$C$3:$D$12,2,0))*5)&gt;=10,10,((VLOOKUP($C13,'Base de estudo'!$C$3:$L$28,3,0))/(VLOOKUP(E$5,'Base comparativa'!$C$3:$D$12,2,0))*5))</f>
        <v>8.1239917031574098</v>
      </c>
      <c r="F13" s="18">
        <f>IF(((VLOOKUP($C13,'Base de estudo'!$C$3:$L$28,4,0))/(VLOOKUP(F$5,'Base comparativa'!$C$3:$D$12,2,0))*5)&gt;=10,10,((VLOOKUP($C13,'Base de estudo'!$C$3:$L$28,4,0))/(VLOOKUP(F$5,'Base comparativa'!$C$3:$D$12,2,0))*5))</f>
        <v>7.4812967581047385</v>
      </c>
      <c r="G13" s="18">
        <f>IF(((VLOOKUP($C13,'Base de estudo'!$C$3:$L$28,5,0))/(VLOOKUP(G$5,'Base comparativa'!$C$3:$D$12,2,0))*5)&gt;=10,10,((VLOOKUP($C13,'Base de estudo'!$C$3:$L$28,5,0))/(VLOOKUP(G$5,'Base comparativa'!$C$3:$D$12,2,0))*5))</f>
        <v>7.7853492333901197</v>
      </c>
      <c r="H13" s="18">
        <f>IF(((VLOOKUP($C13,'Base de estudo'!$C$3:$L$28,6,0))/(VLOOKUP(H$5,'Base comparativa'!$C$3:$D$12,2,0))*5)&gt;=10,10,((VLOOKUP($C13,'Base de estudo'!$C$3:$L$28,6,0))/(VLOOKUP(H$5,'Base comparativa'!$C$3:$D$12,2,0))*5))</f>
        <v>6.1299435028248581</v>
      </c>
      <c r="I13" s="18">
        <f>IF(((VLOOKUP($C13,'Base de estudo'!$C$3:$L$28,7,0))/(VLOOKUP(I$5,'Base comparativa'!$C$3:$D$12,2,0))*5)&gt;=10,10,((VLOOKUP($C13,'Base de estudo'!$C$3:$L$28,7,0))/(VLOOKUP(I$5,'Base comparativa'!$C$3:$D$12,2,0))*5))</f>
        <v>5.8351568198395327</v>
      </c>
      <c r="J13" s="18">
        <f>IF(((VLOOKUP($C13,'Base de estudo'!$C$3:$L$28,8,0))/(VLOOKUP(J$5,'Base comparativa'!$C$3:$D$12,2,0))*5)&gt;=10,10,((VLOOKUP($C13,'Base de estudo'!$C$3:$L$28,8,0))/(VLOOKUP(J$5,'Base comparativa'!$C$3:$D$12,2,0))*5))</f>
        <v>5.3415061295971977</v>
      </c>
      <c r="K13" s="18">
        <f>IF(((VLOOKUP($C13,'Base de estudo'!$C$3:$L$28,9,0))/(VLOOKUP(K$5,'Base comparativa'!$C$3:$D$12,2,0))*5)&gt;=10,10,((VLOOKUP($C13,'Base de estudo'!$C$3:$L$28,9,0))/(VLOOKUP(K$5,'Base comparativa'!$C$3:$D$12,2,0))*5))</f>
        <v>3.90625</v>
      </c>
      <c r="L13" s="18">
        <f>IF(((VLOOKUP($C13,'Base de estudo'!$C$3:$L$28,10,0))/(VLOOKUP(L$5,'Base comparativa'!$C$3:$D$12,2,0))*5)&gt;=10,10,((VLOOKUP($C13,'Base de estudo'!$C$3:$L$28,10,0))/(VLOOKUP(L$5,'Base comparativa'!$C$3:$D$12,2,0))*5))</f>
        <v>8.8716384807319102</v>
      </c>
      <c r="M13" s="19">
        <f t="shared" si="1"/>
        <v>6.43</v>
      </c>
      <c r="N13" s="20">
        <f>VLOOKUP(C13,'Base de estudo'!C10:M35,11,0)</f>
        <v>4199</v>
      </c>
      <c r="O13" s="24" t="s">
        <v>74</v>
      </c>
      <c r="P13" s="20">
        <v>945</v>
      </c>
      <c r="R13">
        <v>8</v>
      </c>
      <c r="S13" t="s">
        <v>64</v>
      </c>
    </row>
    <row r="14" spans="1:24" x14ac:dyDescent="0.25">
      <c r="A14" s="20"/>
      <c r="B14" s="12" t="s">
        <v>22</v>
      </c>
      <c r="C14" s="15" t="s">
        <v>34</v>
      </c>
      <c r="D14" s="18">
        <f>IF(((VLOOKUP($C14,'Base de estudo'!$C$3:$L$28,2,0))/(VLOOKUP(D$5,'Base comparativa'!$C$3:$D$12,2,0))*5)&gt;=10,10,((VLOOKUP($C14,'Base de estudo'!$C$3:$L$28,2,0))/(VLOOKUP(D$5,'Base comparativa'!$C$3:$D$12,2,0))*5))</f>
        <v>4.3612638361095204</v>
      </c>
      <c r="E14" s="18">
        <f>IF(((VLOOKUP($C14,'Base de estudo'!$C$3:$L$28,3,0))/(VLOOKUP(E$5,'Base comparativa'!$C$3:$D$12,2,0))*5)&gt;=10,10,((VLOOKUP($C14,'Base de estudo'!$C$3:$L$28,3,0))/(VLOOKUP(E$5,'Base comparativa'!$C$3:$D$12,2,0))*5))</f>
        <v>8.1239917031574098</v>
      </c>
      <c r="F14" s="18">
        <f>IF(((VLOOKUP($C14,'Base de estudo'!$C$3:$L$28,4,0))/(VLOOKUP(F$5,'Base comparativa'!$C$3:$D$12,2,0))*5)&gt;=10,10,((VLOOKUP($C14,'Base de estudo'!$C$3:$L$28,4,0))/(VLOOKUP(F$5,'Base comparativa'!$C$3:$D$12,2,0))*5))</f>
        <v>4.9875311720698257</v>
      </c>
      <c r="G14" s="18">
        <f>IF(((VLOOKUP($C14,'Base de estudo'!$C$3:$L$28,5,0))/(VLOOKUP(G$5,'Base comparativa'!$C$3:$D$12,2,0))*5)&gt;=10,10,((VLOOKUP($C14,'Base de estudo'!$C$3:$L$28,5,0))/(VLOOKUP(G$5,'Base comparativa'!$C$3:$D$12,2,0))*5))</f>
        <v>7.7853492333901197</v>
      </c>
      <c r="H14" s="18">
        <f>IF(((VLOOKUP($C14,'Base de estudo'!$C$3:$L$28,6,0))/(VLOOKUP(H$5,'Base comparativa'!$C$3:$D$12,2,0))*5)&gt;=10,10,((VLOOKUP($C14,'Base de estudo'!$C$3:$L$28,6,0))/(VLOOKUP(H$5,'Base comparativa'!$C$3:$D$12,2,0))*5))</f>
        <v>6.1299435028248581</v>
      </c>
      <c r="I14" s="18">
        <f>IF(((VLOOKUP($C14,'Base de estudo'!$C$3:$L$28,7,0))/(VLOOKUP(I$5,'Base comparativa'!$C$3:$D$12,2,0))*5)&gt;=10,10,((VLOOKUP($C14,'Base de estudo'!$C$3:$L$28,7,0))/(VLOOKUP(I$5,'Base comparativa'!$C$3:$D$12,2,0))*5))</f>
        <v>5.8351568198395327</v>
      </c>
      <c r="J14" s="18">
        <f>IF(((VLOOKUP($C14,'Base de estudo'!$C$3:$L$28,8,0))/(VLOOKUP(J$5,'Base comparativa'!$C$3:$D$12,2,0))*5)&gt;=10,10,((VLOOKUP($C14,'Base de estudo'!$C$3:$L$28,8,0))/(VLOOKUP(J$5,'Base comparativa'!$C$3:$D$12,2,0))*5))</f>
        <v>5.3415061295971977</v>
      </c>
      <c r="K14" s="18">
        <f>IF(((VLOOKUP($C14,'Base de estudo'!$C$3:$L$28,9,0))/(VLOOKUP(K$5,'Base comparativa'!$C$3:$D$12,2,0))*5)&gt;=10,10,((VLOOKUP($C14,'Base de estudo'!$C$3:$L$28,9,0))/(VLOOKUP(K$5,'Base comparativa'!$C$3:$D$12,2,0))*5))</f>
        <v>3.90625</v>
      </c>
      <c r="L14" s="18">
        <f>IF(((VLOOKUP($C14,'Base de estudo'!$C$3:$L$28,10,0))/(VLOOKUP(L$5,'Base comparativa'!$C$3:$D$12,2,0))*5)&gt;=10,10,((VLOOKUP($C14,'Base de estudo'!$C$3:$L$28,10,0))/(VLOOKUP(L$5,'Base comparativa'!$C$3:$D$12,2,0))*5))</f>
        <v>4.4358192403659551</v>
      </c>
      <c r="M14" s="19">
        <f t="shared" si="1"/>
        <v>5.66</v>
      </c>
      <c r="N14" s="20">
        <f>VLOOKUP(C14,'Base de estudo'!C11:M36,11,0)</f>
        <v>4199</v>
      </c>
      <c r="O14" s="24" t="s">
        <v>75</v>
      </c>
      <c r="P14" s="20">
        <v>70</v>
      </c>
      <c r="R14">
        <v>9</v>
      </c>
    </row>
    <row r="15" spans="1:24" x14ac:dyDescent="0.25">
      <c r="A15" s="20"/>
      <c r="B15" s="12" t="s">
        <v>22</v>
      </c>
      <c r="C15" s="15" t="s">
        <v>35</v>
      </c>
      <c r="D15" s="18">
        <f>IF(((VLOOKUP($C15,'Base de estudo'!$C$3:$L$28,2,0))/(VLOOKUP(D$5,'Base comparativa'!$C$3:$D$12,2,0))*5)&gt;=10,10,((VLOOKUP($C15,'Base de estudo'!$C$3:$L$28,2,0))/(VLOOKUP(D$5,'Base comparativa'!$C$3:$D$12,2,0))*5))</f>
        <v>4.7973902197204721</v>
      </c>
      <c r="E15" s="18">
        <f>IF(((VLOOKUP($C15,'Base de estudo'!$C$3:$L$28,3,0))/(VLOOKUP(E$5,'Base comparativa'!$C$3:$D$12,2,0))*5)&gt;=10,10,((VLOOKUP($C15,'Base de estudo'!$C$3:$L$28,3,0))/(VLOOKUP(E$5,'Base comparativa'!$C$3:$D$12,2,0))*5))</f>
        <v>8.1383959437658451</v>
      </c>
      <c r="F15" s="18">
        <f>IF(((VLOOKUP($C15,'Base de estudo'!$C$3:$L$28,4,0))/(VLOOKUP(F$5,'Base comparativa'!$C$3:$D$12,2,0))*5)&gt;=10,10,((VLOOKUP($C15,'Base de estudo'!$C$3:$L$28,4,0))/(VLOOKUP(F$5,'Base comparativa'!$C$3:$D$12,2,0))*5))</f>
        <v>4.9875311720698257</v>
      </c>
      <c r="G15" s="18">
        <f>IF(((VLOOKUP($C15,'Base de estudo'!$C$3:$L$28,5,0))/(VLOOKUP(G$5,'Base comparativa'!$C$3:$D$12,2,0))*5)&gt;=10,10,((VLOOKUP($C15,'Base de estudo'!$C$3:$L$28,5,0))/(VLOOKUP(G$5,'Base comparativa'!$C$3:$D$12,2,0))*5))</f>
        <v>3.3645655877342415</v>
      </c>
      <c r="H15" s="18">
        <f>IF(((VLOOKUP($C15,'Base de estudo'!$C$3:$L$28,6,0))/(VLOOKUP(H$5,'Base comparativa'!$C$3:$D$12,2,0))*5)&gt;=10,10,((VLOOKUP($C15,'Base de estudo'!$C$3:$L$28,6,0))/(VLOOKUP(H$5,'Base comparativa'!$C$3:$D$12,2,0))*5))</f>
        <v>5.6497175141242941</v>
      </c>
      <c r="I15" s="18">
        <f>IF(((VLOOKUP($C15,'Base de estudo'!$C$3:$L$28,7,0))/(VLOOKUP(I$5,'Base comparativa'!$C$3:$D$12,2,0))*5)&gt;=10,10,((VLOOKUP($C15,'Base de estudo'!$C$3:$L$28,7,0))/(VLOOKUP(I$5,'Base comparativa'!$C$3:$D$12,2,0))*5))</f>
        <v>4.7410649161196208</v>
      </c>
      <c r="J15" s="18">
        <f>IF(((VLOOKUP($C15,'Base de estudo'!$C$3:$L$28,8,0))/(VLOOKUP(J$5,'Base comparativa'!$C$3:$D$12,2,0))*5)&gt;=10,10,((VLOOKUP($C15,'Base de estudo'!$C$3:$L$28,8,0))/(VLOOKUP(J$5,'Base comparativa'!$C$3:$D$12,2,0))*5))</f>
        <v>4.9912434325744313</v>
      </c>
      <c r="K15" s="18">
        <f>IF(((VLOOKUP($C15,'Base de estudo'!$C$3:$L$28,9,0))/(VLOOKUP(K$5,'Base comparativa'!$C$3:$D$12,2,0))*5)&gt;=10,10,((VLOOKUP($C15,'Base de estudo'!$C$3:$L$28,9,0))/(VLOOKUP(K$5,'Base comparativa'!$C$3:$D$12,2,0))*5))</f>
        <v>2.44140625</v>
      </c>
      <c r="L15" s="18">
        <f>IF(((VLOOKUP($C15,'Base de estudo'!$C$3:$L$28,10,0))/(VLOOKUP(L$5,'Base comparativa'!$C$3:$D$12,2,0))*5)&gt;=10,10,((VLOOKUP($C15,'Base de estudo'!$C$3:$L$28,10,0))/(VLOOKUP(L$5,'Base comparativa'!$C$3:$D$12,2,0))*5))</f>
        <v>8.8716384807319102</v>
      </c>
      <c r="M15" s="19">
        <f t="shared" si="1"/>
        <v>5.33</v>
      </c>
      <c r="N15" s="20">
        <f>VLOOKUP(C15,'Base de estudo'!C12:M37,11,0)</f>
        <v>1318</v>
      </c>
      <c r="O15" s="24" t="s">
        <v>75</v>
      </c>
      <c r="P15" s="20">
        <v>70</v>
      </c>
    </row>
    <row r="16" spans="1:24" x14ac:dyDescent="0.25">
      <c r="A16" s="20"/>
      <c r="B16" s="12" t="s">
        <v>23</v>
      </c>
      <c r="C16" s="15" t="s">
        <v>36</v>
      </c>
      <c r="D16" s="18">
        <f>IF(((VLOOKUP($C16,'Base de estudo'!$C$3:$L$28,2,0))/(VLOOKUP(D$5,'Base comparativa'!$C$3:$D$12,2,0))*5)&gt;=10,10,((VLOOKUP($C16,'Base de estudo'!$C$3:$L$28,2,0))/(VLOOKUP(D$5,'Base comparativa'!$C$3:$D$12,2,0))*5))</f>
        <v>4.8264653119612024</v>
      </c>
      <c r="E16" s="18">
        <f>IF(((VLOOKUP($C16,'Base de estudo'!$C$3:$L$28,3,0))/(VLOOKUP(E$5,'Base comparativa'!$C$3:$D$12,2,0))*5)&gt;=10,10,((VLOOKUP($C16,'Base de estudo'!$C$3:$L$28,3,0))/(VLOOKUP(E$5,'Base comparativa'!$C$3:$D$12,2,0))*5))</f>
        <v>7.7494814473380957</v>
      </c>
      <c r="F16" s="18">
        <f>IF(((VLOOKUP($C16,'Base de estudo'!$C$3:$L$28,4,0))/(VLOOKUP(F$5,'Base comparativa'!$C$3:$D$12,2,0))*5)&gt;=10,10,((VLOOKUP($C16,'Base de estudo'!$C$3:$L$28,4,0))/(VLOOKUP(F$5,'Base comparativa'!$C$3:$D$12,2,0))*5))</f>
        <v>7.4812967581047385</v>
      </c>
      <c r="G16" s="18">
        <f>IF(((VLOOKUP($C16,'Base de estudo'!$C$3:$L$28,5,0))/(VLOOKUP(G$5,'Base comparativa'!$C$3:$D$12,2,0))*5)&gt;=10,10,((VLOOKUP($C16,'Base de estudo'!$C$3:$L$28,5,0))/(VLOOKUP(G$5,'Base comparativa'!$C$3:$D$12,2,0))*5))</f>
        <v>7.7853492333901197</v>
      </c>
      <c r="H16" s="18">
        <f>IF(((VLOOKUP($C16,'Base de estudo'!$C$3:$L$28,6,0))/(VLOOKUP(H$5,'Base comparativa'!$C$3:$D$12,2,0))*5)&gt;=10,10,((VLOOKUP($C16,'Base de estudo'!$C$3:$L$28,6,0))/(VLOOKUP(H$5,'Base comparativa'!$C$3:$D$12,2,0))*5))</f>
        <v>8.1355932203389827</v>
      </c>
      <c r="I16" s="18">
        <f>IF(((VLOOKUP($C16,'Base de estudo'!$C$3:$L$28,7,0))/(VLOOKUP(I$5,'Base comparativa'!$C$3:$D$12,2,0))*5)&gt;=10,10,((VLOOKUP($C16,'Base de estudo'!$C$3:$L$28,7,0))/(VLOOKUP(I$5,'Base comparativa'!$C$3:$D$12,2,0))*5))</f>
        <v>10</v>
      </c>
      <c r="J16" s="18">
        <f>IF(((VLOOKUP($C16,'Base de estudo'!$C$3:$L$28,8,0))/(VLOOKUP(J$5,'Base comparativa'!$C$3:$D$12,2,0))*5)&gt;=10,10,((VLOOKUP($C16,'Base de estudo'!$C$3:$L$28,8,0))/(VLOOKUP(J$5,'Base comparativa'!$C$3:$D$12,2,0))*5))</f>
        <v>5.2451838879159371</v>
      </c>
      <c r="K16" s="18">
        <f>IF(((VLOOKUP($C16,'Base de estudo'!$C$3:$L$28,9,0))/(VLOOKUP(K$5,'Base comparativa'!$C$3:$D$12,2,0))*5)&gt;=10,10,((VLOOKUP($C16,'Base de estudo'!$C$3:$L$28,9,0))/(VLOOKUP(K$5,'Base comparativa'!$C$3:$D$12,2,0))*5))</f>
        <v>9.765625</v>
      </c>
      <c r="L16" s="18">
        <f>IF(((VLOOKUP($C16,'Base de estudo'!$C$3:$L$28,10,0))/(VLOOKUP(L$5,'Base comparativa'!$C$3:$D$12,2,0))*5)&gt;=10,10,((VLOOKUP($C16,'Base de estudo'!$C$3:$L$28,10,0))/(VLOOKUP(L$5,'Base comparativa'!$C$3:$D$12,2,0))*5))</f>
        <v>8.8716384807319102</v>
      </c>
      <c r="M16" s="19">
        <f t="shared" si="1"/>
        <v>7.76</v>
      </c>
      <c r="N16" s="20">
        <f>VLOOKUP(C16,'Base de estudo'!C13:M38,11,0)</f>
        <v>1349</v>
      </c>
      <c r="O16" s="24" t="s">
        <v>76</v>
      </c>
      <c r="P16" s="20">
        <v>800</v>
      </c>
    </row>
    <row r="17" spans="1:16" x14ac:dyDescent="0.25">
      <c r="A17" s="20"/>
      <c r="B17" s="12" t="s">
        <v>23</v>
      </c>
      <c r="C17" s="15" t="s">
        <v>38</v>
      </c>
      <c r="D17" s="18">
        <f>IF(((VLOOKUP($C17,'Base de estudo'!$C$3:$L$28,2,0))/(VLOOKUP(D$5,'Base comparativa'!$C$3:$D$12,2,0))*5)&gt;=10,10,((VLOOKUP($C17,'Base de estudo'!$C$3:$L$28,2,0))/(VLOOKUP(D$5,'Base comparativa'!$C$3:$D$12,2,0))*5))</f>
        <v>5.0881411421277729</v>
      </c>
      <c r="E17" s="18">
        <f>IF(((VLOOKUP($C17,'Base de estudo'!$C$3:$L$28,3,0))/(VLOOKUP(E$5,'Base comparativa'!$C$3:$D$12,2,0))*5)&gt;=10,10,((VLOOKUP($C17,'Base de estudo'!$C$3:$L$28,3,0))/(VLOOKUP(E$5,'Base comparativa'!$C$3:$D$12,2,0))*5))</f>
        <v>5.7616962433740495</v>
      </c>
      <c r="F17" s="18">
        <f>IF(((VLOOKUP($C17,'Base de estudo'!$C$3:$L$28,4,0))/(VLOOKUP(F$5,'Base comparativa'!$C$3:$D$12,2,0))*5)&gt;=10,10,((VLOOKUP($C17,'Base de estudo'!$C$3:$L$28,4,0))/(VLOOKUP(F$5,'Base comparativa'!$C$3:$D$12,2,0))*5))</f>
        <v>7.4812967581047385</v>
      </c>
      <c r="G17" s="18">
        <f>IF(((VLOOKUP($C17,'Base de estudo'!$C$3:$L$28,5,0))/(VLOOKUP(G$5,'Base comparativa'!$C$3:$D$12,2,0))*5)&gt;=10,10,((VLOOKUP($C17,'Base de estudo'!$C$3:$L$28,5,0))/(VLOOKUP(G$5,'Base comparativa'!$C$3:$D$12,2,0))*5))</f>
        <v>6.8824531516183987</v>
      </c>
      <c r="H17" s="18">
        <f>IF(((VLOOKUP($C17,'Base de estudo'!$C$3:$L$28,6,0))/(VLOOKUP(H$5,'Base comparativa'!$C$3:$D$12,2,0))*5)&gt;=10,10,((VLOOKUP($C17,'Base de estudo'!$C$3:$L$28,6,0))/(VLOOKUP(H$5,'Base comparativa'!$C$3:$D$12,2,0))*5))</f>
        <v>6.4406779661016946</v>
      </c>
      <c r="I17" s="18">
        <f>IF(((VLOOKUP($C17,'Base de estudo'!$C$3:$L$28,7,0))/(VLOOKUP(I$5,'Base comparativa'!$C$3:$D$12,2,0))*5)&gt;=10,10,((VLOOKUP($C17,'Base de estudo'!$C$3:$L$28,7,0))/(VLOOKUP(I$5,'Base comparativa'!$C$3:$D$12,2,0))*5))</f>
        <v>10</v>
      </c>
      <c r="J17" s="18">
        <f>IF(((VLOOKUP($C17,'Base de estudo'!$C$3:$L$28,8,0))/(VLOOKUP(J$5,'Base comparativa'!$C$3:$D$12,2,0))*5)&gt;=10,10,((VLOOKUP($C17,'Base de estudo'!$C$3:$L$28,8,0))/(VLOOKUP(J$5,'Base comparativa'!$C$3:$D$12,2,0))*5))</f>
        <v>5.5166374781085814</v>
      </c>
      <c r="K17" s="18">
        <f>IF(((VLOOKUP($C17,'Base de estudo'!$C$3:$L$28,9,0))/(VLOOKUP(K$5,'Base comparativa'!$C$3:$D$12,2,0))*5)&gt;=10,10,((VLOOKUP($C17,'Base de estudo'!$C$3:$L$28,9,0))/(VLOOKUP(K$5,'Base comparativa'!$C$3:$D$12,2,0))*5))</f>
        <v>9.765625</v>
      </c>
      <c r="L17" s="18">
        <f>IF(((VLOOKUP($C17,'Base de estudo'!$C$3:$L$28,10,0))/(VLOOKUP(L$5,'Base comparativa'!$C$3:$D$12,2,0))*5)&gt;=10,10,((VLOOKUP($C17,'Base de estudo'!$C$3:$L$28,10,0))/(VLOOKUP(L$5,'Base comparativa'!$C$3:$D$12,2,0))*5))</f>
        <v>8.8716384807319102</v>
      </c>
      <c r="M17" s="19">
        <f t="shared" si="1"/>
        <v>7.31</v>
      </c>
      <c r="N17" s="20">
        <f>VLOOKUP(C17,'Base de estudo'!C16:M41,11,0)</f>
        <v>1199</v>
      </c>
      <c r="O17" s="24" t="s">
        <v>77</v>
      </c>
      <c r="P17" s="20">
        <v>300</v>
      </c>
    </row>
    <row r="18" spans="1:16" x14ac:dyDescent="0.25">
      <c r="A18" s="20"/>
      <c r="B18" s="12" t="s">
        <v>23</v>
      </c>
      <c r="C18" s="16">
        <v>8</v>
      </c>
      <c r="D18" s="18">
        <f>IF(((VLOOKUP($C18,'Base de estudo'!$C$3:$L$28,2,0))/(VLOOKUP(D$5,'Base comparativa'!$C$3:$D$12,2,0))*5)&gt;=10,10,((VLOOKUP($C18,'Base de estudo'!$C$3:$L$28,2,0))/(VLOOKUP(D$5,'Base comparativa'!$C$3:$D$12,2,0))*5))</f>
        <v>4.4921017511928056</v>
      </c>
      <c r="E18" s="18">
        <f>IF(((VLOOKUP($C18,'Base de estudo'!$C$3:$L$28,3,0))/(VLOOKUP(E$5,'Base comparativa'!$C$3:$D$12,2,0))*5)&gt;=10,10,((VLOOKUP($C18,'Base de estudo'!$C$3:$L$28,3,0))/(VLOOKUP(E$5,'Base comparativa'!$C$3:$D$12,2,0))*5))</f>
        <v>7.9799492970730581</v>
      </c>
      <c r="F18" s="18">
        <f>IF(((VLOOKUP($C18,'Base de estudo'!$C$3:$L$28,4,0))/(VLOOKUP(F$5,'Base comparativa'!$C$3:$D$12,2,0))*5)&gt;=10,10,((VLOOKUP($C18,'Base de estudo'!$C$3:$L$28,4,0))/(VLOOKUP(F$5,'Base comparativa'!$C$3:$D$12,2,0))*5))</f>
        <v>7.4812967581047385</v>
      </c>
      <c r="G18" s="18">
        <f>IF(((VLOOKUP($C18,'Base de estudo'!$C$3:$L$28,5,0))/(VLOOKUP(G$5,'Base comparativa'!$C$3:$D$12,2,0))*5)&gt;=10,10,((VLOOKUP($C18,'Base de estudo'!$C$3:$L$28,5,0))/(VLOOKUP(G$5,'Base comparativa'!$C$3:$D$12,2,0))*5))</f>
        <v>7.4105621805792152</v>
      </c>
      <c r="H18" s="18">
        <f>IF(((VLOOKUP($C18,'Base de estudo'!$C$3:$L$28,6,0))/(VLOOKUP(H$5,'Base comparativa'!$C$3:$D$12,2,0))*5)&gt;=10,10,((VLOOKUP($C18,'Base de estudo'!$C$3:$L$28,6,0))/(VLOOKUP(H$5,'Base comparativa'!$C$3:$D$12,2,0))*5))</f>
        <v>7.231638418079096</v>
      </c>
      <c r="I18" s="18">
        <f>IF(((VLOOKUP($C18,'Base de estudo'!$C$3:$L$28,7,0))/(VLOOKUP(I$5,'Base comparativa'!$C$3:$D$12,2,0))*5)&gt;=10,10,((VLOOKUP($C18,'Base de estudo'!$C$3:$L$28,7,0))/(VLOOKUP(I$5,'Base comparativa'!$C$3:$D$12,2,0))*5))</f>
        <v>4.7410649161196208</v>
      </c>
      <c r="J18" s="18">
        <f>IF(((VLOOKUP($C18,'Base de estudo'!$C$3:$L$28,8,0))/(VLOOKUP(J$5,'Base comparativa'!$C$3:$D$12,2,0))*5)&gt;=10,10,((VLOOKUP($C18,'Base de estudo'!$C$3:$L$28,8,0))/(VLOOKUP(J$5,'Base comparativa'!$C$3:$D$12,2,0))*5))</f>
        <v>4.6409807355516639</v>
      </c>
      <c r="K18" s="18">
        <f>IF(((VLOOKUP($C18,'Base de estudo'!$C$3:$L$28,9,0))/(VLOOKUP(K$5,'Base comparativa'!$C$3:$D$12,2,0))*5)&gt;=10,10,((VLOOKUP($C18,'Base de estudo'!$C$3:$L$28,9,0))/(VLOOKUP(K$5,'Base comparativa'!$C$3:$D$12,2,0))*5))</f>
        <v>5.859375</v>
      </c>
      <c r="L18" s="18">
        <f>IF(((VLOOKUP($C18,'Base de estudo'!$C$3:$L$28,10,0))/(VLOOKUP(L$5,'Base comparativa'!$C$3:$D$12,2,0))*5)&gt;=10,10,((VLOOKUP($C18,'Base de estudo'!$C$3:$L$28,10,0))/(VLOOKUP(L$5,'Base comparativa'!$C$3:$D$12,2,0))*5))</f>
        <v>8.8716384807319102</v>
      </c>
      <c r="M18" s="19">
        <f t="shared" si="1"/>
        <v>6.52</v>
      </c>
      <c r="N18" s="20">
        <f>VLOOKUP(C18,'Base de estudo'!C15:M40,11,0)</f>
        <v>1199</v>
      </c>
      <c r="O18" s="24" t="s">
        <v>77</v>
      </c>
      <c r="P18" s="20">
        <v>300</v>
      </c>
    </row>
    <row r="19" spans="1:16" x14ac:dyDescent="0.25">
      <c r="A19" s="20"/>
      <c r="B19" s="12" t="s">
        <v>23</v>
      </c>
      <c r="C19" s="15" t="s">
        <v>37</v>
      </c>
      <c r="D19" s="18">
        <f>IF(((VLOOKUP($C19,'Base de estudo'!$C$3:$L$28,2,0))/(VLOOKUP(D$5,'Base comparativa'!$C$3:$D$12,2,0))*5)&gt;=10,10,((VLOOKUP($C19,'Base de estudo'!$C$3:$L$28,2,0))/(VLOOKUP(D$5,'Base comparativa'!$C$3:$D$12,2,0))*5))</f>
        <v>4.7392400352390123</v>
      </c>
      <c r="E19" s="18">
        <f>IF(((VLOOKUP($C19,'Base de estudo'!$C$3:$L$28,3,0))/(VLOOKUP(E$5,'Base comparativa'!$C$3:$D$12,2,0))*5)&gt;=10,10,((VLOOKUP($C19,'Base de estudo'!$C$3:$L$28,3,0))/(VLOOKUP(E$5,'Base comparativa'!$C$3:$D$12,2,0))*5))</f>
        <v>7.6918644849043556</v>
      </c>
      <c r="F19" s="18">
        <f>IF(((VLOOKUP($C19,'Base de estudo'!$C$3:$L$28,4,0))/(VLOOKUP(F$5,'Base comparativa'!$C$3:$D$12,2,0))*5)&gt;=10,10,((VLOOKUP($C19,'Base de estudo'!$C$3:$L$28,4,0))/(VLOOKUP(F$5,'Base comparativa'!$C$3:$D$12,2,0))*5))</f>
        <v>7.4812967581047385</v>
      </c>
      <c r="G19" s="18">
        <f>IF(((VLOOKUP($C19,'Base de estudo'!$C$3:$L$28,5,0))/(VLOOKUP(G$5,'Base comparativa'!$C$3:$D$12,2,0))*5)&gt;=10,10,((VLOOKUP($C19,'Base de estudo'!$C$3:$L$28,5,0))/(VLOOKUP(G$5,'Base comparativa'!$C$3:$D$12,2,0))*5))</f>
        <v>7.4105621805792152</v>
      </c>
      <c r="H19" s="18">
        <f>IF(((VLOOKUP($C19,'Base de estudo'!$C$3:$L$28,6,0))/(VLOOKUP(H$5,'Base comparativa'!$C$3:$D$12,2,0))*5)&gt;=10,10,((VLOOKUP($C19,'Base de estudo'!$C$3:$L$28,6,0))/(VLOOKUP(H$5,'Base comparativa'!$C$3:$D$12,2,0))*5))</f>
        <v>7.231638418079096</v>
      </c>
      <c r="I19" s="18">
        <f>IF(((VLOOKUP($C19,'Base de estudo'!$C$3:$L$28,7,0))/(VLOOKUP(I$5,'Base comparativa'!$C$3:$D$12,2,0))*5)&gt;=10,10,((VLOOKUP($C19,'Base de estudo'!$C$3:$L$28,7,0))/(VLOOKUP(I$5,'Base comparativa'!$C$3:$D$12,2,0))*5))</f>
        <v>4.5587162654996352</v>
      </c>
      <c r="J19" s="18">
        <f>IF(((VLOOKUP($C19,'Base de estudo'!$C$3:$L$28,8,0))/(VLOOKUP(J$5,'Base comparativa'!$C$3:$D$12,2,0))*5)&gt;=10,10,((VLOOKUP($C19,'Base de estudo'!$C$3:$L$28,8,0))/(VLOOKUP(J$5,'Base comparativa'!$C$3:$D$12,2,0))*5))</f>
        <v>4.8161120840630476</v>
      </c>
      <c r="K19" s="18">
        <f>IF(((VLOOKUP($C19,'Base de estudo'!$C$3:$L$28,9,0))/(VLOOKUP(K$5,'Base comparativa'!$C$3:$D$12,2,0))*5)&gt;=10,10,((VLOOKUP($C19,'Base de estudo'!$C$3:$L$28,9,0))/(VLOOKUP(K$5,'Base comparativa'!$C$3:$D$12,2,0))*5))</f>
        <v>2.44140625</v>
      </c>
      <c r="L19" s="18">
        <f>IF(((VLOOKUP($C19,'Base de estudo'!$C$3:$L$28,10,0))/(VLOOKUP(L$5,'Base comparativa'!$C$3:$D$12,2,0))*5)&gt;=10,10,((VLOOKUP($C19,'Base de estudo'!$C$3:$L$28,10,0))/(VLOOKUP(L$5,'Base comparativa'!$C$3:$D$12,2,0))*5))</f>
        <v>8.8716384807319102</v>
      </c>
      <c r="M19" s="19">
        <f t="shared" si="1"/>
        <v>6.14</v>
      </c>
      <c r="N19" s="20">
        <f>VLOOKUP(C19,'Base de estudo'!C14:M39,11,0)</f>
        <v>4354</v>
      </c>
      <c r="O19" s="24" t="s">
        <v>76</v>
      </c>
      <c r="P19" s="20">
        <v>800</v>
      </c>
    </row>
    <row r="20" spans="1:16" x14ac:dyDescent="0.25">
      <c r="A20" s="20"/>
      <c r="B20" s="12" t="s">
        <v>23</v>
      </c>
      <c r="C20" s="15" t="s">
        <v>39</v>
      </c>
      <c r="D20" s="18">
        <f>IF(((VLOOKUP($C20,'Base de estudo'!$C$3:$L$28,2,0))/(VLOOKUP(D$5,'Base comparativa'!$C$3:$D$12,2,0))*5)&gt;=10,10,((VLOOKUP($C20,'Base de estudo'!$C$3:$L$28,2,0))/(VLOOKUP(D$5,'Base comparativa'!$C$3:$D$12,2,0))*5))</f>
        <v>4.4484891128317106</v>
      </c>
      <c r="E20" s="18">
        <f>IF(((VLOOKUP($C20,'Base de estudo'!$C$3:$L$28,3,0))/(VLOOKUP(E$5,'Base comparativa'!$C$3:$D$12,2,0))*5)&gt;=10,10,((VLOOKUP($C20,'Base de estudo'!$C$3:$L$28,3,0))/(VLOOKUP(E$5,'Base comparativa'!$C$3:$D$12,2,0))*5))</f>
        <v>6.2226319428439734</v>
      </c>
      <c r="F20" s="18">
        <f>IF(((VLOOKUP($C20,'Base de estudo'!$C$3:$L$28,4,0))/(VLOOKUP(F$5,'Base comparativa'!$C$3:$D$12,2,0))*5)&gt;=10,10,((VLOOKUP($C20,'Base de estudo'!$C$3:$L$28,4,0))/(VLOOKUP(F$5,'Base comparativa'!$C$3:$D$12,2,0))*5))</f>
        <v>4.9875311720698257</v>
      </c>
      <c r="G20" s="18">
        <f>IF(((VLOOKUP($C20,'Base de estudo'!$C$3:$L$28,5,0))/(VLOOKUP(G$5,'Base comparativa'!$C$3:$D$12,2,0))*5)&gt;=10,10,((VLOOKUP($C20,'Base de estudo'!$C$3:$L$28,5,0))/(VLOOKUP(G$5,'Base comparativa'!$C$3:$D$12,2,0))*5))</f>
        <v>5.7921635434412266</v>
      </c>
      <c r="H20" s="18">
        <f>IF(((VLOOKUP($C20,'Base de estudo'!$C$3:$L$28,6,0))/(VLOOKUP(H$5,'Base comparativa'!$C$3:$D$12,2,0))*5)&gt;=10,10,((VLOOKUP($C20,'Base de estudo'!$C$3:$L$28,6,0))/(VLOOKUP(H$5,'Base comparativa'!$C$3:$D$12,2,0))*5))</f>
        <v>6.4406779661016946</v>
      </c>
      <c r="I20" s="18">
        <f>IF(((VLOOKUP($C20,'Base de estudo'!$C$3:$L$28,7,0))/(VLOOKUP(I$5,'Base comparativa'!$C$3:$D$12,2,0))*5)&gt;=10,10,((VLOOKUP($C20,'Base de estudo'!$C$3:$L$28,7,0))/(VLOOKUP(I$5,'Base comparativa'!$C$3:$D$12,2,0))*5))</f>
        <v>3.0999270605397515</v>
      </c>
      <c r="J20" s="18">
        <f>IF(((VLOOKUP($C20,'Base de estudo'!$C$3:$L$28,8,0))/(VLOOKUP(J$5,'Base comparativa'!$C$3:$D$12,2,0))*5)&gt;=10,10,((VLOOKUP($C20,'Base de estudo'!$C$3:$L$28,8,0))/(VLOOKUP(J$5,'Base comparativa'!$C$3:$D$12,2,0))*5))</f>
        <v>5.1138353765323998</v>
      </c>
      <c r="K20" s="18">
        <f>IF(((VLOOKUP($C20,'Base de estudo'!$C$3:$L$28,9,0))/(VLOOKUP(K$5,'Base comparativa'!$C$3:$D$12,2,0))*5)&gt;=10,10,((VLOOKUP($C20,'Base de estudo'!$C$3:$L$28,9,0))/(VLOOKUP(K$5,'Base comparativa'!$C$3:$D$12,2,0))*5))</f>
        <v>3.90625</v>
      </c>
      <c r="L20" s="18">
        <f>IF(((VLOOKUP($C20,'Base de estudo'!$C$3:$L$28,10,0))/(VLOOKUP(L$5,'Base comparativa'!$C$3:$D$12,2,0))*5)&gt;=10,10,((VLOOKUP($C20,'Base de estudo'!$C$3:$L$28,10,0))/(VLOOKUP(L$5,'Base comparativa'!$C$3:$D$12,2,0))*5))</f>
        <v>4.4358192403659551</v>
      </c>
      <c r="M20" s="19">
        <f t="shared" si="1"/>
        <v>4.9400000000000004</v>
      </c>
      <c r="N20" s="20">
        <f>VLOOKUP(C20,'Base de estudo'!C17:M42,11,0)</f>
        <v>1349</v>
      </c>
      <c r="O20" s="24" t="s">
        <v>76</v>
      </c>
      <c r="P20" s="20">
        <v>800</v>
      </c>
    </row>
    <row r="21" spans="1:16" x14ac:dyDescent="0.25">
      <c r="A21" s="20"/>
      <c r="B21" s="12" t="s">
        <v>24</v>
      </c>
      <c r="C21" s="15" t="s">
        <v>40</v>
      </c>
      <c r="D21" s="18">
        <f>IF(((VLOOKUP($C21,'Base de estudo'!$C$3:$L$28,2,0))/(VLOOKUP(D$5,'Base comparativa'!$C$3:$D$12,2,0))*5)&gt;=10,10,((VLOOKUP($C21,'Base de estudo'!$C$3:$L$28,2,0))/(VLOOKUP(D$5,'Base comparativa'!$C$3:$D$12,2,0))*5))</f>
        <v>7.268773060182534</v>
      </c>
      <c r="E21" s="18">
        <f>IF(((VLOOKUP($C21,'Base de estudo'!$C$3:$L$28,3,0))/(VLOOKUP(E$5,'Base comparativa'!$C$3:$D$12,2,0))*5)&gt;=10,10,((VLOOKUP($C21,'Base de estudo'!$C$3:$L$28,3,0))/(VLOOKUP(E$5,'Base comparativa'!$C$3:$D$12,2,0))*5))</f>
        <v>7.4181839133440883</v>
      </c>
      <c r="F21" s="18">
        <f>IF(((VLOOKUP($C21,'Base de estudo'!$C$3:$L$28,4,0))/(VLOOKUP(F$5,'Base comparativa'!$C$3:$D$12,2,0))*5)&gt;=10,10,((VLOOKUP($C21,'Base de estudo'!$C$3:$L$28,4,0))/(VLOOKUP(F$5,'Base comparativa'!$C$3:$D$12,2,0))*5))</f>
        <v>10</v>
      </c>
      <c r="G21" s="18">
        <f>IF(((VLOOKUP($C21,'Base de estudo'!$C$3:$L$28,5,0))/(VLOOKUP(G$5,'Base comparativa'!$C$3:$D$12,2,0))*5)&gt;=10,10,((VLOOKUP($C21,'Base de estudo'!$C$3:$L$28,5,0))/(VLOOKUP(G$5,'Base comparativa'!$C$3:$D$12,2,0))*5))</f>
        <v>8.5604770017035783</v>
      </c>
      <c r="H21" s="18">
        <f>IF(((VLOOKUP($C21,'Base de estudo'!$C$3:$L$28,6,0))/(VLOOKUP(H$5,'Base comparativa'!$C$3:$D$12,2,0))*5)&gt;=10,10,((VLOOKUP($C21,'Base de estudo'!$C$3:$L$28,6,0))/(VLOOKUP(H$5,'Base comparativa'!$C$3:$D$12,2,0))*5))</f>
        <v>9.0395480225988702</v>
      </c>
      <c r="I21" s="18">
        <f>IF(((VLOOKUP($C21,'Base de estudo'!$C$3:$L$28,7,0))/(VLOOKUP(I$5,'Base comparativa'!$C$3:$D$12,2,0))*5)&gt;=10,10,((VLOOKUP($C21,'Base de estudo'!$C$3:$L$28,7,0))/(VLOOKUP(I$5,'Base comparativa'!$C$3:$D$12,2,0))*5))</f>
        <v>10</v>
      </c>
      <c r="J21" s="18">
        <f>IF(((VLOOKUP($C21,'Base de estudo'!$C$3:$L$28,8,0))/(VLOOKUP(J$5,'Base comparativa'!$C$3:$D$12,2,0))*5)&gt;=10,10,((VLOOKUP($C21,'Base de estudo'!$C$3:$L$28,8,0))/(VLOOKUP(J$5,'Base comparativa'!$C$3:$D$12,2,0))*5))</f>
        <v>5.9544658493870406</v>
      </c>
      <c r="K21" s="18">
        <f>IF(((VLOOKUP($C21,'Base de estudo'!$C$3:$L$28,9,0))/(VLOOKUP(K$5,'Base comparativa'!$C$3:$D$12,2,0))*5)&gt;=10,10,((VLOOKUP($C21,'Base de estudo'!$C$3:$L$28,9,0))/(VLOOKUP(K$5,'Base comparativa'!$C$3:$D$12,2,0))*5))</f>
        <v>10</v>
      </c>
      <c r="L21" s="18">
        <f>IF(((VLOOKUP($C21,'Base de estudo'!$C$3:$L$28,10,0))/(VLOOKUP(L$5,'Base comparativa'!$C$3:$D$12,2,0))*5)&gt;=10,10,((VLOOKUP($C21,'Base de estudo'!$C$3:$L$28,10,0))/(VLOOKUP(L$5,'Base comparativa'!$C$3:$D$12,2,0))*5))</f>
        <v>10</v>
      </c>
      <c r="M21" s="19">
        <f t="shared" si="1"/>
        <v>8.69</v>
      </c>
      <c r="N21" s="20">
        <f>VLOOKUP(C21,'Base de estudo'!C18:M43,11,0)</f>
        <v>6883</v>
      </c>
      <c r="O21" s="24" t="s">
        <v>78</v>
      </c>
      <c r="P21" s="20">
        <v>2463</v>
      </c>
    </row>
    <row r="22" spans="1:16" x14ac:dyDescent="0.25">
      <c r="A22" s="20"/>
      <c r="B22" s="12" t="s">
        <v>24</v>
      </c>
      <c r="C22" s="15" t="s">
        <v>42</v>
      </c>
      <c r="D22" s="18">
        <f>IF(((VLOOKUP($C22,'Base de estudo'!$C$3:$L$28,2,0))/(VLOOKUP(D$5,'Base comparativa'!$C$3:$D$12,2,0))*5)&gt;=10,10,((VLOOKUP($C22,'Base de estudo'!$C$3:$L$28,2,0))/(VLOOKUP(D$5,'Base comparativa'!$C$3:$D$12,2,0))*5))</f>
        <v>7.268773060182534</v>
      </c>
      <c r="E22" s="18">
        <f>IF(((VLOOKUP($C22,'Base de estudo'!$C$3:$L$28,3,0))/(VLOOKUP(E$5,'Base comparativa'!$C$3:$D$12,2,0))*5)&gt;=10,10,((VLOOKUP($C22,'Base de estudo'!$C$3:$L$28,3,0))/(VLOOKUP(E$5,'Base comparativa'!$C$3:$D$12,2,0))*5))</f>
        <v>7.3605669509103482</v>
      </c>
      <c r="F22" s="18">
        <f>IF(((VLOOKUP($C22,'Base de estudo'!$C$3:$L$28,4,0))/(VLOOKUP(F$5,'Base comparativa'!$C$3:$D$12,2,0))*5)&gt;=10,10,((VLOOKUP($C22,'Base de estudo'!$C$3:$L$28,4,0))/(VLOOKUP(F$5,'Base comparativa'!$C$3:$D$12,2,0))*5))</f>
        <v>10</v>
      </c>
      <c r="G22" s="18">
        <f>IF(((VLOOKUP($C22,'Base de estudo'!$C$3:$L$28,5,0))/(VLOOKUP(G$5,'Base comparativa'!$C$3:$D$12,2,0))*5)&gt;=10,10,((VLOOKUP($C22,'Base de estudo'!$C$3:$L$28,5,0))/(VLOOKUP(G$5,'Base comparativa'!$C$3:$D$12,2,0))*5))</f>
        <v>8.049403747870528</v>
      </c>
      <c r="H22" s="18">
        <f>IF(((VLOOKUP($C22,'Base de estudo'!$C$3:$L$28,6,0))/(VLOOKUP(H$5,'Base comparativa'!$C$3:$D$12,2,0))*5)&gt;=10,10,((VLOOKUP($C22,'Base de estudo'!$C$3:$L$28,6,0))/(VLOOKUP(H$5,'Base comparativa'!$C$3:$D$12,2,0))*5))</f>
        <v>9.0395480225988702</v>
      </c>
      <c r="I22" s="18">
        <f>IF(((VLOOKUP($C22,'Base de estudo'!$C$3:$L$28,7,0))/(VLOOKUP(I$5,'Base comparativa'!$C$3:$D$12,2,0))*5)&gt;=10,10,((VLOOKUP($C22,'Base de estudo'!$C$3:$L$28,7,0))/(VLOOKUP(I$5,'Base comparativa'!$C$3:$D$12,2,0))*5))</f>
        <v>10</v>
      </c>
      <c r="J22" s="18">
        <f>IF(((VLOOKUP($C22,'Base de estudo'!$C$3:$L$28,8,0))/(VLOOKUP(J$5,'Base comparativa'!$C$3:$D$12,2,0))*5)&gt;=10,10,((VLOOKUP($C22,'Base de estudo'!$C$3:$L$28,8,0))/(VLOOKUP(J$5,'Base comparativa'!$C$3:$D$12,2,0))*5))</f>
        <v>6.0420315236427324</v>
      </c>
      <c r="K22" s="18">
        <f>IF(((VLOOKUP($C22,'Base de estudo'!$C$3:$L$28,9,0))/(VLOOKUP(K$5,'Base comparativa'!$C$3:$D$12,2,0))*5)&gt;=10,10,((VLOOKUP($C22,'Base de estudo'!$C$3:$L$28,9,0))/(VLOOKUP(K$5,'Base comparativa'!$C$3:$D$12,2,0))*5))</f>
        <v>10</v>
      </c>
      <c r="L22" s="18">
        <f>IF(((VLOOKUP($C22,'Base de estudo'!$C$3:$L$28,10,0))/(VLOOKUP(L$5,'Base comparativa'!$C$3:$D$12,2,0))*5)&gt;=10,10,((VLOOKUP($C22,'Base de estudo'!$C$3:$L$28,10,0))/(VLOOKUP(L$5,'Base comparativa'!$C$3:$D$12,2,0))*5))</f>
        <v>10</v>
      </c>
      <c r="M22" s="19">
        <f t="shared" si="1"/>
        <v>8.64</v>
      </c>
      <c r="N22" s="20">
        <f>VLOOKUP(C22,'Base de estudo'!C20:M45,11,0)</f>
        <v>7399</v>
      </c>
      <c r="O22" s="24" t="s">
        <v>78</v>
      </c>
      <c r="P22" s="20">
        <v>2463</v>
      </c>
    </row>
    <row r="23" spans="1:16" x14ac:dyDescent="0.25">
      <c r="A23" s="20"/>
      <c r="B23" s="12" t="s">
        <v>24</v>
      </c>
      <c r="C23" s="15" t="s">
        <v>43</v>
      </c>
      <c r="D23" s="18">
        <f>IF(((VLOOKUP($C23,'Base de estudo'!$C$3:$L$28,2,0))/(VLOOKUP(D$5,'Base comparativa'!$C$3:$D$12,2,0))*5)&gt;=10,10,((VLOOKUP($C23,'Base de estudo'!$C$3:$L$28,2,0))/(VLOOKUP(D$5,'Base comparativa'!$C$3:$D$12,2,0))*5))</f>
        <v>5.8150184481460263</v>
      </c>
      <c r="E23" s="18">
        <f>IF(((VLOOKUP($C23,'Base de estudo'!$C$3:$L$28,3,0))/(VLOOKUP(E$5,'Base comparativa'!$C$3:$D$12,2,0))*5)&gt;=10,10,((VLOOKUP($C23,'Base de estudo'!$C$3:$L$28,3,0))/(VLOOKUP(E$5,'Base comparativa'!$C$3:$D$12,2,0))*5))</f>
        <v>8.1528001843742786</v>
      </c>
      <c r="F23" s="18">
        <f>IF(((VLOOKUP($C23,'Base de estudo'!$C$3:$L$28,4,0))/(VLOOKUP(F$5,'Base comparativa'!$C$3:$D$12,2,0))*5)&gt;=10,10,((VLOOKUP($C23,'Base de estudo'!$C$3:$L$28,4,0))/(VLOOKUP(F$5,'Base comparativa'!$C$3:$D$12,2,0))*5))</f>
        <v>9.9750623441396513</v>
      </c>
      <c r="G23" s="18">
        <f>IF(((VLOOKUP($C23,'Base de estudo'!$C$3:$L$28,5,0))/(VLOOKUP(G$5,'Base comparativa'!$C$3:$D$12,2,0))*5)&gt;=10,10,((VLOOKUP($C23,'Base de estudo'!$C$3:$L$28,5,0))/(VLOOKUP(G$5,'Base comparativa'!$C$3:$D$12,2,0))*5))</f>
        <v>8.049403747870528</v>
      </c>
      <c r="H23" s="18">
        <f>IF(((VLOOKUP($C23,'Base de estudo'!$C$3:$L$28,6,0))/(VLOOKUP(H$5,'Base comparativa'!$C$3:$D$12,2,0))*5)&gt;=10,10,((VLOOKUP($C23,'Base de estudo'!$C$3:$L$28,6,0))/(VLOOKUP(H$5,'Base comparativa'!$C$3:$D$12,2,0))*5))</f>
        <v>9.0395480225988702</v>
      </c>
      <c r="I23" s="18">
        <f>IF(((VLOOKUP($C23,'Base de estudo'!$C$3:$L$28,7,0))/(VLOOKUP(I$5,'Base comparativa'!$C$3:$D$12,2,0))*5)&gt;=10,10,((VLOOKUP($C23,'Base de estudo'!$C$3:$L$28,7,0))/(VLOOKUP(I$5,'Base comparativa'!$C$3:$D$12,2,0))*5))</f>
        <v>10</v>
      </c>
      <c r="J23" s="18">
        <f>IF(((VLOOKUP($C23,'Base de estudo'!$C$3:$L$28,8,0))/(VLOOKUP(J$5,'Base comparativa'!$C$3:$D$12,2,0))*5)&gt;=10,10,((VLOOKUP($C23,'Base de estudo'!$C$3:$L$28,8,0))/(VLOOKUP(J$5,'Base comparativa'!$C$3:$D$12,2,0))*5))</f>
        <v>5.4290718038528896</v>
      </c>
      <c r="K23" s="18">
        <f>IF(((VLOOKUP($C23,'Base de estudo'!$C$3:$L$28,9,0))/(VLOOKUP(K$5,'Base comparativa'!$C$3:$D$12,2,0))*5)&gt;=10,10,((VLOOKUP($C23,'Base de estudo'!$C$3:$L$28,9,0))/(VLOOKUP(K$5,'Base comparativa'!$C$3:$D$12,2,0))*5))</f>
        <v>4.8828125</v>
      </c>
      <c r="L23" s="18">
        <f>IF(((VLOOKUP($C23,'Base de estudo'!$C$3:$L$28,10,0))/(VLOOKUP(L$5,'Base comparativa'!$C$3:$D$12,2,0))*5)&gt;=10,10,((VLOOKUP($C23,'Base de estudo'!$C$3:$L$28,10,0))/(VLOOKUP(L$5,'Base comparativa'!$C$3:$D$12,2,0))*5))</f>
        <v>8.8716384807319102</v>
      </c>
      <c r="M23" s="19">
        <f t="shared" si="1"/>
        <v>7.8</v>
      </c>
      <c r="N23" s="20">
        <f>VLOOKUP(C23,'Base de estudo'!C21:M46,11,0)</f>
        <v>6988</v>
      </c>
      <c r="O23" s="24" t="s">
        <v>79</v>
      </c>
      <c r="P23" s="20">
        <v>1200</v>
      </c>
    </row>
    <row r="24" spans="1:16" x14ac:dyDescent="0.25">
      <c r="A24" s="20"/>
      <c r="B24" s="12" t="s">
        <v>24</v>
      </c>
      <c r="C24" s="15" t="s">
        <v>41</v>
      </c>
      <c r="D24" s="18">
        <f>IF(((VLOOKUP($C24,'Base de estudo'!$C$3:$L$28,2,0))/(VLOOKUP(D$5,'Base comparativa'!$C$3:$D$12,2,0))*5)&gt;=10,10,((VLOOKUP($C24,'Base de estudo'!$C$3:$L$28,2,0))/(VLOOKUP(D$5,'Base comparativa'!$C$3:$D$12,2,0))*5))</f>
        <v>5.8150184481460263</v>
      </c>
      <c r="E24" s="18">
        <f>IF(((VLOOKUP($C24,'Base de estudo'!$C$3:$L$28,3,0))/(VLOOKUP(E$5,'Base comparativa'!$C$3:$D$12,2,0))*5)&gt;=10,10,((VLOOKUP($C24,'Base de estudo'!$C$3:$L$28,3,0))/(VLOOKUP(E$5,'Base comparativa'!$C$3:$D$12,2,0))*5))</f>
        <v>6.0641852961511864</v>
      </c>
      <c r="F24" s="18">
        <f>IF(((VLOOKUP($C24,'Base de estudo'!$C$3:$L$28,4,0))/(VLOOKUP(F$5,'Base comparativa'!$C$3:$D$12,2,0))*5)&gt;=10,10,((VLOOKUP($C24,'Base de estudo'!$C$3:$L$28,4,0))/(VLOOKUP(F$5,'Base comparativa'!$C$3:$D$12,2,0))*5))</f>
        <v>9.9750623441396513</v>
      </c>
      <c r="G24" s="18">
        <f>IF(((VLOOKUP($C24,'Base de estudo'!$C$3:$L$28,5,0))/(VLOOKUP(G$5,'Base comparativa'!$C$3:$D$12,2,0))*5)&gt;=10,10,((VLOOKUP($C24,'Base de estudo'!$C$3:$L$28,5,0))/(VLOOKUP(G$5,'Base comparativa'!$C$3:$D$12,2,0))*5))</f>
        <v>8.5604770017035783</v>
      </c>
      <c r="H24" s="18">
        <f>IF(((VLOOKUP($C24,'Base de estudo'!$C$3:$L$28,6,0))/(VLOOKUP(H$5,'Base comparativa'!$C$3:$D$12,2,0))*5)&gt;=10,10,((VLOOKUP($C24,'Base de estudo'!$C$3:$L$28,6,0))/(VLOOKUP(H$5,'Base comparativa'!$C$3:$D$12,2,0))*5))</f>
        <v>6.7796610169491522</v>
      </c>
      <c r="I24" s="18">
        <f>IF(((VLOOKUP($C24,'Base de estudo'!$C$3:$L$28,7,0))/(VLOOKUP(I$5,'Base comparativa'!$C$3:$D$12,2,0))*5)&gt;=10,10,((VLOOKUP($C24,'Base de estudo'!$C$3:$L$28,7,0))/(VLOOKUP(I$5,'Base comparativa'!$C$3:$D$12,2,0))*5))</f>
        <v>10</v>
      </c>
      <c r="J24" s="18">
        <f>IF(((VLOOKUP($C24,'Base de estudo'!$C$3:$L$28,8,0))/(VLOOKUP(J$5,'Base comparativa'!$C$3:$D$12,2,0))*5)&gt;=10,10,((VLOOKUP($C24,'Base de estudo'!$C$3:$L$28,8,0))/(VLOOKUP(J$5,'Base comparativa'!$C$3:$D$12,2,0))*5))</f>
        <v>5.4290718038528896</v>
      </c>
      <c r="K24" s="18">
        <f>IF(((VLOOKUP($C24,'Base de estudo'!$C$3:$L$28,9,0))/(VLOOKUP(K$5,'Base comparativa'!$C$3:$D$12,2,0))*5)&gt;=10,10,((VLOOKUP($C24,'Base de estudo'!$C$3:$L$28,9,0))/(VLOOKUP(K$5,'Base comparativa'!$C$3:$D$12,2,0))*5))</f>
        <v>4.8828125</v>
      </c>
      <c r="L24" s="18">
        <f>IF(((VLOOKUP($C24,'Base de estudo'!$C$3:$L$28,10,0))/(VLOOKUP(L$5,'Base comparativa'!$C$3:$D$12,2,0))*5)&gt;=10,10,((VLOOKUP($C24,'Base de estudo'!$C$3:$L$28,10,0))/(VLOOKUP(L$5,'Base comparativa'!$C$3:$D$12,2,0))*5))</f>
        <v>10</v>
      </c>
      <c r="M24" s="19">
        <f t="shared" si="1"/>
        <v>7.5</v>
      </c>
      <c r="N24" s="20">
        <f>VLOOKUP(C24,'Base de estudo'!C19:M44,11,0)</f>
        <v>5999</v>
      </c>
      <c r="O24" s="24" t="s">
        <v>79</v>
      </c>
      <c r="P24" s="20">
        <v>1200</v>
      </c>
    </row>
    <row r="25" spans="1:16" x14ac:dyDescent="0.25">
      <c r="A25" s="20"/>
      <c r="B25" s="12" t="s">
        <v>24</v>
      </c>
      <c r="C25" s="15" t="s">
        <v>44</v>
      </c>
      <c r="D25" s="18">
        <f>IF(((VLOOKUP($C25,'Base de estudo'!$C$3:$L$28,2,0))/(VLOOKUP(D$5,'Base comparativa'!$C$3:$D$12,2,0))*5)&gt;=10,10,((VLOOKUP($C25,'Base de estudo'!$C$3:$L$28,2,0))/(VLOOKUP(D$5,'Base comparativa'!$C$3:$D$12,2,0))*5))</f>
        <v>4.9427656809241229</v>
      </c>
      <c r="E25" s="18">
        <f>IF(((VLOOKUP($C25,'Base de estudo'!$C$3:$L$28,3,0))/(VLOOKUP(E$5,'Base comparativa'!$C$3:$D$12,2,0))*5)&gt;=10,10,((VLOOKUP($C25,'Base de estudo'!$C$3:$L$28,3,0))/(VLOOKUP(E$5,'Base comparativa'!$C$3:$D$12,2,0))*5))</f>
        <v>7.922332334639318</v>
      </c>
      <c r="F25" s="18">
        <f>IF(((VLOOKUP($C25,'Base de estudo'!$C$3:$L$28,4,0))/(VLOOKUP(F$5,'Base comparativa'!$C$3:$D$12,2,0))*5)&gt;=10,10,((VLOOKUP($C25,'Base de estudo'!$C$3:$L$28,4,0))/(VLOOKUP(F$5,'Base comparativa'!$C$3:$D$12,2,0))*5))</f>
        <v>9.9750623441396513</v>
      </c>
      <c r="G25" s="18">
        <f>IF(((VLOOKUP($C25,'Base de estudo'!$C$3:$L$28,5,0))/(VLOOKUP(G$5,'Base comparativa'!$C$3:$D$12,2,0))*5)&gt;=10,10,((VLOOKUP($C25,'Base de estudo'!$C$3:$L$28,5,0))/(VLOOKUP(G$5,'Base comparativa'!$C$3:$D$12,2,0))*5))</f>
        <v>7.3339011925042588</v>
      </c>
      <c r="H25" s="18">
        <f>IF(((VLOOKUP($C25,'Base de estudo'!$C$3:$L$28,6,0))/(VLOOKUP(H$5,'Base comparativa'!$C$3:$D$12,2,0))*5)&gt;=10,10,((VLOOKUP($C25,'Base de estudo'!$C$3:$L$28,6,0))/(VLOOKUP(H$5,'Base comparativa'!$C$3:$D$12,2,0))*5))</f>
        <v>8.5875706214689256</v>
      </c>
      <c r="I25" s="18">
        <f>IF(((VLOOKUP($C25,'Base de estudo'!$C$3:$L$28,7,0))/(VLOOKUP(I$5,'Base comparativa'!$C$3:$D$12,2,0))*5)&gt;=10,10,((VLOOKUP($C25,'Base de estudo'!$C$3:$L$28,7,0))/(VLOOKUP(I$5,'Base comparativa'!$C$3:$D$12,2,0))*5))</f>
        <v>7.2939460247994159</v>
      </c>
      <c r="J25" s="18">
        <f>IF(((VLOOKUP($C25,'Base de estudo'!$C$3:$L$28,8,0))/(VLOOKUP(J$5,'Base comparativa'!$C$3:$D$12,2,0))*5)&gt;=10,10,((VLOOKUP($C25,'Base de estudo'!$C$3:$L$28,8,0))/(VLOOKUP(J$5,'Base comparativa'!$C$3:$D$12,2,0))*5))</f>
        <v>5.3415061295971977</v>
      </c>
      <c r="K25" s="18">
        <f>IF(((VLOOKUP($C25,'Base de estudo'!$C$3:$L$28,9,0))/(VLOOKUP(K$5,'Base comparativa'!$C$3:$D$12,2,0))*5)&gt;=10,10,((VLOOKUP($C25,'Base de estudo'!$C$3:$L$28,9,0))/(VLOOKUP(K$5,'Base comparativa'!$C$3:$D$12,2,0))*5))</f>
        <v>4.8828125</v>
      </c>
      <c r="L25" s="18">
        <f>IF(((VLOOKUP($C25,'Base de estudo'!$C$3:$L$28,10,0))/(VLOOKUP(L$5,'Base comparativa'!$C$3:$D$12,2,0))*5)&gt;=10,10,((VLOOKUP($C25,'Base de estudo'!$C$3:$L$28,10,0))/(VLOOKUP(L$5,'Base comparativa'!$C$3:$D$12,2,0))*5))</f>
        <v>10</v>
      </c>
      <c r="M25" s="19">
        <f t="shared" si="1"/>
        <v>7.36</v>
      </c>
      <c r="N25" s="20">
        <f>VLOOKUP(C25,'Base de estudo'!C22:M47,11,0)</f>
        <v>7586.16</v>
      </c>
      <c r="O25" s="24" t="s">
        <v>78</v>
      </c>
      <c r="P25" s="20">
        <v>2463</v>
      </c>
    </row>
    <row r="26" spans="1:16" x14ac:dyDescent="0.25">
      <c r="A26" s="20"/>
      <c r="B26" s="12" t="s">
        <v>25</v>
      </c>
      <c r="C26" s="15" t="s">
        <v>45</v>
      </c>
      <c r="D26" s="18">
        <f>IF(((VLOOKUP($C26,'Base de estudo'!$C$3:$L$28,2,0))/(VLOOKUP(D$5,'Base comparativa'!$C$3:$D$12,2,0))*5)&gt;=10,10,((VLOOKUP($C26,'Base de estudo'!$C$3:$L$28,2,0))/(VLOOKUP(D$5,'Base comparativa'!$C$3:$D$12,2,0))*5))</f>
        <v>7.268773060182534</v>
      </c>
      <c r="E26" s="18">
        <f>IF(((VLOOKUP($C26,'Base de estudo'!$C$3:$L$28,3,0))/(VLOOKUP(E$5,'Base comparativa'!$C$3:$D$12,2,0))*5)&gt;=10,10,((VLOOKUP($C26,'Base de estudo'!$C$3:$L$28,3,0))/(VLOOKUP(E$5,'Base comparativa'!$C$3:$D$12,2,0))*5))</f>
        <v>7.4181839133440883</v>
      </c>
      <c r="F26" s="18">
        <f>IF(((VLOOKUP($C26,'Base de estudo'!$C$3:$L$28,4,0))/(VLOOKUP(F$5,'Base comparativa'!$C$3:$D$12,2,0))*5)&gt;=10,10,((VLOOKUP($C26,'Base de estudo'!$C$3:$L$28,4,0))/(VLOOKUP(F$5,'Base comparativa'!$C$3:$D$12,2,0))*5))</f>
        <v>10</v>
      </c>
      <c r="G26" s="18">
        <f>IF(((VLOOKUP($C26,'Base de estudo'!$C$3:$L$28,5,0))/(VLOOKUP(G$5,'Base comparativa'!$C$3:$D$12,2,0))*5)&gt;=10,10,((VLOOKUP($C26,'Base de estudo'!$C$3:$L$28,5,0))/(VLOOKUP(G$5,'Base comparativa'!$C$3:$D$12,2,0))*5))</f>
        <v>7.367972742759795</v>
      </c>
      <c r="H26" s="18">
        <f>IF(((VLOOKUP($C26,'Base de estudo'!$C$3:$L$28,6,0))/(VLOOKUP(H$5,'Base comparativa'!$C$3:$D$12,2,0))*5)&gt;=10,10,((VLOOKUP($C26,'Base de estudo'!$C$3:$L$28,6,0))/(VLOOKUP(H$5,'Base comparativa'!$C$3:$D$12,2,0))*5))</f>
        <v>9.0395480225988702</v>
      </c>
      <c r="I26" s="18">
        <f>IF(((VLOOKUP($C26,'Base de estudo'!$C$3:$L$28,7,0))/(VLOOKUP(I$5,'Base comparativa'!$C$3:$D$12,2,0))*5)&gt;=10,10,((VLOOKUP($C26,'Base de estudo'!$C$3:$L$28,7,0))/(VLOOKUP(I$5,'Base comparativa'!$C$3:$D$12,2,0))*5))</f>
        <v>10</v>
      </c>
      <c r="J26" s="18">
        <f>IF(((VLOOKUP($C26,'Base de estudo'!$C$3:$L$28,8,0))/(VLOOKUP(J$5,'Base comparativa'!$C$3:$D$12,2,0))*5)&gt;=10,10,((VLOOKUP($C26,'Base de estudo'!$C$3:$L$28,8,0))/(VLOOKUP(J$5,'Base comparativa'!$C$3:$D$12,2,0))*5))</f>
        <v>5.9632224168126093</v>
      </c>
      <c r="K26" s="18">
        <f>IF(((VLOOKUP($C26,'Base de estudo'!$C$3:$L$28,9,0))/(VLOOKUP(K$5,'Base comparativa'!$C$3:$D$12,2,0))*5)&gt;=10,10,((VLOOKUP($C26,'Base de estudo'!$C$3:$L$28,9,0))/(VLOOKUP(K$5,'Base comparativa'!$C$3:$D$12,2,0))*5))</f>
        <v>9.765625</v>
      </c>
      <c r="L26" s="18">
        <f>IF(((VLOOKUP($C26,'Base de estudo'!$C$3:$L$28,10,0))/(VLOOKUP(L$5,'Base comparativa'!$C$3:$D$12,2,0))*5)&gt;=10,10,((VLOOKUP($C26,'Base de estudo'!$C$3:$L$28,10,0))/(VLOOKUP(L$5,'Base comparativa'!$C$3:$D$12,2,0))*5))</f>
        <v>10</v>
      </c>
      <c r="M26" s="19">
        <f t="shared" si="1"/>
        <v>8.5399999999999991</v>
      </c>
      <c r="N26" s="20">
        <f>VLOOKUP(C26,'Base de estudo'!C23:M48,11,0)</f>
        <v>4780</v>
      </c>
      <c r="O26" s="24" t="s">
        <v>80</v>
      </c>
      <c r="P26" s="20">
        <v>330</v>
      </c>
    </row>
    <row r="27" spans="1:16" x14ac:dyDescent="0.25">
      <c r="A27" s="20"/>
      <c r="B27" s="12" t="s">
        <v>25</v>
      </c>
      <c r="C27" s="15" t="s">
        <v>46</v>
      </c>
      <c r="D27" s="18">
        <f>IF(((VLOOKUP($C27,'Base de estudo'!$C$3:$L$28,2,0))/(VLOOKUP(D$5,'Base comparativa'!$C$3:$D$12,2,0))*5)&gt;=10,10,((VLOOKUP($C27,'Base de estudo'!$C$3:$L$28,2,0))/(VLOOKUP(D$5,'Base comparativa'!$C$3:$D$12,2,0))*5))</f>
        <v>6.6872712153679315</v>
      </c>
      <c r="E27" s="18">
        <f>IF(((VLOOKUP($C27,'Base de estudo'!$C$3:$L$28,3,0))/(VLOOKUP(E$5,'Base comparativa'!$C$3:$D$12,2,0))*5)&gt;=10,10,((VLOOKUP($C27,'Base de estudo'!$C$3:$L$28,3,0))/(VLOOKUP(E$5,'Base comparativa'!$C$3:$D$12,2,0))*5))</f>
        <v>7.4181839133440883</v>
      </c>
      <c r="F27" s="18">
        <f>IF(((VLOOKUP($C27,'Base de estudo'!$C$3:$L$28,4,0))/(VLOOKUP(F$5,'Base comparativa'!$C$3:$D$12,2,0))*5)&gt;=10,10,((VLOOKUP($C27,'Base de estudo'!$C$3:$L$28,4,0))/(VLOOKUP(F$5,'Base comparativa'!$C$3:$D$12,2,0))*5))</f>
        <v>10</v>
      </c>
      <c r="G27" s="18">
        <f>IF(((VLOOKUP($C27,'Base de estudo'!$C$3:$L$28,5,0))/(VLOOKUP(G$5,'Base comparativa'!$C$3:$D$12,2,0))*5)&gt;=10,10,((VLOOKUP($C27,'Base de estudo'!$C$3:$L$28,5,0))/(VLOOKUP(G$5,'Base comparativa'!$C$3:$D$12,2,0))*5))</f>
        <v>7.367972742759795</v>
      </c>
      <c r="H27" s="18">
        <f>IF(((VLOOKUP($C27,'Base de estudo'!$C$3:$L$28,6,0))/(VLOOKUP(H$5,'Base comparativa'!$C$3:$D$12,2,0))*5)&gt;=10,10,((VLOOKUP($C27,'Base de estudo'!$C$3:$L$28,6,0))/(VLOOKUP(H$5,'Base comparativa'!$C$3:$D$12,2,0))*5))</f>
        <v>9.0395480225988702</v>
      </c>
      <c r="I27" s="18">
        <f>IF(((VLOOKUP($C27,'Base de estudo'!$C$3:$L$28,7,0))/(VLOOKUP(I$5,'Base comparativa'!$C$3:$D$12,2,0))*5)&gt;=10,10,((VLOOKUP($C27,'Base de estudo'!$C$3:$L$28,7,0))/(VLOOKUP(I$5,'Base comparativa'!$C$3:$D$12,2,0))*5))</f>
        <v>10</v>
      </c>
      <c r="J27" s="18">
        <f>IF(((VLOOKUP($C27,'Base de estudo'!$C$3:$L$28,8,0))/(VLOOKUP(J$5,'Base comparativa'!$C$3:$D$12,2,0))*5)&gt;=10,10,((VLOOKUP($C27,'Base de estudo'!$C$3:$L$28,8,0))/(VLOOKUP(J$5,'Base comparativa'!$C$3:$D$12,2,0))*5))</f>
        <v>5.9632224168126093</v>
      </c>
      <c r="K27" s="18">
        <f>IF(((VLOOKUP($C27,'Base de estudo'!$C$3:$L$28,9,0))/(VLOOKUP(K$5,'Base comparativa'!$C$3:$D$12,2,0))*5)&gt;=10,10,((VLOOKUP($C27,'Base de estudo'!$C$3:$L$28,9,0))/(VLOOKUP(K$5,'Base comparativa'!$C$3:$D$12,2,0))*5))</f>
        <v>9.765625</v>
      </c>
      <c r="L27" s="18">
        <f>IF(((VLOOKUP($C27,'Base de estudo'!$C$3:$L$28,10,0))/(VLOOKUP(L$5,'Base comparativa'!$C$3:$D$12,2,0))*5)&gt;=10,10,((VLOOKUP($C27,'Base de estudo'!$C$3:$L$28,10,0))/(VLOOKUP(L$5,'Base comparativa'!$C$3:$D$12,2,0))*5))</f>
        <v>10</v>
      </c>
      <c r="M27" s="19">
        <f t="shared" si="1"/>
        <v>8.4700000000000006</v>
      </c>
      <c r="N27" s="20">
        <f>VLOOKUP(C27,'Base de estudo'!C24:M49,11,0)</f>
        <v>6449.01</v>
      </c>
      <c r="O27" s="24" t="s">
        <v>80</v>
      </c>
      <c r="P27" s="20">
        <v>330</v>
      </c>
    </row>
    <row r="28" spans="1:16" x14ac:dyDescent="0.25">
      <c r="A28" s="20"/>
      <c r="B28" s="12" t="s">
        <v>25</v>
      </c>
      <c r="C28" s="15" t="s">
        <v>47</v>
      </c>
      <c r="D28" s="18">
        <f>IF(((VLOOKUP($C28,'Base de estudo'!$C$3:$L$28,2,0))/(VLOOKUP(D$5,'Base comparativa'!$C$3:$D$12,2,0))*5)&gt;=10,10,((VLOOKUP($C28,'Base de estudo'!$C$3:$L$28,2,0))/(VLOOKUP(D$5,'Base comparativa'!$C$3:$D$12,2,0))*5))</f>
        <v>6.9489470455345028</v>
      </c>
      <c r="E28" s="18">
        <f>IF(((VLOOKUP($C28,'Base de estudo'!$C$3:$L$28,3,0))/(VLOOKUP(E$5,'Base comparativa'!$C$3:$D$12,2,0))*5)&gt;=10,10,((VLOOKUP($C28,'Base de estudo'!$C$3:$L$28,3,0))/(VLOOKUP(E$5,'Base comparativa'!$C$3:$D$12,2,0))*5))</f>
        <v>5.5600368748559568</v>
      </c>
      <c r="F28" s="18">
        <f>IF(((VLOOKUP($C28,'Base de estudo'!$C$3:$L$28,4,0))/(VLOOKUP(F$5,'Base comparativa'!$C$3:$D$12,2,0))*5)&gt;=10,10,((VLOOKUP($C28,'Base de estudo'!$C$3:$L$28,4,0))/(VLOOKUP(F$5,'Base comparativa'!$C$3:$D$12,2,0))*5))</f>
        <v>10</v>
      </c>
      <c r="G28" s="18">
        <f>IF(((VLOOKUP($C28,'Base de estudo'!$C$3:$L$28,5,0))/(VLOOKUP(G$5,'Base comparativa'!$C$3:$D$12,2,0))*5)&gt;=10,10,((VLOOKUP($C28,'Base de estudo'!$C$3:$L$28,5,0))/(VLOOKUP(G$5,'Base comparativa'!$C$3:$D$12,2,0))*5))</f>
        <v>7.4957410562180584</v>
      </c>
      <c r="H28" s="18">
        <f>IF(((VLOOKUP($C28,'Base de estudo'!$C$3:$L$28,6,0))/(VLOOKUP(H$5,'Base comparativa'!$C$3:$D$12,2,0))*5)&gt;=10,10,((VLOOKUP($C28,'Base de estudo'!$C$3:$L$28,6,0))/(VLOOKUP(H$5,'Base comparativa'!$C$3:$D$12,2,0))*5))</f>
        <v>6.610169491525423</v>
      </c>
      <c r="I28" s="18">
        <f>IF(((VLOOKUP($C28,'Base de estudo'!$C$3:$L$28,7,0))/(VLOOKUP(I$5,'Base comparativa'!$C$3:$D$12,2,0))*5)&gt;=10,10,((VLOOKUP($C28,'Base de estudo'!$C$3:$L$28,7,0))/(VLOOKUP(I$5,'Base comparativa'!$C$3:$D$12,2,0))*5))</f>
        <v>10</v>
      </c>
      <c r="J28" s="18">
        <f>IF(((VLOOKUP($C28,'Base de estudo'!$C$3:$L$28,8,0))/(VLOOKUP(J$5,'Base comparativa'!$C$3:$D$12,2,0))*5)&gt;=10,10,((VLOOKUP($C28,'Base de estudo'!$C$3:$L$28,8,0))/(VLOOKUP(J$5,'Base comparativa'!$C$3:$D$12,2,0))*5))</f>
        <v>5.8406304728546408</v>
      </c>
      <c r="K28" s="18">
        <f>IF(((VLOOKUP($C28,'Base de estudo'!$C$3:$L$28,9,0))/(VLOOKUP(K$5,'Base comparativa'!$C$3:$D$12,2,0))*5)&gt;=10,10,((VLOOKUP($C28,'Base de estudo'!$C$3:$L$28,9,0))/(VLOOKUP(K$5,'Base comparativa'!$C$3:$D$12,2,0))*5))</f>
        <v>9.765625</v>
      </c>
      <c r="L28" s="18">
        <f>IF(((VLOOKUP($C28,'Base de estudo'!$C$3:$L$28,10,0))/(VLOOKUP(L$5,'Base comparativa'!$C$3:$D$12,2,0))*5)&gt;=10,10,((VLOOKUP($C28,'Base de estudo'!$C$3:$L$28,10,0))/(VLOOKUP(L$5,'Base comparativa'!$C$3:$D$12,2,0))*5))</f>
        <v>10</v>
      </c>
      <c r="M28" s="19">
        <f t="shared" si="1"/>
        <v>8.02</v>
      </c>
      <c r="N28" s="20">
        <f>VLOOKUP(C28,'Base de estudo'!C25:M50,11,0)</f>
        <v>3120</v>
      </c>
      <c r="O28" s="24" t="s">
        <v>80</v>
      </c>
      <c r="P28" s="20">
        <v>330</v>
      </c>
    </row>
    <row r="29" spans="1:16" x14ac:dyDescent="0.25">
      <c r="A29" s="20"/>
      <c r="B29" s="12" t="s">
        <v>25</v>
      </c>
      <c r="C29" s="15" t="s">
        <v>48</v>
      </c>
      <c r="D29" s="18">
        <f>IF(((VLOOKUP($C29,'Base de estudo'!$C$3:$L$28,2,0))/(VLOOKUP(D$5,'Base comparativa'!$C$3:$D$12,2,0))*5)&gt;=10,10,((VLOOKUP($C29,'Base de estudo'!$C$3:$L$28,2,0))/(VLOOKUP(D$5,'Base comparativa'!$C$3:$D$12,2,0))*5))</f>
        <v>5.8150184481460263</v>
      </c>
      <c r="E29" s="18">
        <f>IF(((VLOOKUP($C29,'Base de estudo'!$C$3:$L$28,3,0))/(VLOOKUP(E$5,'Base comparativa'!$C$3:$D$12,2,0))*5)&gt;=10,10,((VLOOKUP($C29,'Base de estudo'!$C$3:$L$28,3,0))/(VLOOKUP(E$5,'Base comparativa'!$C$3:$D$12,2,0))*5))</f>
        <v>5.8049089651993544</v>
      </c>
      <c r="F29" s="18">
        <f>IF(((VLOOKUP($C29,'Base de estudo'!$C$3:$L$28,4,0))/(VLOOKUP(F$5,'Base comparativa'!$C$3:$D$12,2,0))*5)&gt;=10,10,((VLOOKUP($C29,'Base de estudo'!$C$3:$L$28,4,0))/(VLOOKUP(F$5,'Base comparativa'!$C$3:$D$12,2,0))*5))</f>
        <v>10</v>
      </c>
      <c r="G29" s="18">
        <f>IF(((VLOOKUP($C29,'Base de estudo'!$C$3:$L$28,5,0))/(VLOOKUP(G$5,'Base comparativa'!$C$3:$D$12,2,0))*5)&gt;=10,10,((VLOOKUP($C29,'Base de estudo'!$C$3:$L$28,5,0))/(VLOOKUP(G$5,'Base comparativa'!$C$3:$D$12,2,0))*5))</f>
        <v>7.4190800681431011</v>
      </c>
      <c r="H29" s="18">
        <f>IF(((VLOOKUP($C29,'Base de estudo'!$C$3:$L$28,6,0))/(VLOOKUP(H$5,'Base comparativa'!$C$3:$D$12,2,0))*5)&gt;=10,10,((VLOOKUP($C29,'Base de estudo'!$C$3:$L$28,6,0))/(VLOOKUP(H$5,'Base comparativa'!$C$3:$D$12,2,0))*5))</f>
        <v>6.610169491525423</v>
      </c>
      <c r="I29" s="18">
        <f>IF(((VLOOKUP($C29,'Base de estudo'!$C$3:$L$28,7,0))/(VLOOKUP(I$5,'Base comparativa'!$C$3:$D$12,2,0))*5)&gt;=10,10,((VLOOKUP($C29,'Base de estudo'!$C$3:$L$28,7,0))/(VLOOKUP(I$5,'Base comparativa'!$C$3:$D$12,2,0))*5))</f>
        <v>10</v>
      </c>
      <c r="J29" s="18">
        <f>IF(((VLOOKUP($C29,'Base de estudo'!$C$3:$L$28,8,0))/(VLOOKUP(J$5,'Base comparativa'!$C$3:$D$12,2,0))*5)&gt;=10,10,((VLOOKUP($C29,'Base de estudo'!$C$3:$L$28,8,0))/(VLOOKUP(J$5,'Base comparativa'!$C$3:$D$12,2,0))*5))</f>
        <v>5.5954465849387036</v>
      </c>
      <c r="K29" s="18">
        <f>IF(((VLOOKUP($C29,'Base de estudo'!$C$3:$L$28,9,0))/(VLOOKUP(K$5,'Base comparativa'!$C$3:$D$12,2,0))*5)&gt;=10,10,((VLOOKUP($C29,'Base de estudo'!$C$3:$L$28,9,0))/(VLOOKUP(K$5,'Base comparativa'!$C$3:$D$12,2,0))*5))</f>
        <v>9.765625</v>
      </c>
      <c r="L29" s="18">
        <f>IF(((VLOOKUP($C29,'Base de estudo'!$C$3:$L$28,10,0))/(VLOOKUP(L$5,'Base comparativa'!$C$3:$D$12,2,0))*5)&gt;=10,10,((VLOOKUP($C29,'Base de estudo'!$C$3:$L$28,10,0))/(VLOOKUP(L$5,'Base comparativa'!$C$3:$D$12,2,0))*5))</f>
        <v>10</v>
      </c>
      <c r="M29" s="19">
        <f t="shared" si="1"/>
        <v>7.89</v>
      </c>
      <c r="N29" s="20">
        <f>VLOOKUP(C29,'Base de estudo'!C26:M51,11,0)</f>
        <v>2299</v>
      </c>
      <c r="O29" s="24" t="s">
        <v>81</v>
      </c>
      <c r="P29" s="20">
        <v>222</v>
      </c>
    </row>
    <row r="30" spans="1:16" x14ac:dyDescent="0.25">
      <c r="A30" s="20"/>
      <c r="B30" s="12" t="s">
        <v>25</v>
      </c>
      <c r="C30" s="15" t="s">
        <v>49</v>
      </c>
      <c r="D30" s="18">
        <f>IF(((VLOOKUP($C30,'Base de estudo'!$C$3:$L$28,2,0))/(VLOOKUP(D$5,'Base comparativa'!$C$3:$D$12,2,0))*5)&gt;=10,10,((VLOOKUP($C30,'Base de estudo'!$C$3:$L$28,2,0))/(VLOOKUP(D$5,'Base comparativa'!$C$3:$D$12,2,0))*5))</f>
        <v>4.7973902197204721</v>
      </c>
      <c r="E30" s="18">
        <f>IF(((VLOOKUP($C30,'Base de estudo'!$C$3:$L$28,3,0))/(VLOOKUP(E$5,'Base comparativa'!$C$3:$D$12,2,0))*5)&gt;=10,10,((VLOOKUP($C30,'Base de estudo'!$C$3:$L$28,3,0))/(VLOOKUP(E$5,'Base comparativa'!$C$3:$D$12,2,0))*5))</f>
        <v>5.8049089651993544</v>
      </c>
      <c r="F30" s="18">
        <f>IF(((VLOOKUP($C30,'Base de estudo'!$C$3:$L$28,4,0))/(VLOOKUP(F$5,'Base comparativa'!$C$3:$D$12,2,0))*5)&gt;=10,10,((VLOOKUP($C30,'Base de estudo'!$C$3:$L$28,4,0))/(VLOOKUP(F$5,'Base comparativa'!$C$3:$D$12,2,0))*5))</f>
        <v>9.9750623441396513</v>
      </c>
      <c r="G30" s="18">
        <f>IF(((VLOOKUP($C30,'Base de estudo'!$C$3:$L$28,5,0))/(VLOOKUP(G$5,'Base comparativa'!$C$3:$D$12,2,0))*5)&gt;=10,10,((VLOOKUP($C30,'Base de estudo'!$C$3:$L$28,5,0))/(VLOOKUP(G$5,'Base comparativa'!$C$3:$D$12,2,0))*5))</f>
        <v>7.367972742759795</v>
      </c>
      <c r="H30" s="18">
        <f>IF(((VLOOKUP($C30,'Base de estudo'!$C$3:$L$28,6,0))/(VLOOKUP(H$5,'Base comparativa'!$C$3:$D$12,2,0))*5)&gt;=10,10,((VLOOKUP($C30,'Base de estudo'!$C$3:$L$28,6,0))/(VLOOKUP(H$5,'Base comparativa'!$C$3:$D$12,2,0))*5))</f>
        <v>6.610169491525423</v>
      </c>
      <c r="I30" s="18">
        <f>IF(((VLOOKUP($C30,'Base de estudo'!$C$3:$L$28,7,0))/(VLOOKUP(I$5,'Base comparativa'!$C$3:$D$12,2,0))*5)&gt;=10,10,((VLOOKUP($C30,'Base de estudo'!$C$3:$L$28,7,0))/(VLOOKUP(I$5,'Base comparativa'!$C$3:$D$12,2,0))*5))</f>
        <v>10</v>
      </c>
      <c r="J30" s="18">
        <f>IF(((VLOOKUP($C30,'Base de estudo'!$C$3:$L$28,8,0))/(VLOOKUP(J$5,'Base comparativa'!$C$3:$D$12,2,0))*5)&gt;=10,10,((VLOOKUP($C30,'Base de estudo'!$C$3:$L$28,8,0))/(VLOOKUP(J$5,'Base comparativa'!$C$3:$D$12,2,0))*5))</f>
        <v>5.5954465849387036</v>
      </c>
      <c r="K30" s="18">
        <f>IF(((VLOOKUP($C30,'Base de estudo'!$C$3:$L$28,9,0))/(VLOOKUP(K$5,'Base comparativa'!$C$3:$D$12,2,0))*5)&gt;=10,10,((VLOOKUP($C30,'Base de estudo'!$C$3:$L$28,9,0))/(VLOOKUP(K$5,'Base comparativa'!$C$3:$D$12,2,0))*5))</f>
        <v>9.765625</v>
      </c>
      <c r="L30" s="18">
        <f>IF(((VLOOKUP($C30,'Base de estudo'!$C$3:$L$28,10,0))/(VLOOKUP(L$5,'Base comparativa'!$C$3:$D$12,2,0))*5)&gt;=10,10,((VLOOKUP($C30,'Base de estudo'!$C$3:$L$28,10,0))/(VLOOKUP(L$5,'Base comparativa'!$C$3:$D$12,2,0))*5))</f>
        <v>8.8716384807319102</v>
      </c>
      <c r="M30" s="19">
        <f t="shared" si="1"/>
        <v>7.64</v>
      </c>
      <c r="N30" s="20">
        <f>VLOOKUP(C30,'Base de estudo'!C27:M52,11,0)</f>
        <v>1599</v>
      </c>
      <c r="O30" s="24" t="s">
        <v>81</v>
      </c>
      <c r="P30" s="20">
        <v>222</v>
      </c>
    </row>
  </sheetData>
  <autoFilter ref="B5:P30" xr:uid="{E263A225-7311-4460-A366-06A43AC30413}"/>
  <conditionalFormatting sqref="M6:M30">
    <cfRule type="cellIs" dxfId="3" priority="1" operator="lessThan">
      <formula>4</formula>
    </cfRule>
    <cfRule type="cellIs" dxfId="2" priority="2" operator="between">
      <formula>4</formula>
      <formula>5.99</formula>
    </cfRule>
    <cfRule type="cellIs" dxfId="1" priority="3" operator="greaterThan">
      <formula>8</formula>
    </cfRule>
    <cfRule type="cellIs" dxfId="0" priority="4" operator="greaterThan">
      <formula>6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B23E-43A9-472A-A77D-2ED67C4183C9}">
  <dimension ref="A1:F53"/>
  <sheetViews>
    <sheetView tabSelected="1" topLeftCell="A10" workbookViewId="0">
      <selection activeCell="A23" sqref="A23"/>
    </sheetView>
  </sheetViews>
  <sheetFormatPr defaultRowHeight="15" x14ac:dyDescent="0.25"/>
  <cols>
    <col min="1" max="1" width="17.5703125" bestFit="1" customWidth="1"/>
    <col min="2" max="2" width="8" style="20" bestFit="1" customWidth="1"/>
    <col min="3" max="3" width="44.42578125" style="20" bestFit="1" customWidth="1"/>
    <col min="4" max="4" width="27" style="20" bestFit="1" customWidth="1"/>
    <col min="5" max="5" width="17.42578125" bestFit="1" customWidth="1"/>
    <col min="6" max="6" width="8" bestFit="1" customWidth="1"/>
  </cols>
  <sheetData>
    <row r="1" spans="1:6" s="20" customFormat="1" x14ac:dyDescent="0.25">
      <c r="A1" s="20" t="s">
        <v>126</v>
      </c>
      <c r="B1" s="20" t="s">
        <v>127</v>
      </c>
      <c r="C1" s="20" t="s">
        <v>128</v>
      </c>
      <c r="D1" s="20" t="s">
        <v>129</v>
      </c>
      <c r="E1" s="20" t="s">
        <v>71</v>
      </c>
      <c r="F1" s="20" t="s">
        <v>127</v>
      </c>
    </row>
    <row r="2" spans="1:6" x14ac:dyDescent="0.25">
      <c r="A2" s="15" t="s">
        <v>26</v>
      </c>
      <c r="B2" s="25">
        <f>VLOOKUP(A2,'Base de estudo'!$C$3:$M$28,11,0)</f>
        <v>14999</v>
      </c>
      <c r="C2" s="25" t="s">
        <v>82</v>
      </c>
      <c r="D2" s="24" t="s">
        <v>104</v>
      </c>
      <c r="E2" s="20" t="s">
        <v>72</v>
      </c>
      <c r="F2" s="20">
        <v>4463</v>
      </c>
    </row>
    <row r="3" spans="1:6" x14ac:dyDescent="0.25">
      <c r="A3" s="15" t="s">
        <v>28</v>
      </c>
      <c r="B3" s="25">
        <f>VLOOKUP(A3,'Base de estudo'!$C$3:$M$28,11,0)</f>
        <v>10399</v>
      </c>
      <c r="C3" s="25" t="s">
        <v>83</v>
      </c>
      <c r="D3" s="24" t="s">
        <v>105</v>
      </c>
      <c r="E3" s="20" t="s">
        <v>72</v>
      </c>
      <c r="F3" s="20">
        <v>4463</v>
      </c>
    </row>
    <row r="4" spans="1:6" x14ac:dyDescent="0.25">
      <c r="A4" s="15" t="s">
        <v>30</v>
      </c>
      <c r="B4" s="25">
        <f>VLOOKUP(A4,'Base de estudo'!$C$3:$M$28,11,0)</f>
        <v>6399</v>
      </c>
      <c r="C4" s="25" t="s">
        <v>84</v>
      </c>
      <c r="D4" s="24" t="s">
        <v>106</v>
      </c>
      <c r="E4" s="24" t="s">
        <v>73</v>
      </c>
      <c r="F4" s="20">
        <v>2152</v>
      </c>
    </row>
    <row r="5" spans="1:6" x14ac:dyDescent="0.25">
      <c r="A5" s="15" t="s">
        <v>27</v>
      </c>
      <c r="B5" s="25">
        <f>VLOOKUP(A5,'Base de estudo'!$C$3:$M$28,11,0)</f>
        <v>14817</v>
      </c>
      <c r="C5" s="25" t="s">
        <v>85</v>
      </c>
      <c r="D5" s="24" t="s">
        <v>107</v>
      </c>
      <c r="E5" s="20" t="s">
        <v>72</v>
      </c>
      <c r="F5" s="20">
        <v>4463</v>
      </c>
    </row>
    <row r="6" spans="1:6" x14ac:dyDescent="0.25">
      <c r="A6" s="15" t="s">
        <v>29</v>
      </c>
      <c r="B6" s="25">
        <f>VLOOKUP(A6,'Base de estudo'!$C$3:$M$28,11,0)</f>
        <v>6999</v>
      </c>
      <c r="C6" s="25" t="s">
        <v>86</v>
      </c>
      <c r="D6" s="24" t="s">
        <v>108</v>
      </c>
      <c r="E6" s="24" t="s">
        <v>73</v>
      </c>
      <c r="F6" s="20">
        <v>2152</v>
      </c>
    </row>
    <row r="7" spans="1:6" x14ac:dyDescent="0.25">
      <c r="A7" s="15" t="s">
        <v>31</v>
      </c>
      <c r="B7" s="25">
        <f>VLOOKUP(A7,'Base de estudo'!$C$3:$M$28,11,0)</f>
        <v>2049.9</v>
      </c>
      <c r="C7" s="25" t="s">
        <v>87</v>
      </c>
      <c r="D7" s="24" t="s">
        <v>109</v>
      </c>
      <c r="E7" s="24" t="s">
        <v>74</v>
      </c>
      <c r="F7" s="20">
        <v>945</v>
      </c>
    </row>
    <row r="8" spans="1:6" x14ac:dyDescent="0.25">
      <c r="A8" s="15" t="s">
        <v>32</v>
      </c>
      <c r="B8" s="25">
        <f>VLOOKUP(A8,'Base de estudo'!$C$3:$M$28,11,0)</f>
        <v>1062</v>
      </c>
      <c r="C8" s="25" t="s">
        <v>88</v>
      </c>
      <c r="D8" s="24" t="s">
        <v>110</v>
      </c>
      <c r="E8" s="24" t="s">
        <v>74</v>
      </c>
      <c r="F8" s="20">
        <v>945</v>
      </c>
    </row>
    <row r="9" spans="1:6" x14ac:dyDescent="0.25">
      <c r="A9" s="15" t="s">
        <v>33</v>
      </c>
      <c r="B9" s="25">
        <f>VLOOKUP(A9,'Base de estudo'!$C$3:$M$28,11,0)</f>
        <v>4199</v>
      </c>
      <c r="C9" s="25" t="s">
        <v>130</v>
      </c>
      <c r="D9" s="24" t="s">
        <v>131</v>
      </c>
      <c r="E9" s="24" t="s">
        <v>74</v>
      </c>
      <c r="F9" s="20">
        <v>945</v>
      </c>
    </row>
    <row r="10" spans="1:6" x14ac:dyDescent="0.25">
      <c r="A10" s="15" t="s">
        <v>34</v>
      </c>
      <c r="B10" s="25">
        <f>VLOOKUP(A10,'Base de estudo'!$C$3:$M$28,11,0)</f>
        <v>4199</v>
      </c>
      <c r="C10" s="25" t="s">
        <v>132</v>
      </c>
      <c r="D10" s="24" t="s">
        <v>133</v>
      </c>
      <c r="E10" s="24" t="s">
        <v>75</v>
      </c>
      <c r="F10" s="20">
        <v>70</v>
      </c>
    </row>
    <row r="11" spans="1:6" x14ac:dyDescent="0.25">
      <c r="A11" s="15" t="s">
        <v>35</v>
      </c>
      <c r="B11" s="25">
        <f>VLOOKUP(A11,'Base de estudo'!$C$3:$M$28,11,0)</f>
        <v>1318</v>
      </c>
      <c r="C11" s="25" t="s">
        <v>134</v>
      </c>
      <c r="D11" s="24" t="s">
        <v>135</v>
      </c>
      <c r="E11" s="24" t="s">
        <v>75</v>
      </c>
      <c r="F11" s="20">
        <v>70</v>
      </c>
    </row>
    <row r="12" spans="1:6" x14ac:dyDescent="0.25">
      <c r="A12" s="15" t="s">
        <v>36</v>
      </c>
      <c r="B12" s="25">
        <f>VLOOKUP(A12,'Base de estudo'!$C$3:$M$28,11,0)</f>
        <v>1349</v>
      </c>
      <c r="C12" s="25" t="s">
        <v>89</v>
      </c>
      <c r="D12" s="24" t="s">
        <v>111</v>
      </c>
      <c r="E12" s="24" t="s">
        <v>76</v>
      </c>
      <c r="F12" s="20">
        <v>800</v>
      </c>
    </row>
    <row r="13" spans="1:6" x14ac:dyDescent="0.25">
      <c r="A13" s="15" t="s">
        <v>38</v>
      </c>
      <c r="B13" s="25">
        <f>VLOOKUP(A13,'Base de estudo'!$C$3:$M$28,11,0)</f>
        <v>1199</v>
      </c>
      <c r="C13" s="25" t="s">
        <v>90</v>
      </c>
      <c r="D13" s="24" t="s">
        <v>112</v>
      </c>
      <c r="E13" s="24" t="s">
        <v>77</v>
      </c>
      <c r="F13" s="20">
        <v>300</v>
      </c>
    </row>
    <row r="14" spans="1:6" x14ac:dyDescent="0.25">
      <c r="A14" s="16">
        <v>8</v>
      </c>
      <c r="B14" s="25">
        <f>VLOOKUP(A14,'Base de estudo'!$C$3:$M$28,11,0)</f>
        <v>1199</v>
      </c>
      <c r="C14" s="25" t="s">
        <v>91</v>
      </c>
      <c r="D14" s="24" t="s">
        <v>113</v>
      </c>
      <c r="E14" s="24" t="s">
        <v>77</v>
      </c>
      <c r="F14" s="20">
        <v>300</v>
      </c>
    </row>
    <row r="15" spans="1:6" x14ac:dyDescent="0.25">
      <c r="A15" s="15" t="s">
        <v>37</v>
      </c>
      <c r="B15" s="25">
        <f>VLOOKUP(A15,'Base de estudo'!$C$3:$M$28,11,0)</f>
        <v>4354</v>
      </c>
      <c r="C15" s="25" t="s">
        <v>92</v>
      </c>
      <c r="D15" s="24" t="s">
        <v>114</v>
      </c>
      <c r="E15" s="24" t="s">
        <v>76</v>
      </c>
      <c r="F15" s="20">
        <v>800</v>
      </c>
    </row>
    <row r="16" spans="1:6" x14ac:dyDescent="0.25">
      <c r="A16" s="15" t="s">
        <v>39</v>
      </c>
      <c r="B16" s="25">
        <f>VLOOKUP(A16,'Base de estudo'!$C$3:$M$28,11,0)</f>
        <v>1349</v>
      </c>
      <c r="C16" s="25" t="s">
        <v>93</v>
      </c>
      <c r="D16" s="24" t="s">
        <v>115</v>
      </c>
      <c r="E16" s="24" t="s">
        <v>76</v>
      </c>
      <c r="F16" s="20">
        <v>800</v>
      </c>
    </row>
    <row r="17" spans="1:6" x14ac:dyDescent="0.25">
      <c r="A17" s="15" t="s">
        <v>40</v>
      </c>
      <c r="B17" s="25">
        <f>VLOOKUP(A17,'Base de estudo'!$C$3:$M$28,11,0)</f>
        <v>6883</v>
      </c>
      <c r="C17" s="25" t="s">
        <v>94</v>
      </c>
      <c r="D17" s="24" t="s">
        <v>116</v>
      </c>
      <c r="E17" s="24" t="s">
        <v>78</v>
      </c>
      <c r="F17" s="20">
        <v>2463</v>
      </c>
    </row>
    <row r="18" spans="1:6" x14ac:dyDescent="0.25">
      <c r="A18" s="15" t="s">
        <v>42</v>
      </c>
      <c r="B18" s="25">
        <f>VLOOKUP(A18,'Base de estudo'!$C$3:$M$28,11,0)</f>
        <v>7399</v>
      </c>
      <c r="C18" s="25" t="s">
        <v>95</v>
      </c>
      <c r="D18" s="24" t="s">
        <v>117</v>
      </c>
      <c r="E18" s="24" t="s">
        <v>78</v>
      </c>
      <c r="F18" s="20">
        <v>2463</v>
      </c>
    </row>
    <row r="19" spans="1:6" x14ac:dyDescent="0.25">
      <c r="A19" s="15" t="s">
        <v>43</v>
      </c>
      <c r="B19" s="25">
        <f>VLOOKUP(A19,'Base de estudo'!$C$3:$M$28,11,0)</f>
        <v>6988</v>
      </c>
      <c r="C19" s="25" t="s">
        <v>96</v>
      </c>
      <c r="D19" s="24" t="s">
        <v>118</v>
      </c>
      <c r="E19" s="24" t="s">
        <v>79</v>
      </c>
      <c r="F19" s="20">
        <v>1200</v>
      </c>
    </row>
    <row r="20" spans="1:6" x14ac:dyDescent="0.25">
      <c r="A20" s="15" t="s">
        <v>41</v>
      </c>
      <c r="B20" s="25">
        <f>VLOOKUP(A20,'Base de estudo'!$C$3:$M$28,11,0)</f>
        <v>5999</v>
      </c>
      <c r="C20" s="25" t="s">
        <v>97</v>
      </c>
      <c r="D20" s="24" t="s">
        <v>119</v>
      </c>
      <c r="E20" s="24" t="s">
        <v>79</v>
      </c>
      <c r="F20" s="20">
        <v>1200</v>
      </c>
    </row>
    <row r="21" spans="1:6" x14ac:dyDescent="0.25">
      <c r="A21" s="15" t="s">
        <v>44</v>
      </c>
      <c r="B21" s="25">
        <f>VLOOKUP(A21,'Base de estudo'!$C$3:$M$28,11,0)</f>
        <v>7586.16</v>
      </c>
      <c r="C21" s="25" t="s">
        <v>98</v>
      </c>
      <c r="D21" s="24" t="s">
        <v>120</v>
      </c>
      <c r="E21" s="24" t="s">
        <v>78</v>
      </c>
      <c r="F21" s="20">
        <v>2463</v>
      </c>
    </row>
    <row r="22" spans="1:6" x14ac:dyDescent="0.25">
      <c r="A22" s="15" t="s">
        <v>45</v>
      </c>
      <c r="B22" s="25">
        <f>VLOOKUP(A22,'Base de estudo'!$C$3:$M$28,11,0)</f>
        <v>4780</v>
      </c>
      <c r="C22" s="25" t="s">
        <v>99</v>
      </c>
      <c r="D22" s="24" t="s">
        <v>121</v>
      </c>
      <c r="E22" s="24" t="s">
        <v>80</v>
      </c>
      <c r="F22" s="20">
        <v>330</v>
      </c>
    </row>
    <row r="23" spans="1:6" x14ac:dyDescent="0.25">
      <c r="A23" s="15" t="s">
        <v>46</v>
      </c>
      <c r="B23" s="25">
        <f>VLOOKUP(A23,'Base de estudo'!$C$3:$M$28,11,0)</f>
        <v>6449.01</v>
      </c>
      <c r="C23" s="25" t="s">
        <v>100</v>
      </c>
      <c r="D23" s="24" t="s">
        <v>122</v>
      </c>
      <c r="E23" s="24" t="s">
        <v>80</v>
      </c>
      <c r="F23" s="20">
        <v>330</v>
      </c>
    </row>
    <row r="24" spans="1:6" x14ac:dyDescent="0.25">
      <c r="A24" s="15" t="s">
        <v>47</v>
      </c>
      <c r="B24" s="25">
        <f>VLOOKUP(A24,'Base de estudo'!$C$3:$M$28,11,0)</f>
        <v>3120</v>
      </c>
      <c r="C24" s="25" t="s">
        <v>101</v>
      </c>
      <c r="D24" s="24" t="s">
        <v>123</v>
      </c>
      <c r="E24" s="24" t="s">
        <v>80</v>
      </c>
      <c r="F24" s="20">
        <v>330</v>
      </c>
    </row>
    <row r="25" spans="1:6" x14ac:dyDescent="0.25">
      <c r="A25" s="15" t="s">
        <v>48</v>
      </c>
      <c r="B25" s="25">
        <f>VLOOKUP(A25,'Base de estudo'!$C$3:$M$28,11,0)</f>
        <v>2299</v>
      </c>
      <c r="C25" s="25" t="s">
        <v>102</v>
      </c>
      <c r="D25" s="24" t="s">
        <v>124</v>
      </c>
      <c r="E25" s="24" t="s">
        <v>81</v>
      </c>
      <c r="F25" s="20">
        <v>222</v>
      </c>
    </row>
    <row r="26" spans="1:6" x14ac:dyDescent="0.25">
      <c r="A26" s="15" t="s">
        <v>49</v>
      </c>
      <c r="B26" s="25">
        <f>VLOOKUP(A26,'Base de estudo'!$C$3:$M$28,11,0)</f>
        <v>1599</v>
      </c>
      <c r="C26" s="25" t="s">
        <v>103</v>
      </c>
      <c r="D26" s="24" t="s">
        <v>125</v>
      </c>
      <c r="E26" s="24" t="s">
        <v>81</v>
      </c>
      <c r="F26" s="20">
        <v>222</v>
      </c>
    </row>
    <row r="52" spans="3:3" x14ac:dyDescent="0.25">
      <c r="C52" s="24"/>
    </row>
    <row r="53" spans="3:3" x14ac:dyDescent="0.25">
      <c r="C53" s="24"/>
    </row>
  </sheetData>
  <autoFilter ref="A1:F53" xr:uid="{DEA7B23E-43A9-472A-A77D-2ED67C4183C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4269E-0D60-4486-8CDB-65B7ABCECC4C}">
  <dimension ref="A1"/>
  <sheetViews>
    <sheetView workbookViewId="0">
      <selection activeCell="P11" sqref="P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3FB88FA187D84C9C9F2D39BC68C2BD" ma:contentTypeVersion="9" ma:contentTypeDescription="Create a new document." ma:contentTypeScope="" ma:versionID="cdfd46c8db423b896d0309c71bb5e1c5">
  <xsd:schema xmlns:xsd="http://www.w3.org/2001/XMLSchema" xmlns:xs="http://www.w3.org/2001/XMLSchema" xmlns:p="http://schemas.microsoft.com/office/2006/metadata/properties" xmlns:ns3="b6253e69-11e1-4c58-96c2-8af74fddfb4c" xmlns:ns4="92894f07-6a69-4772-8c35-8db450074c05" targetNamespace="http://schemas.microsoft.com/office/2006/metadata/properties" ma:root="true" ma:fieldsID="9a195b214ff5404453aa39f9568b7485" ns3:_="" ns4:_="">
    <xsd:import namespace="b6253e69-11e1-4c58-96c2-8af74fddfb4c"/>
    <xsd:import namespace="92894f07-6a69-4772-8c35-8db450074c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53e69-11e1-4c58-96c2-8af74fddfb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94f07-6a69-4772-8c35-8db450074c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F169B8-AC94-4699-9453-4034B4B058C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6253e69-11e1-4c58-96c2-8af74fddfb4c"/>
    <ds:schemaRef ds:uri="92894f07-6a69-4772-8c35-8db450074c0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C98C2F-B07E-4255-BD5F-0547B1814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253e69-11e1-4c58-96c2-8af74fddfb4c"/>
    <ds:schemaRef ds:uri="92894f07-6a69-4772-8c35-8db450074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A8B1-AFA3-45F2-9972-9FA13152A9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estudo</vt:lpstr>
      <vt:lpstr>Base comparativa</vt:lpstr>
      <vt:lpstr>Escala comparativa</vt:lpstr>
      <vt:lpstr>Ofertas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Mello</dc:creator>
  <cp:lastModifiedBy>Luis Mello</cp:lastModifiedBy>
  <dcterms:created xsi:type="dcterms:W3CDTF">2021-11-06T00:09:28Z</dcterms:created>
  <dcterms:modified xsi:type="dcterms:W3CDTF">2021-11-26T19:26:06Z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0x010100133FB88FA187D84C9C9F2D39BC68C2BD</vt:lpwstr>
  </property>
</Properties>
</file>