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EstaPastaDeTrabalho" defaultThemeVersion="124226"/>
  <mc:AlternateContent xmlns:mc="http://schemas.openxmlformats.org/markup-compatibility/2006">
    <mc:Choice Requires="x15">
      <x15ac:absPath xmlns:x15ac="http://schemas.microsoft.com/office/spreadsheetml/2010/11/ac" url="C:\Users\leandro.toquetti\Documents\CPS\Administrativo\Anexos Instrução CESU 8\"/>
    </mc:Choice>
  </mc:AlternateContent>
  <xr:revisionPtr revIDLastSave="0" documentId="8_{28EF1164-8B60-40CB-AC9F-36132245656A}" xr6:coauthVersionLast="47" xr6:coauthVersionMax="47" xr10:uidLastSave="{00000000-0000-0000-0000-000000000000}"/>
  <bookViews>
    <workbookView xWindow="-120" yWindow="-120" windowWidth="29040" windowHeight="15840" xr2:uid="{00000000-000D-0000-FFFF-FFFF00000000}"/>
  </bookViews>
  <sheets>
    <sheet name="PONTUAÇÃO DOCENTE" sheetId="9" r:id="rId1"/>
  </sheets>
  <definedNames>
    <definedName name="_xlnm.Print_Area" localSheetId="0">'PONTUAÇÃO DOCENTE'!$A$1:$G$126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 i="9" l="1"/>
  <c r="E50" i="9"/>
  <c r="E46" i="9" l="1"/>
  <c r="E45" i="9"/>
  <c r="E44" i="9"/>
  <c r="S43" i="9"/>
  <c r="W43" i="9" s="1"/>
  <c r="E43" i="9" s="1"/>
  <c r="U43" i="9"/>
  <c r="S44" i="9"/>
  <c r="U44" i="9"/>
  <c r="W44" i="9" s="1"/>
  <c r="S45" i="9"/>
  <c r="U45" i="9"/>
  <c r="W45" i="9"/>
  <c r="S46" i="9"/>
  <c r="U46" i="9"/>
  <c r="W46" i="9"/>
  <c r="S42" i="9"/>
  <c r="U42" i="9"/>
  <c r="S41" i="9"/>
  <c r="U41" i="9"/>
  <c r="U40" i="9"/>
  <c r="W40" i="9" s="1"/>
  <c r="E40" i="9" s="1"/>
  <c r="S40" i="9"/>
  <c r="E116" i="9"/>
  <c r="E85" i="9"/>
  <c r="E84" i="9"/>
  <c r="E83" i="9"/>
  <c r="E82" i="9"/>
  <c r="E81" i="9"/>
  <c r="J19" i="9"/>
  <c r="E65" i="9"/>
  <c r="K16" i="9"/>
  <c r="A14" i="9" s="1"/>
  <c r="K12" i="9"/>
  <c r="J12" i="9"/>
  <c r="I12" i="9"/>
  <c r="H12" i="9"/>
  <c r="E95" i="9"/>
  <c r="E77" i="9"/>
  <c r="E58" i="9"/>
  <c r="E57" i="9"/>
  <c r="E104" i="9"/>
  <c r="E103" i="9"/>
  <c r="W41" i="9" l="1"/>
  <c r="E41" i="9" s="1"/>
  <c r="W42" i="9"/>
  <c r="E42" i="9" s="1"/>
  <c r="E122" i="9"/>
  <c r="E121" i="9"/>
  <c r="E120" i="9"/>
  <c r="E118" i="9"/>
  <c r="E119" i="9"/>
  <c r="E115" i="9"/>
  <c r="E117" i="9"/>
  <c r="E114" i="9"/>
  <c r="E80" i="9"/>
  <c r="E86" i="9"/>
  <c r="E129" i="9"/>
  <c r="K34" i="9" s="1"/>
  <c r="J10" i="9"/>
  <c r="I10" i="9"/>
  <c r="H10" i="9"/>
  <c r="W47" i="9" l="1"/>
  <c r="J48" i="9" s="1"/>
  <c r="E125" i="9"/>
  <c r="L10" i="9"/>
  <c r="L11" i="9"/>
  <c r="E67" i="9" l="1"/>
  <c r="E105" i="9"/>
  <c r="H13" i="9" l="1"/>
  <c r="J13" i="9"/>
  <c r="L14" i="9"/>
  <c r="L12" i="9"/>
  <c r="E37" i="9"/>
  <c r="E102" i="9"/>
  <c r="E101" i="9"/>
  <c r="E100" i="9"/>
  <c r="E110" i="9"/>
  <c r="E94" i="9"/>
  <c r="E90" i="9"/>
  <c r="E88" i="9"/>
  <c r="E70" i="9"/>
  <c r="E69" i="9"/>
  <c r="E68" i="9"/>
  <c r="E66" i="9"/>
  <c r="E63" i="9"/>
  <c r="E62" i="9"/>
  <c r="E61" i="9"/>
  <c r="E60" i="9"/>
  <c r="E59" i="9"/>
  <c r="E56" i="9"/>
  <c r="E54" i="9"/>
  <c r="E98" i="9"/>
  <c r="E96" i="9"/>
  <c r="E75" i="9"/>
  <c r="E76" i="9"/>
  <c r="E78" i="9"/>
  <c r="E79" i="9"/>
  <c r="E73" i="9"/>
  <c r="E72" i="9"/>
  <c r="E55" i="9"/>
  <c r="E53" i="9"/>
  <c r="K33" i="9"/>
  <c r="J33" i="9"/>
  <c r="I33" i="9"/>
  <c r="C28" i="9"/>
  <c r="C27" i="9"/>
  <c r="C24" i="9"/>
  <c r="C21" i="9"/>
  <c r="I24" i="9"/>
  <c r="J24" i="9" s="1"/>
  <c r="I28" i="9"/>
  <c r="J28" i="9" s="1"/>
  <c r="I25" i="9"/>
  <c r="J25" i="9" s="1"/>
  <c r="E91" i="9"/>
  <c r="I26" i="9"/>
  <c r="J26" i="9" s="1"/>
  <c r="I27" i="9"/>
  <c r="J27" i="9" s="1"/>
  <c r="I29" i="9"/>
  <c r="J29" i="9" s="1"/>
  <c r="I30" i="9"/>
  <c r="J30" i="9" s="1"/>
  <c r="I31" i="9"/>
  <c r="J31" i="9" s="1"/>
  <c r="J16" i="9"/>
  <c r="J17" i="9"/>
  <c r="I19" i="9" l="1"/>
  <c r="K19" i="9" s="1"/>
  <c r="A18" i="9" s="1"/>
  <c r="H33" i="9"/>
  <c r="J42" i="9"/>
  <c r="K13" i="9"/>
  <c r="J41" i="9"/>
  <c r="J43" i="9" s="1"/>
  <c r="I48" i="9"/>
  <c r="L51" i="9" s="1"/>
  <c r="J34" i="9"/>
  <c r="I34" i="9" s="1"/>
  <c r="J36" i="9"/>
  <c r="K24" i="9"/>
  <c r="K30" i="9"/>
  <c r="I41" i="9"/>
  <c r="L13" i="9" l="1"/>
  <c r="L15" i="9" s="1"/>
  <c r="J38" i="9"/>
  <c r="L48" i="9"/>
  <c r="K41" i="9"/>
  <c r="J20" i="9"/>
  <c r="K31" i="9"/>
  <c r="I42" i="9"/>
  <c r="I38" i="9" l="1"/>
  <c r="J40" i="9"/>
  <c r="K38" i="9"/>
  <c r="K40" i="9" s="1"/>
  <c r="K43" i="9"/>
  <c r="G37" i="9" s="1"/>
  <c r="U38" i="9" s="1"/>
  <c r="F37" i="9"/>
  <c r="S38" i="9" s="1"/>
  <c r="K48" i="9"/>
  <c r="E47" i="9" s="1"/>
  <c r="L43" i="9"/>
  <c r="E92" i="9" l="1"/>
  <c r="E109" i="9" l="1"/>
  <c r="E108" i="9"/>
  <c r="E107" i="9"/>
  <c r="E106" i="9"/>
  <c r="E89" i="9"/>
  <c r="E74" i="9"/>
  <c r="E111" i="9" l="1"/>
  <c r="L20" i="9"/>
  <c r="K35" i="9" l="1"/>
  <c r="J35" i="9" s="1"/>
  <c r="M27" i="9"/>
  <c r="L21" i="9" l="1"/>
  <c r="L27" i="9"/>
  <c r="L29" i="9"/>
  <c r="L30" i="9"/>
  <c r="L31" i="9"/>
  <c r="L34" i="9"/>
  <c r="L37" i="9"/>
  <c r="L41" i="9"/>
  <c r="L22" i="9" l="1"/>
  <c r="I22" i="9"/>
  <c r="M5" i="9"/>
  <c r="O5" i="9" s="1"/>
  <c r="N17" i="9" s="1"/>
  <c r="N26" i="9"/>
  <c r="N16" i="9"/>
  <c r="M16" i="9"/>
  <c r="M26" i="9"/>
  <c r="M6" i="9"/>
  <c r="O6" i="9" s="1"/>
  <c r="N20" i="9" s="1"/>
  <c r="D33" i="9" l="1"/>
  <c r="E34" i="9" s="1"/>
  <c r="N6" i="9"/>
  <c r="M20" i="9" s="1"/>
  <c r="O20" i="9" s="1"/>
  <c r="O26" i="9"/>
  <c r="N21" i="9"/>
  <c r="N22" i="9" s="1"/>
  <c r="N33" i="9" s="1"/>
  <c r="M29" i="9"/>
  <c r="M30" i="9" s="1"/>
  <c r="N5" i="9"/>
  <c r="M17" i="9" s="1"/>
  <c r="O17" i="9" s="1"/>
  <c r="O21" i="9" l="1"/>
  <c r="N34" i="9"/>
  <c r="N36" i="9" s="1"/>
  <c r="M21" i="9"/>
  <c r="M22" i="9" s="1"/>
  <c r="M33" i="9" s="1"/>
  <c r="M34" i="9" l="1"/>
  <c r="M36" i="9" s="1"/>
  <c r="M31" i="9"/>
  <c r="L44" i="9" l="1"/>
  <c r="L45" i="9" s="1"/>
  <c r="L47" i="9" s="1"/>
  <c r="E127" i="9" l="1"/>
</calcChain>
</file>

<file path=xl/sharedStrings.xml><?xml version="1.0" encoding="utf-8"?>
<sst xmlns="http://schemas.openxmlformats.org/spreadsheetml/2006/main" count="215" uniqueCount="179">
  <si>
    <t>Pontos estipulados</t>
  </si>
  <si>
    <t>Pontuação</t>
  </si>
  <si>
    <t>Quantidade de Horas</t>
  </si>
  <si>
    <t>Referência</t>
  </si>
  <si>
    <t>Quantidade</t>
  </si>
  <si>
    <t>ESPECIALIZAÇÃO</t>
  </si>
  <si>
    <t>Organizador</t>
  </si>
  <si>
    <t>5,0 ponto/projeto</t>
  </si>
  <si>
    <t>Especialização na área da disciplina (mínimo 360 horas)</t>
  </si>
  <si>
    <t>5,0 pontos/evento</t>
  </si>
  <si>
    <t>I. DADOS</t>
  </si>
  <si>
    <t>Doutorado em outra área</t>
  </si>
  <si>
    <t>Mestrado em outra área</t>
  </si>
  <si>
    <t>INGLÊS</t>
  </si>
  <si>
    <t>2,5 Trabalho de Graduação (Conclusão de Curso)</t>
  </si>
  <si>
    <t>Nº edital</t>
  </si>
  <si>
    <t>local</t>
  </si>
  <si>
    <t>Assinatura do docente</t>
  </si>
  <si>
    <t>PÓS NA ÁREA</t>
  </si>
  <si>
    <t>PÓS FORA</t>
  </si>
  <si>
    <t>I</t>
  </si>
  <si>
    <t>E</t>
  </si>
  <si>
    <t>2,5 ponto/projeto</t>
  </si>
  <si>
    <t xml:space="preserve">2,0 pontos /trabalho completo publicado </t>
  </si>
  <si>
    <t xml:space="preserve">1 ponto /resumo publicado </t>
  </si>
  <si>
    <t>5,0 pontos/
premiação</t>
  </si>
  <si>
    <t>5,0 pontos/
processo ou técnica</t>
  </si>
  <si>
    <t>5,0 pontos/
produto</t>
  </si>
  <si>
    <t>2,5 pontos/
premiação</t>
  </si>
  <si>
    <t>PUBLICAÇÕES</t>
  </si>
  <si>
    <t>Participação efetiva 
como membro de 
banca examinadora 
na área da disciplina</t>
  </si>
  <si>
    <t>Marque com "x"</t>
  </si>
  <si>
    <t>MARQUE "X" 
AO LADO 
SE HOUVER</t>
  </si>
  <si>
    <t>Certificado vitalício?</t>
  </si>
  <si>
    <t>SIM</t>
  </si>
  <si>
    <t>NÃO</t>
  </si>
  <si>
    <t>Assinale X ao lado</t>
  </si>
  <si>
    <t>2 pontos / trabalho completo publicado</t>
  </si>
  <si>
    <t>Disciplina objeto do certame:</t>
  </si>
  <si>
    <t>ASSINALE "X" CONFORME SOLICITADO</t>
  </si>
  <si>
    <t>MARQUE "X" AO LADO CONFORME O CASO</t>
  </si>
  <si>
    <t>Identificação do comprovante</t>
  </si>
  <si>
    <t xml:space="preserve">Graduação na área da disciplina </t>
  </si>
  <si>
    <t>PONTUAÇÃO ALCANÇADA</t>
  </si>
  <si>
    <t>30 pontos/ano</t>
  </si>
  <si>
    <t>PONTOS POR ANO</t>
  </si>
  <si>
    <t>PONTUAÇÃO OBTIDA</t>
  </si>
  <si>
    <t>PARTICIPAÇÃO EM EVENTOS</t>
  </si>
  <si>
    <t>ORIENTAÇÕES</t>
  </si>
  <si>
    <r>
      <t>Certificado de Proficiência na Lingua (</t>
    </r>
    <r>
      <rPr>
        <b/>
        <sz val="9"/>
        <color theme="1"/>
        <rFont val="Arial"/>
        <family val="2"/>
      </rPr>
      <t>PREENCHER SOMENTE SE O CONCURSO FOR PARA DISCIPLINA DE LÍNGUA INGLESA</t>
    </r>
    <r>
      <rPr>
        <sz val="9"/>
        <color theme="1"/>
        <rFont val="Arial"/>
        <family val="2"/>
      </rPr>
      <t>)</t>
    </r>
  </si>
  <si>
    <t>Quantidade de Obras</t>
  </si>
  <si>
    <t>Congressos, Workshops, Simpósios, etc., na área da disciplina</t>
  </si>
  <si>
    <t>Pós-doutorado na área da disciplina ou na área de Educação</t>
  </si>
  <si>
    <t>Premiações por Inovação na área da disciplina</t>
  </si>
  <si>
    <t xml:space="preserve">5,0 pontos/
carta </t>
  </si>
  <si>
    <t>Carta patente na área da disciplina</t>
  </si>
  <si>
    <t>Outras Premiações na área da disciplina</t>
  </si>
  <si>
    <t>DEMAIS ATIVIDADES</t>
  </si>
  <si>
    <t>7,5 ponto/projeto</t>
  </si>
  <si>
    <t xml:space="preserve">Participação em projetos de pesquisa na área da disciplina </t>
  </si>
  <si>
    <t>5 ponto/ projeto</t>
  </si>
  <si>
    <t>Doutorado na área de Educação</t>
  </si>
  <si>
    <t>Mestrado na área de Educação</t>
  </si>
  <si>
    <t xml:space="preserve">Doutorado na área da disciplina objeto do edital </t>
  </si>
  <si>
    <t xml:space="preserve">Mestrado na área da disciplina objeto do edital </t>
  </si>
  <si>
    <r>
      <t>FORMAÇÃO ACADÊMICA - Máximo 350</t>
    </r>
    <r>
      <rPr>
        <sz val="16"/>
        <color rgb="FFFF0000"/>
        <rFont val="Arial"/>
        <family val="2"/>
      </rPr>
      <t xml:space="preserve"> pontos</t>
    </r>
  </si>
  <si>
    <r>
      <t>EXPERIÊNCIAS PROFISSIONAIS - Máximo 350</t>
    </r>
    <r>
      <rPr>
        <sz val="16"/>
        <color rgb="FFFF0000"/>
        <rFont val="Arial"/>
        <family val="2"/>
      </rPr>
      <t xml:space="preserve"> pontos</t>
    </r>
  </si>
  <si>
    <t>5,0 pontos/artigo publicado em periódico indexado ou que possua QUALIS</t>
  </si>
  <si>
    <t xml:space="preserve">Livro na área da disciplina </t>
  </si>
  <si>
    <t>Livro na área de Educação</t>
  </si>
  <si>
    <t>50 pontos/
livro  (autor)</t>
  </si>
  <si>
    <t>10 pontos/livro  (organizador)</t>
  </si>
  <si>
    <t>20 pontos/
livro  (autor)</t>
  </si>
  <si>
    <t>5 pontos/livro  (organizador)</t>
  </si>
  <si>
    <t>3,5 Iniciação Científica/
Tecnológica com bolsa</t>
  </si>
  <si>
    <t>8 pontos/  Doutorado</t>
  </si>
  <si>
    <t>4 pontos/ Mestrado</t>
  </si>
  <si>
    <t>2 pontos- Iniciação Científica/
Tecnológica com bolsa</t>
  </si>
  <si>
    <t>0,5 Trabalho de Graduação (Conclusão de Curso)</t>
  </si>
  <si>
    <t xml:space="preserve">Participação em Projetos Colaborativos Internacionais (PCI) na área da disciplina em FATEC </t>
  </si>
  <si>
    <t>40 pontos/ano</t>
  </si>
  <si>
    <t>10 pontos/ano</t>
  </si>
  <si>
    <t>Experiência em emprego público em confiança (cargo público) no âmbito das Unidades de ensino ou Administração Central do Centro Paula Souza</t>
  </si>
  <si>
    <t xml:space="preserve">Experiência em empregos públicos em confiança (cargo público) </t>
  </si>
  <si>
    <t>Experiência no exercício de função pública (Coordenador de projetos ou Coordenador de curso) no âmbito das Unidades de ensino ou Administração Central do Centro Paula Souza</t>
  </si>
  <si>
    <t xml:space="preserve">50 pontos /evento </t>
  </si>
  <si>
    <t>2,0 pontos/documento revisado ou avaliado</t>
  </si>
  <si>
    <t>2,0 pontos/apresentação</t>
  </si>
  <si>
    <t>1,0 pontos/apresentação</t>
  </si>
  <si>
    <r>
      <t xml:space="preserve">2,5 pontos/artigo publicado em periódico </t>
    </r>
    <r>
      <rPr>
        <u/>
        <sz val="9"/>
        <color theme="1"/>
        <rFont val="Arial"/>
        <family val="2"/>
      </rPr>
      <t>não</t>
    </r>
    <r>
      <rPr>
        <sz val="9"/>
        <color theme="1"/>
        <rFont val="Arial"/>
        <family val="2"/>
      </rPr>
      <t xml:space="preserve"> indexado e que não possua QUALIS</t>
    </r>
  </si>
  <si>
    <r>
      <t xml:space="preserve">Participação em projetos de pesquisa na área da disciplina </t>
    </r>
    <r>
      <rPr>
        <u/>
        <sz val="9"/>
        <color theme="1"/>
        <rFont val="Arial"/>
        <family val="2"/>
      </rPr>
      <t>em FATEC (RJI)</t>
    </r>
  </si>
  <si>
    <r>
      <t xml:space="preserve">Área(s) da Disciplina objeto do certame (CONSULTAR TABELA DE ÁREAS CESU EM </t>
    </r>
    <r>
      <rPr>
        <b/>
        <sz val="9"/>
        <color theme="1"/>
        <rFont val="Arial"/>
        <family val="2"/>
      </rPr>
      <t>https://cesu.cps.sp.gov.br/concursos-publicos-pss-e-ampliacao/</t>
    </r>
    <r>
      <rPr>
        <sz val="9"/>
        <color theme="1"/>
        <rFont val="Arial"/>
        <family val="2"/>
      </rPr>
      <t>) :</t>
    </r>
  </si>
  <si>
    <t>ADMINISTRAÇÃO E NEGÓCIOS</t>
  </si>
  <si>
    <t>Nome Completo do Candidato:</t>
  </si>
  <si>
    <t>Ano Corrente (A planilha calcula automaticamente)</t>
  </si>
  <si>
    <t>ESPANHOL 
e outras línguas estrangeiras</t>
  </si>
  <si>
    <r>
      <t>Somatória Máxima 
de tempo de experiência admissível (</t>
    </r>
    <r>
      <rPr>
        <b/>
        <sz val="12"/>
        <color rgb="FF0070C0"/>
        <rFont val="Arial"/>
        <family val="2"/>
      </rPr>
      <t>ANOS</t>
    </r>
    <r>
      <rPr>
        <b/>
        <sz val="10"/>
        <color theme="1"/>
        <rFont val="Arial"/>
        <family val="2"/>
      </rPr>
      <t xml:space="preserve"> e </t>
    </r>
    <r>
      <rPr>
        <b/>
        <sz val="12"/>
        <color rgb="FF00B050"/>
        <rFont val="Arial"/>
        <family val="2"/>
      </rPr>
      <t>MESES</t>
    </r>
    <r>
      <rPr>
        <b/>
        <sz val="10"/>
        <color theme="1"/>
        <rFont val="Arial"/>
        <family val="2"/>
      </rPr>
      <t xml:space="preserve"> completos)</t>
    </r>
  </si>
  <si>
    <t>Membros / Consultores / Pareceristas na prestação de serviço para o CEE.     Revisores/ Elaboradores / Avaliadores ad hoc, na prestação de serviço para o MEC-INEP.</t>
  </si>
  <si>
    <t>5 pontos/ evento</t>
  </si>
  <si>
    <r>
      <t xml:space="preserve">Como Ouvinte </t>
    </r>
    <r>
      <rPr>
        <sz val="9"/>
        <color rgb="FF0070C0"/>
        <rFont val="Arial"/>
        <family val="2"/>
      </rPr>
      <t>(Limitados aos últimos 5 anos)</t>
    </r>
  </si>
  <si>
    <t>INFORME AO LADO A  VERSÃO DA TABELA DE ÁREAS E DISCIPLINAS CONSTANTE NO EDITAL</t>
  </si>
  <si>
    <t>=</t>
  </si>
  <si>
    <r>
      <t xml:space="preserve">Participação do docente em eventos de divulgação de </t>
    </r>
    <r>
      <rPr>
        <u/>
        <sz val="9"/>
        <color theme="1"/>
        <rFont val="Arial"/>
        <family val="2"/>
      </rPr>
      <t>FATEC</t>
    </r>
    <r>
      <rPr>
        <sz val="9"/>
        <color theme="1"/>
        <rFont val="Arial"/>
        <family val="2"/>
      </rPr>
      <t xml:space="preserve"> no vestibular e seus cursos junto à comunidade (feiras, palestras, visitas)</t>
    </r>
  </si>
  <si>
    <t>1 ponto/
evento</t>
  </si>
  <si>
    <t xml:space="preserve">1 ponto/ano de participação/
FATEC </t>
  </si>
  <si>
    <r>
      <t xml:space="preserve">Participação do docente na Comissão Própria de Avaliação </t>
    </r>
    <r>
      <rPr>
        <u/>
        <sz val="9"/>
        <color theme="1"/>
        <rFont val="Arial"/>
        <family val="2"/>
      </rPr>
      <t>em FATEC</t>
    </r>
  </si>
  <si>
    <r>
      <t xml:space="preserve">Participação do docente na Congregação / Comissão de Implantação </t>
    </r>
    <r>
      <rPr>
        <u/>
        <sz val="9"/>
        <color theme="1"/>
        <rFont val="Arial"/>
        <family val="2"/>
      </rPr>
      <t>em FATEC</t>
    </r>
  </si>
  <si>
    <t xml:space="preserve">10 pontos/ano de participação/
FATEC </t>
  </si>
  <si>
    <t>Participação do docente em Comitê de Diretores de FATEC</t>
  </si>
  <si>
    <t>5 pontos/ano de participação</t>
  </si>
  <si>
    <r>
      <t>Participação em Comissões Avaliadoras para fins de Evolução Funcional</t>
    </r>
    <r>
      <rPr>
        <u/>
        <sz val="9"/>
        <color theme="1"/>
        <rFont val="Arial"/>
        <family val="2"/>
      </rPr>
      <t xml:space="preserve"> em FATEC</t>
    </r>
  </si>
  <si>
    <t>Pontuação total</t>
  </si>
  <si>
    <t xml:space="preserve">Orientações  na área da disciplina </t>
  </si>
  <si>
    <r>
      <t>Orientações  na área da disciplina</t>
    </r>
    <r>
      <rPr>
        <u/>
        <sz val="9"/>
        <color theme="1"/>
        <rFont val="Arial"/>
        <family val="2"/>
      </rPr>
      <t xml:space="preserve"> em FATEC</t>
    </r>
    <r>
      <rPr>
        <sz val="9"/>
        <color theme="1"/>
        <rFont val="Arial"/>
        <family val="2"/>
      </rPr>
      <t xml:space="preserve"> </t>
    </r>
  </si>
  <si>
    <t xml:space="preserve">Revisor ou Avaliador </t>
  </si>
  <si>
    <t xml:space="preserve">Palestrante/ mediador / participação em mesa redonda </t>
  </si>
  <si>
    <t xml:space="preserve">Apresentação oral de trabalhos </t>
  </si>
  <si>
    <t xml:space="preserve">Apresentação de trabalho em pôster </t>
  </si>
  <si>
    <t xml:space="preserve">Co-orientações na área da disciplina </t>
  </si>
  <si>
    <t>1 ponto por projeto realizado por semestre.</t>
  </si>
  <si>
    <t>2 pontos por projeto realizado por semestre.</t>
  </si>
  <si>
    <t xml:space="preserve">Realização de projetos na Área da Disciplina, com Hora Atividade Específica (HAE) na Unidade de Ensino </t>
  </si>
  <si>
    <t xml:space="preserve">Realização de projetos na Área da Disciplina, com Hora Atividade Específica (HAE), sem gratificação, na Administração Central </t>
  </si>
  <si>
    <t>Participação do docente em Grupos de Trabalho ou Comissões na Administração Central</t>
  </si>
  <si>
    <t>5 pontos/grupo ou comissão</t>
  </si>
  <si>
    <t>10 pontos/
capítulo - Livro na Área da Disciplina</t>
  </si>
  <si>
    <t>5 pontos/
capítulo - Livro na Área de Educação</t>
  </si>
  <si>
    <t xml:space="preserve">Capítulo de Livro </t>
  </si>
  <si>
    <r>
      <rPr>
        <b/>
        <sz val="9"/>
        <color theme="1"/>
        <rFont val="Arial"/>
        <family val="2"/>
      </rPr>
      <t>Data de realização</t>
    </r>
    <r>
      <rPr>
        <sz val="9"/>
        <color theme="1"/>
        <rFont val="Arial"/>
        <family val="2"/>
      </rPr>
      <t xml:space="preserve"> do exame de proficiência, caso </t>
    </r>
    <r>
      <rPr>
        <b/>
        <sz val="9"/>
        <color theme="1"/>
        <rFont val="Arial"/>
        <family val="2"/>
      </rPr>
      <t>NÃO</t>
    </r>
    <r>
      <rPr>
        <sz val="9"/>
        <color theme="1"/>
        <rFont val="Arial"/>
        <family val="2"/>
      </rPr>
      <t xml:space="preserve"> seja vitalício </t>
    </r>
    <r>
      <rPr>
        <b/>
        <sz val="9"/>
        <color theme="1"/>
        <rFont val="Arial"/>
        <family val="2"/>
      </rPr>
      <t>(FORMATO DD/MM/AAAA)</t>
    </r>
  </si>
  <si>
    <r>
      <t>Data da primeira GRADUAÇÃO ou TITULAÇÃO na área da disciplina (</t>
    </r>
    <r>
      <rPr>
        <b/>
        <sz val="10"/>
        <color rgb="FF7030A0"/>
        <rFont val="Arial"/>
        <family val="2"/>
      </rPr>
      <t>DATA DA COLAÇÃO DE GRAU - PARA GRADUAÇÃO OU DATA DA HOMOLOGAÇÃO - PARA TITULAÇÃO</t>
    </r>
    <r>
      <rPr>
        <b/>
        <sz val="10"/>
        <color theme="1"/>
        <rFont val="Arial"/>
        <family val="2"/>
      </rPr>
      <t>) (FORMATO DD/MM/AAAA)</t>
    </r>
  </si>
  <si>
    <t>FATEC na qual a disciplina será ministrada (ver edital):</t>
  </si>
  <si>
    <t>NÃO É disciplina de Língua estrangeira</t>
  </si>
  <si>
    <r>
      <t>FORMAÇÃO COMPLEMENTAR, PRODUÇÕES ACADÊMICAS E DEMAIS ATIVIDADES PROFISSIONAIS - Máximo 250</t>
    </r>
    <r>
      <rPr>
        <sz val="16"/>
        <color rgb="FFFF0000"/>
        <rFont val="Arial"/>
        <family val="2"/>
      </rPr>
      <t xml:space="preserve"> pontos</t>
    </r>
    <r>
      <rPr>
        <b/>
        <sz val="16"/>
        <color rgb="FFFF0000"/>
        <rFont val="Arial"/>
        <family val="2"/>
      </rPr>
      <t xml:space="preserve"> </t>
    </r>
    <r>
      <rPr>
        <b/>
        <sz val="10"/>
        <color rgb="FFFF0000"/>
        <rFont val="Arial"/>
        <family val="2"/>
      </rPr>
      <t xml:space="preserve">(Limitados aos últimos 5 anos </t>
    </r>
    <r>
      <rPr>
        <b/>
        <u/>
        <sz val="10"/>
        <color rgb="FFFF0000"/>
        <rFont val="Arial"/>
        <family val="2"/>
      </rPr>
      <t>onde estiver indicado</t>
    </r>
    <r>
      <rPr>
        <b/>
        <sz val="10"/>
        <color rgb="FFFF0000"/>
        <rFont val="Arial"/>
        <family val="2"/>
      </rPr>
      <t>)</t>
    </r>
  </si>
  <si>
    <r>
      <t>Formação complementar na ÁREA da disciplina (máximo 50 pontos) - Capacitações, oficinas, cursos (Exceto Pós Doutorado)</t>
    </r>
    <r>
      <rPr>
        <sz val="9"/>
        <color rgb="FF0070C0"/>
        <rFont val="Arial"/>
        <family val="2"/>
      </rPr>
      <t>(Limitados aos últimos 5 anos)</t>
    </r>
    <r>
      <rPr>
        <sz val="9"/>
        <color theme="1"/>
        <rFont val="Arial"/>
        <family val="2"/>
      </rPr>
      <t xml:space="preserve">
</t>
    </r>
  </si>
  <si>
    <r>
      <t>Formação complementar na Área da Educação ou em Metodologias Ativas na Educação (máximo 50 pontos) - Capacitações, oficinas, cursos (Exceto Pós Doutorado)</t>
    </r>
    <r>
      <rPr>
        <sz val="9"/>
        <color rgb="FF0070C0"/>
        <rFont val="Arial"/>
        <family val="2"/>
      </rPr>
      <t>(Limitados aos últimos 5 anos)</t>
    </r>
  </si>
  <si>
    <t xml:space="preserve">Artigos científicos ou tecnológicos na área da disciplina </t>
  </si>
  <si>
    <t xml:space="preserve">Publicações, na área da disciplina, em Anais de Eventos Científicos </t>
  </si>
  <si>
    <t>2,0 pontos/palestra, mediação ou participação</t>
  </si>
  <si>
    <t>0,5 ponto/apresentação assistida no evento</t>
  </si>
  <si>
    <t>3,0 Iniciação Científica/
Tecnológica sem bolsa</t>
  </si>
  <si>
    <t>1,0 ponto/ Trabalho de Graduação (Conclusão de Curso)</t>
  </si>
  <si>
    <t>3 pontos / Pós Graduação Lato Sensu</t>
  </si>
  <si>
    <t>1,5 ponto/ Iniciação Científica/
Tecnológica sem bolsa</t>
  </si>
  <si>
    <r>
      <t xml:space="preserve">Participação em projetos com empresas, a partir de parcerias formalmente estabelecidas, na área da disciplina </t>
    </r>
    <r>
      <rPr>
        <u/>
        <sz val="9"/>
        <color theme="1"/>
        <rFont val="Arial"/>
        <family val="2"/>
      </rPr>
      <t>em FATEC</t>
    </r>
    <r>
      <rPr>
        <sz val="9"/>
        <color theme="1"/>
        <rFont val="Arial"/>
        <family val="2"/>
      </rPr>
      <t xml:space="preserve"> </t>
    </r>
  </si>
  <si>
    <t>Participação em projetos com empresas na área da disciplina, em Instituições de ensino</t>
  </si>
  <si>
    <t>PARTICIPAÇÃO EM PROJETOS</t>
  </si>
  <si>
    <t>PARTICIPAÇÃO EM BANCAS EXAMINADORAS</t>
  </si>
  <si>
    <t>PÓS DOUTORADO</t>
  </si>
  <si>
    <t>1,5 ponto /pós graduação lato sensu</t>
  </si>
  <si>
    <t>2,0 pontos /mestrado ou doutorado</t>
  </si>
  <si>
    <t>Produtos inovadores na área da disciplina</t>
  </si>
  <si>
    <t>Processos ou Técnicas inovadoras na área da disciplina</t>
  </si>
  <si>
    <t>V. ATUAÇÃO DIVERSIFICADA DO CANDIDATO. Os comprovantes devem ser dos últimos 05 (cinco) anos. Os pontos relacionados são por evento ou participação e, em seu todo, 
só poderão somar no máximo 50 pontos</t>
  </si>
  <si>
    <r>
      <t xml:space="preserve">Participação do docente no Núcleo Docente Estruturante do curso </t>
    </r>
    <r>
      <rPr>
        <u/>
        <sz val="9"/>
        <color theme="1"/>
        <rFont val="Arial"/>
        <family val="2"/>
      </rPr>
      <t>em FATEC</t>
    </r>
  </si>
  <si>
    <t xml:space="preserve">1 ponto/evento/
FATEC </t>
  </si>
  <si>
    <t>4 pontos/  Doutorado</t>
  </si>
  <si>
    <t>2 pontos/ Mestrado</t>
  </si>
  <si>
    <t>1,5 pontos / Pós Graduação Lato Sensu</t>
  </si>
  <si>
    <t>1 ponto- Iniciação Científica/
Tecnológica com bolsa</t>
  </si>
  <si>
    <t>0,75 ponto-  Iniciação Científica/
Tecnológica</t>
  </si>
  <si>
    <t>Número da matrícula na qual o candidato deseja a alteração de carga horária</t>
  </si>
  <si>
    <r>
      <t>Área da disciplina que o candidato opta para atender aos requisitos do concurso público, PSS ou Alteração de Carga Horária (</t>
    </r>
    <r>
      <rPr>
        <b/>
        <sz val="9"/>
        <color theme="1"/>
        <rFont val="Arial"/>
        <family val="2"/>
      </rPr>
      <t>Escolher uma das áreas da disciplina</t>
    </r>
    <r>
      <rPr>
        <sz val="9"/>
        <color theme="1"/>
        <rFont val="Arial"/>
        <family val="2"/>
      </rPr>
      <t>)</t>
    </r>
  </si>
  <si>
    <t xml:space="preserve">1,0 ponto /trabalho de graduação </t>
  </si>
  <si>
    <r>
      <t xml:space="preserve">Participação do docente em comissão avaliadora em concurso público, processo seletivo simplificado ou edital de disciplina para alteração de carga horária </t>
    </r>
    <r>
      <rPr>
        <u/>
        <sz val="9"/>
        <color theme="1"/>
        <rFont val="Arial"/>
        <family val="2"/>
      </rPr>
      <t>em FATEC</t>
    </r>
  </si>
  <si>
    <t>ANOS</t>
  </si>
  <si>
    <t>MESES</t>
  </si>
  <si>
    <r>
      <t xml:space="preserve">Experiencia como Professor de ensino superior na área da disciplina </t>
    </r>
    <r>
      <rPr>
        <u/>
        <sz val="11"/>
        <color theme="1"/>
        <rFont val="Arial"/>
        <family val="2"/>
      </rPr>
      <t>em Fatec</t>
    </r>
    <r>
      <rPr>
        <sz val="11"/>
        <color theme="1"/>
        <rFont val="Arial"/>
        <family val="2"/>
      </rPr>
      <t xml:space="preserve">  - </t>
    </r>
    <r>
      <rPr>
        <b/>
        <sz val="11"/>
        <color theme="1"/>
        <rFont val="Arial"/>
        <family val="2"/>
      </rPr>
      <t>25 pontos/ano</t>
    </r>
  </si>
  <si>
    <r>
      <t xml:space="preserve">Experiencia como Professor de ensino superior na  área da disciplina - </t>
    </r>
    <r>
      <rPr>
        <b/>
        <sz val="11"/>
        <color theme="1"/>
        <rFont val="Arial"/>
        <family val="2"/>
      </rPr>
      <t>20 pontos / ano</t>
    </r>
  </si>
  <si>
    <r>
      <t xml:space="preserve">Experiência como Professor em pós-graduação Stricto Sensu na área da disciplina - </t>
    </r>
    <r>
      <rPr>
        <b/>
        <sz val="11"/>
        <rFont val="Arial"/>
        <family val="2"/>
      </rPr>
      <t>15 pontos/ano</t>
    </r>
  </si>
  <si>
    <r>
      <t xml:space="preserve">Experiência como Professor em pós-graduação Lato Sensu na área da disciplina - </t>
    </r>
    <r>
      <rPr>
        <b/>
        <sz val="11"/>
        <rFont val="Arial"/>
        <family val="2"/>
      </rPr>
      <t>10 pontos/ano</t>
    </r>
  </si>
  <si>
    <r>
      <t xml:space="preserve">Experiência como Professor de ensino médio e técnico na área disciplina - </t>
    </r>
    <r>
      <rPr>
        <b/>
        <sz val="11"/>
        <rFont val="Arial"/>
        <family val="2"/>
      </rPr>
      <t>5 pontos/ ano</t>
    </r>
  </si>
  <si>
    <r>
      <t xml:space="preserve">Atividade profissional relevante na área da disciplina fora da docência - </t>
    </r>
    <r>
      <rPr>
        <b/>
        <sz val="11"/>
        <rFont val="Arial"/>
        <family val="2"/>
      </rPr>
      <t>20 pontos/ano</t>
    </r>
  </si>
  <si>
    <r>
      <t>Experiência como professor de ensino superior da mesma disciplina em</t>
    </r>
    <r>
      <rPr>
        <u/>
        <sz val="11"/>
        <color theme="1"/>
        <rFont val="Arial"/>
        <family val="2"/>
      </rPr>
      <t xml:space="preserve"> Fatec</t>
    </r>
    <r>
      <rPr>
        <sz val="11"/>
        <color theme="1"/>
        <rFont val="Arial"/>
        <family val="2"/>
      </rPr>
      <t xml:space="preserve"> - </t>
    </r>
    <r>
      <rPr>
        <b/>
        <sz val="11"/>
        <color theme="1"/>
        <rFont val="Arial"/>
        <family val="2"/>
      </rPr>
      <t>30 pontos/ano</t>
    </r>
  </si>
  <si>
    <r>
      <t xml:space="preserve">Participação do docente na CEPE (Câmara de Ensino, Pesquisa e Extensão) </t>
    </r>
    <r>
      <rPr>
        <u/>
        <sz val="9"/>
        <rFont val="Arial"/>
        <family val="2"/>
      </rPr>
      <t>em FATEC</t>
    </r>
  </si>
  <si>
    <r>
      <t>TIPO DE EXPERIÊNCIA PROFISSIONAL (</t>
    </r>
    <r>
      <rPr>
        <b/>
        <u/>
        <sz val="14"/>
        <rFont val="Arial"/>
        <family val="2"/>
      </rPr>
      <t>NÃO CONSIDERAR TEMPOS CONCOMITANTES EM EXPERIÊNCIAS DIFERENTES</t>
    </r>
    <r>
      <rPr>
        <b/>
        <sz val="14"/>
        <rFont val="Arial"/>
        <family val="2"/>
      </rPr>
      <t>).</t>
    </r>
    <r>
      <rPr>
        <b/>
        <sz val="14"/>
        <color rgb="FFFF0000"/>
        <rFont val="Arial"/>
        <family val="2"/>
      </rPr>
      <t xml:space="preserve">NO CASO DE HAVER TEMPOS CONCOMITANTES EM EXPERIÊNCIAS PROFISSIONAIS DIFERENTES, INFORME APENAS AQUELE(S) QUE RESULTAR(EM) EM MAIOR PONTUAÇÃO. </t>
    </r>
  </si>
  <si>
    <t>Tempo de Experiencia (anos e meses completos) - Os meses serão proporcionais a pontuação do item respectivo</t>
  </si>
  <si>
    <t>0,5 ponto/hora
Para certificados que não apresentem carga horária, será considerada 01 hora.</t>
  </si>
  <si>
    <t>Tabela de Pontuação para Alteração de Carga Horária Docente</t>
  </si>
  <si>
    <t>Versão 31/05/2023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</si>
</sst>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0" x14ac:knownFonts="1">
    <font>
      <sz val="11"/>
      <color theme="1"/>
      <name val="Calibri"/>
      <family val="2"/>
      <scheme val="minor"/>
    </font>
    <font>
      <b/>
      <sz val="9"/>
      <color theme="1"/>
      <name val="Arial"/>
      <family val="2"/>
    </font>
    <font>
      <sz val="9"/>
      <color theme="1"/>
      <name val="Arial"/>
      <family val="2"/>
    </font>
    <font>
      <b/>
      <sz val="9"/>
      <color rgb="FF00B050"/>
      <name val="Arial"/>
      <family val="2"/>
    </font>
    <font>
      <b/>
      <sz val="9"/>
      <color theme="0"/>
      <name val="Arial"/>
      <family val="2"/>
    </font>
    <font>
      <b/>
      <sz val="9"/>
      <color rgb="FFFF0000"/>
      <name val="Arial"/>
      <family val="2"/>
    </font>
    <font>
      <sz val="9"/>
      <name val="Arial"/>
      <family val="2"/>
    </font>
    <font>
      <b/>
      <sz val="9"/>
      <name val="Arial"/>
      <family val="2"/>
    </font>
    <font>
      <b/>
      <sz val="9"/>
      <color rgb="FF0070C0"/>
      <name val="Arial"/>
      <family val="2"/>
    </font>
    <font>
      <sz val="9"/>
      <color rgb="FFFF0000"/>
      <name val="Arial"/>
      <family val="2"/>
    </font>
    <font>
      <u/>
      <sz val="9"/>
      <color theme="1"/>
      <name val="Arial"/>
      <family val="2"/>
    </font>
    <font>
      <b/>
      <sz val="9"/>
      <color theme="9" tint="-0.499984740745262"/>
      <name val="Arial"/>
      <family val="2"/>
    </font>
    <font>
      <b/>
      <sz val="8"/>
      <color theme="1"/>
      <name val="Arial"/>
      <family val="2"/>
    </font>
    <font>
      <b/>
      <sz val="14"/>
      <name val="Arial"/>
      <family val="2"/>
    </font>
    <font>
      <b/>
      <sz val="14"/>
      <color theme="1"/>
      <name val="Arial"/>
      <family val="2"/>
    </font>
    <font>
      <b/>
      <sz val="10"/>
      <color theme="1"/>
      <name val="Arial"/>
      <family val="2"/>
    </font>
    <font>
      <b/>
      <sz val="16"/>
      <color rgb="FFFF0000"/>
      <name val="Arial"/>
      <family val="2"/>
    </font>
    <font>
      <sz val="16"/>
      <color rgb="FFFF0000"/>
      <name val="Arial"/>
      <family val="2"/>
    </font>
    <font>
      <b/>
      <sz val="14"/>
      <color theme="3"/>
      <name val="Arial"/>
      <family val="2"/>
    </font>
    <font>
      <b/>
      <sz val="9"/>
      <color theme="3"/>
      <name val="Arial"/>
      <family val="2"/>
    </font>
    <font>
      <b/>
      <sz val="12"/>
      <color theme="3"/>
      <name val="Arial"/>
      <family val="2"/>
    </font>
    <font>
      <b/>
      <sz val="9"/>
      <color theme="5"/>
      <name val="Arial"/>
      <family val="2"/>
    </font>
    <font>
      <b/>
      <sz val="12"/>
      <color rgb="FF002060"/>
      <name val="Arial"/>
      <family val="2"/>
    </font>
    <font>
      <b/>
      <sz val="14"/>
      <color rgb="FF002060"/>
      <name val="Arial"/>
      <family val="2"/>
    </font>
    <font>
      <b/>
      <sz val="9"/>
      <color theme="8" tint="-0.249977111117893"/>
      <name val="Arial"/>
      <family val="2"/>
    </font>
    <font>
      <b/>
      <sz val="12"/>
      <name val="Arial"/>
      <family val="2"/>
    </font>
    <font>
      <sz val="12"/>
      <color theme="1"/>
      <name val="Arial"/>
      <family val="2"/>
    </font>
    <font>
      <b/>
      <sz val="12"/>
      <color theme="1"/>
      <name val="Arial"/>
      <family val="2"/>
    </font>
    <font>
      <b/>
      <sz val="10"/>
      <color rgb="FF7030A0"/>
      <name val="Arial"/>
      <family val="2"/>
    </font>
    <font>
      <b/>
      <sz val="12"/>
      <color rgb="FF0070C0"/>
      <name val="Arial"/>
      <family val="2"/>
    </font>
    <font>
      <b/>
      <sz val="12"/>
      <color rgb="FF00B050"/>
      <name val="Arial"/>
      <family val="2"/>
    </font>
    <font>
      <b/>
      <sz val="16"/>
      <color rgb="FF0070C0"/>
      <name val="Arial"/>
      <family val="2"/>
    </font>
    <font>
      <b/>
      <sz val="16"/>
      <color rgb="FF00B050"/>
      <name val="Arial"/>
      <family val="2"/>
    </font>
    <font>
      <b/>
      <sz val="10"/>
      <color rgb="FFFF0000"/>
      <name val="Arial"/>
      <family val="2"/>
    </font>
    <font>
      <sz val="9"/>
      <color rgb="FF0070C0"/>
      <name val="Arial"/>
      <family val="2"/>
    </font>
    <font>
      <b/>
      <sz val="14"/>
      <color theme="0"/>
      <name val="Arial"/>
      <family val="2"/>
    </font>
    <font>
      <sz val="9"/>
      <color theme="0"/>
      <name val="Arial"/>
      <family val="2"/>
    </font>
    <font>
      <sz val="11"/>
      <color theme="1"/>
      <name val="Arial"/>
      <family val="2"/>
    </font>
    <font>
      <b/>
      <sz val="11"/>
      <name val="Arial"/>
      <family val="2"/>
    </font>
    <font>
      <i/>
      <sz val="11"/>
      <color theme="1"/>
      <name val="Arial"/>
      <family val="2"/>
    </font>
    <font>
      <b/>
      <u/>
      <sz val="10"/>
      <color rgb="FFFF0000"/>
      <name val="Arial"/>
      <family val="2"/>
    </font>
    <font>
      <b/>
      <u/>
      <sz val="14"/>
      <name val="Arial"/>
      <family val="2"/>
    </font>
    <font>
      <b/>
      <sz val="14"/>
      <color rgb="FFFF0000"/>
      <name val="Arial"/>
      <family val="2"/>
    </font>
    <font>
      <b/>
      <sz val="12"/>
      <color rgb="FFFF0000"/>
      <name val="Arial"/>
      <family val="2"/>
    </font>
    <font>
      <u/>
      <sz val="11"/>
      <color theme="1"/>
      <name val="Arial"/>
      <family val="2"/>
    </font>
    <font>
      <b/>
      <sz val="11"/>
      <color theme="1"/>
      <name val="Arial"/>
      <family val="2"/>
    </font>
    <font>
      <sz val="11"/>
      <name val="Arial"/>
      <family val="2"/>
    </font>
    <font>
      <u/>
      <sz val="9"/>
      <name val="Arial"/>
      <family val="2"/>
    </font>
    <font>
      <sz val="12"/>
      <name val="Arial"/>
      <family val="2"/>
    </font>
    <font>
      <b/>
      <sz val="11"/>
      <color theme="0"/>
      <name val="Arial"/>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99"/>
        <bgColor indexed="64"/>
      </patternFill>
    </fill>
    <fill>
      <patternFill patternType="solid">
        <fgColor theme="5"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58">
    <border>
      <left/>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356">
    <xf numFmtId="0" fontId="0" fillId="0" borderId="0" xfId="0"/>
    <xf numFmtId="0" fontId="2" fillId="0" borderId="11" xfId="0" applyFont="1" applyBorder="1"/>
    <xf numFmtId="0" fontId="2" fillId="0" borderId="0" xfId="0" applyFont="1"/>
    <xf numFmtId="0" fontId="2" fillId="0" borderId="14" xfId="0" applyFont="1" applyBorder="1"/>
    <xf numFmtId="0" fontId="1" fillId="0" borderId="0" xfId="0" applyFont="1" applyAlignment="1">
      <alignment horizontal="center"/>
    </xf>
    <xf numFmtId="0" fontId="1" fillId="0" borderId="0" xfId="0" applyFont="1" applyAlignment="1">
      <alignment horizontal="center" vertical="center" wrapText="1" shrinkToFi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2" fillId="0" borderId="17" xfId="0" applyFont="1" applyBorder="1" applyAlignment="1">
      <alignment horizontal="right" vertical="center"/>
    </xf>
    <xf numFmtId="0" fontId="1" fillId="0" borderId="17" xfId="0" applyFont="1" applyBorder="1" applyAlignment="1">
      <alignment horizontal="center" vertical="center"/>
    </xf>
    <xf numFmtId="0" fontId="8" fillId="0" borderId="17" xfId="0" applyFont="1" applyBorder="1" applyAlignment="1">
      <alignment horizontal="center" vertical="center"/>
    </xf>
    <xf numFmtId="0" fontId="1" fillId="0" borderId="17" xfId="0" applyFont="1" applyBorder="1" applyAlignment="1">
      <alignment horizontal="center"/>
    </xf>
    <xf numFmtId="0" fontId="5" fillId="0" borderId="17" xfId="0" applyFont="1" applyBorder="1" applyAlignment="1">
      <alignment horizontal="center" vertical="center"/>
    </xf>
    <xf numFmtId="0" fontId="1" fillId="3" borderId="0" xfId="0" applyFont="1" applyFill="1" applyAlignment="1" applyProtection="1">
      <alignment horizontal="center" vertical="center"/>
      <protection locked="0"/>
    </xf>
    <xf numFmtId="0" fontId="1" fillId="3" borderId="17" xfId="0" applyFont="1" applyFill="1" applyBorder="1" applyAlignment="1" applyProtection="1">
      <alignment horizontal="center" vertical="center"/>
      <protection locked="0"/>
    </xf>
    <xf numFmtId="0" fontId="12" fillId="0" borderId="17" xfId="0" applyFont="1" applyBorder="1" applyAlignment="1">
      <alignment horizontal="center" vertical="center" wrapText="1"/>
    </xf>
    <xf numFmtId="164" fontId="5" fillId="3" borderId="0" xfId="0" applyNumberFormat="1" applyFont="1" applyFill="1" applyAlignment="1">
      <alignment horizontal="center" vertical="center"/>
    </xf>
    <xf numFmtId="164" fontId="5" fillId="3" borderId="17" xfId="0" applyNumberFormat="1" applyFont="1" applyFill="1" applyBorder="1" applyAlignment="1">
      <alignment horizontal="center" vertical="center"/>
    </xf>
    <xf numFmtId="0" fontId="2" fillId="0" borderId="17" xfId="0" applyFont="1" applyBorder="1"/>
    <xf numFmtId="0" fontId="8" fillId="0" borderId="0" xfId="0" applyFont="1" applyAlignment="1">
      <alignment horizontal="center"/>
    </xf>
    <xf numFmtId="0" fontId="1" fillId="0" borderId="0" xfId="0" applyFont="1" applyAlignment="1">
      <alignment horizontal="center" vertical="center" wrapText="1"/>
    </xf>
    <xf numFmtId="0" fontId="2" fillId="0" borderId="0" xfId="0" applyFont="1" applyAlignment="1">
      <alignment horizontal="left"/>
    </xf>
    <xf numFmtId="0" fontId="1" fillId="0" borderId="0" xfId="0" applyFont="1" applyAlignment="1">
      <alignment horizontal="left" wrapText="1" shrinkToFit="1"/>
    </xf>
    <xf numFmtId="0" fontId="2" fillId="3" borderId="0" xfId="0" applyFont="1" applyFill="1"/>
    <xf numFmtId="0" fontId="2" fillId="0" borderId="17" xfId="0" applyFont="1" applyBorder="1" applyAlignment="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wrapText="1"/>
    </xf>
    <xf numFmtId="0" fontId="2" fillId="0" borderId="1" xfId="0" applyFont="1" applyBorder="1"/>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1" fillId="5" borderId="17" xfId="0" applyFont="1" applyFill="1" applyBorder="1" applyAlignment="1">
      <alignment horizontal="center" vertical="center"/>
    </xf>
    <xf numFmtId="0" fontId="1" fillId="2" borderId="17" xfId="0" applyFont="1" applyFill="1" applyBorder="1" applyAlignment="1" applyProtection="1">
      <alignment horizontal="center" vertical="center"/>
      <protection locked="0"/>
    </xf>
    <xf numFmtId="14" fontId="5" fillId="3" borderId="0" xfId="0" applyNumberFormat="1" applyFont="1" applyFill="1" applyAlignment="1">
      <alignment horizontal="center" vertical="center"/>
    </xf>
    <xf numFmtId="0" fontId="1" fillId="0" borderId="6" xfId="0" applyFont="1" applyBorder="1" applyAlignment="1">
      <alignment vertical="center"/>
    </xf>
    <xf numFmtId="0" fontId="6" fillId="0" borderId="17" xfId="0" applyFont="1" applyBorder="1" applyAlignment="1">
      <alignment vertical="center"/>
    </xf>
    <xf numFmtId="0" fontId="1" fillId="0" borderId="24" xfId="0" applyFont="1" applyBorder="1" applyAlignment="1">
      <alignment vertical="center"/>
    </xf>
    <xf numFmtId="0" fontId="2" fillId="0" borderId="21" xfId="0" applyFont="1" applyBorder="1" applyAlignment="1">
      <alignment vertical="center"/>
    </xf>
    <xf numFmtId="0" fontId="1" fillId="0" borderId="22" xfId="0" applyFont="1" applyBorder="1" applyAlignment="1">
      <alignment horizontal="center" vertical="center"/>
    </xf>
    <xf numFmtId="0" fontId="12" fillId="2" borderId="18" xfId="0" applyFont="1" applyFill="1" applyBorder="1" applyAlignment="1">
      <alignment horizontal="center" vertical="center" wrapText="1"/>
    </xf>
    <xf numFmtId="0" fontId="2" fillId="0" borderId="21" xfId="0" applyFont="1" applyBorder="1" applyAlignment="1">
      <alignment vertical="center" wrapText="1"/>
    </xf>
    <xf numFmtId="0" fontId="1" fillId="2" borderId="18" xfId="0" applyFont="1" applyFill="1" applyBorder="1" applyAlignment="1">
      <alignment horizontal="center" vertical="center"/>
    </xf>
    <xf numFmtId="0" fontId="2" fillId="0" borderId="0" xfId="0" applyFont="1" applyAlignment="1">
      <alignment vertical="center"/>
    </xf>
    <xf numFmtId="0" fontId="2" fillId="3" borderId="0" xfId="0" applyFont="1" applyFill="1" applyAlignment="1">
      <alignment vertical="center"/>
    </xf>
    <xf numFmtId="0" fontId="1" fillId="0" borderId="3" xfId="0" applyFont="1" applyBorder="1" applyAlignment="1">
      <alignment horizontal="left" vertical="center" wrapText="1"/>
    </xf>
    <xf numFmtId="0" fontId="11" fillId="0" borderId="17" xfId="0" applyFont="1" applyBorder="1" applyAlignment="1">
      <alignment horizontal="center" vertical="center" wrapText="1"/>
    </xf>
    <xf numFmtId="0" fontId="1" fillId="2" borderId="17" xfId="0" applyFont="1" applyFill="1" applyBorder="1" applyAlignment="1">
      <alignment horizontal="center" vertical="center"/>
    </xf>
    <xf numFmtId="0" fontId="1" fillId="2" borderId="26" xfId="0" applyFont="1" applyFill="1" applyBorder="1" applyAlignment="1">
      <alignment horizontal="center" vertical="center"/>
    </xf>
    <xf numFmtId="0" fontId="1" fillId="8" borderId="24" xfId="0" applyFont="1" applyFill="1" applyBorder="1" applyAlignment="1">
      <alignment vertical="center"/>
    </xf>
    <xf numFmtId="0" fontId="6" fillId="8" borderId="17" xfId="0" applyFont="1" applyFill="1" applyBorder="1" applyAlignment="1">
      <alignment vertical="center"/>
    </xf>
    <xf numFmtId="0" fontId="1" fillId="8" borderId="17" xfId="0" applyFont="1" applyFill="1" applyBorder="1" applyAlignment="1">
      <alignment vertical="center"/>
    </xf>
    <xf numFmtId="0" fontId="1" fillId="8" borderId="17" xfId="0" applyFont="1" applyFill="1" applyBorder="1" applyAlignment="1" applyProtection="1">
      <alignment vertical="center"/>
      <protection locked="0"/>
    </xf>
    <xf numFmtId="0" fontId="6" fillId="8" borderId="21" xfId="0" applyFont="1" applyFill="1" applyBorder="1" applyAlignment="1" applyProtection="1">
      <alignment vertical="center" wrapText="1"/>
      <protection locked="0"/>
    </xf>
    <xf numFmtId="0" fontId="6" fillId="8" borderId="25" xfId="0" applyFont="1" applyFill="1" applyBorder="1" applyAlignment="1" applyProtection="1">
      <alignment vertical="center" wrapText="1"/>
      <protection locked="0"/>
    </xf>
    <xf numFmtId="0" fontId="1" fillId="0" borderId="19" xfId="0" applyFont="1" applyBorder="1" applyAlignment="1">
      <alignment horizontal="center" vertical="center" wrapText="1"/>
    </xf>
    <xf numFmtId="0" fontId="7" fillId="0" borderId="26" xfId="0" applyFont="1" applyBorder="1" applyAlignment="1">
      <alignment horizontal="center" vertical="center" wrapText="1"/>
    </xf>
    <xf numFmtId="0" fontId="2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164" fontId="2" fillId="0" borderId="0" xfId="0" applyNumberFormat="1" applyFont="1" applyAlignment="1">
      <alignment horizontal="left"/>
    </xf>
    <xf numFmtId="0" fontId="9" fillId="3" borderId="0" xfId="0" applyFont="1" applyFill="1"/>
    <xf numFmtId="0" fontId="1" fillId="3" borderId="0" xfId="0" applyFont="1" applyFill="1"/>
    <xf numFmtId="0" fontId="2" fillId="3" borderId="0" xfId="0" applyFont="1" applyFill="1" applyAlignment="1">
      <alignment horizontal="left"/>
    </xf>
    <xf numFmtId="0" fontId="9" fillId="3" borderId="0" xfId="0" applyFont="1" applyFill="1" applyAlignment="1">
      <alignment vertical="center"/>
    </xf>
    <xf numFmtId="0" fontId="1" fillId="3" borderId="6" xfId="0" applyFont="1" applyFill="1" applyBorder="1" applyAlignment="1">
      <alignment vertical="center"/>
    </xf>
    <xf numFmtId="0" fontId="1" fillId="3" borderId="11" xfId="0" applyFont="1" applyFill="1" applyBorder="1" applyAlignment="1">
      <alignment vertical="center"/>
    </xf>
    <xf numFmtId="0" fontId="1" fillId="3" borderId="0" xfId="0" applyFont="1" applyFill="1" applyAlignment="1">
      <alignment vertical="center"/>
    </xf>
    <xf numFmtId="0" fontId="1" fillId="3" borderId="14" xfId="0" applyFont="1" applyFill="1" applyBorder="1" applyAlignment="1">
      <alignment vertical="center"/>
    </xf>
    <xf numFmtId="0" fontId="1" fillId="3" borderId="5" xfId="0" applyFont="1" applyFill="1" applyBorder="1" applyAlignment="1">
      <alignment vertical="center"/>
    </xf>
    <xf numFmtId="0" fontId="1" fillId="3" borderId="7" xfId="0" applyFont="1" applyFill="1" applyBorder="1" applyAlignment="1">
      <alignment vertical="center"/>
    </xf>
    <xf numFmtId="0" fontId="15" fillId="0" borderId="30" xfId="0" applyFont="1" applyBorder="1" applyAlignment="1">
      <alignment horizontal="center" vertical="center" wrapText="1"/>
    </xf>
    <xf numFmtId="0" fontId="15" fillId="3" borderId="30" xfId="0" applyFont="1" applyFill="1" applyBorder="1" applyAlignment="1">
      <alignment horizontal="center" vertical="center" wrapText="1"/>
    </xf>
    <xf numFmtId="0" fontId="15" fillId="3" borderId="32" xfId="0" applyFont="1" applyFill="1" applyBorder="1" applyAlignment="1">
      <alignment horizontal="center" vertical="center" wrapText="1"/>
    </xf>
    <xf numFmtId="49" fontId="15" fillId="7" borderId="29" xfId="0" applyNumberFormat="1" applyFont="1" applyFill="1" applyBorder="1" applyAlignment="1">
      <alignment horizontal="center" vertical="center" wrapText="1"/>
    </xf>
    <xf numFmtId="0" fontId="24" fillId="0" borderId="0" xfId="0" applyFont="1" applyAlignment="1">
      <alignment horizontal="center" vertical="center"/>
    </xf>
    <xf numFmtId="0" fontId="2" fillId="0" borderId="17" xfId="0" applyFont="1" applyBorder="1" applyAlignment="1">
      <alignment horizontal="right" vertical="center" wrapText="1"/>
    </xf>
    <xf numFmtId="0" fontId="2" fillId="0" borderId="17" xfId="0" applyFont="1" applyBorder="1" applyAlignment="1">
      <alignment vertical="center" wrapText="1"/>
    </xf>
    <xf numFmtId="0" fontId="2" fillId="3" borderId="17" xfId="0" applyFont="1" applyFill="1" applyBorder="1" applyAlignment="1">
      <alignment horizontal="left" vertical="center"/>
    </xf>
    <xf numFmtId="0" fontId="6" fillId="0" borderId="17" xfId="0" applyFont="1" applyBorder="1" applyAlignment="1">
      <alignment vertical="center" wrapText="1"/>
    </xf>
    <xf numFmtId="0" fontId="2" fillId="8" borderId="22" xfId="0" applyFont="1" applyFill="1" applyBorder="1" applyAlignment="1">
      <alignment vertical="center"/>
    </xf>
    <xf numFmtId="0" fontId="2" fillId="8" borderId="22" xfId="0" applyFont="1" applyFill="1" applyBorder="1" applyAlignment="1">
      <alignment vertical="center" wrapText="1"/>
    </xf>
    <xf numFmtId="0" fontId="1" fillId="9" borderId="22" xfId="0" applyFont="1" applyFill="1" applyBorder="1" applyAlignment="1">
      <alignment vertical="center" wrapText="1"/>
    </xf>
    <xf numFmtId="0" fontId="1" fillId="3" borderId="19"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3" borderId="30" xfId="0" applyFont="1" applyFill="1" applyBorder="1" applyAlignment="1">
      <alignment horizontal="center" vertical="center" wrapText="1"/>
    </xf>
    <xf numFmtId="0" fontId="2" fillId="0" borderId="19" xfId="0" applyFont="1" applyBorder="1" applyAlignment="1">
      <alignment horizontal="left" vertical="center" wrapText="1"/>
    </xf>
    <xf numFmtId="2" fontId="2" fillId="2" borderId="19" xfId="0" applyNumberFormat="1" applyFont="1" applyFill="1" applyBorder="1" applyAlignment="1" applyProtection="1">
      <alignment horizontal="center" vertical="center"/>
      <protection locked="0"/>
    </xf>
    <xf numFmtId="2" fontId="2" fillId="2" borderId="17" xfId="0" applyNumberFormat="1" applyFont="1" applyFill="1" applyBorder="1" applyAlignment="1" applyProtection="1">
      <alignment horizontal="center" vertical="center"/>
      <protection locked="0"/>
    </xf>
    <xf numFmtId="2" fontId="2" fillId="2" borderId="17" xfId="0" applyNumberFormat="1" applyFont="1" applyFill="1" applyBorder="1" applyAlignment="1" applyProtection="1">
      <alignment vertical="center"/>
      <protection locked="0"/>
    </xf>
    <xf numFmtId="2" fontId="2" fillId="2" borderId="18" xfId="0" applyNumberFormat="1" applyFont="1" applyFill="1" applyBorder="1" applyAlignment="1" applyProtection="1">
      <alignment horizontal="center" vertical="center"/>
      <protection locked="0"/>
    </xf>
    <xf numFmtId="0" fontId="2" fillId="0" borderId="19" xfId="0" applyFont="1" applyBorder="1" applyAlignment="1">
      <alignment horizontal="left" vertical="center"/>
    </xf>
    <xf numFmtId="0" fontId="2" fillId="2" borderId="19"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protection locked="0"/>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19" xfId="0" applyFont="1" applyBorder="1" applyAlignment="1">
      <alignment vertical="center"/>
    </xf>
    <xf numFmtId="0" fontId="1" fillId="0" borderId="19" xfId="0" applyFont="1" applyBorder="1" applyAlignment="1">
      <alignment horizontal="right" vertical="center"/>
    </xf>
    <xf numFmtId="0" fontId="1" fillId="0" borderId="34" xfId="0" applyFont="1" applyBorder="1" applyAlignment="1">
      <alignment horizontal="right" vertical="center"/>
    </xf>
    <xf numFmtId="0" fontId="1" fillId="0" borderId="4" xfId="0" applyFont="1" applyBorder="1" applyAlignment="1">
      <alignment vertical="center"/>
    </xf>
    <xf numFmtId="0" fontId="1" fillId="0" borderId="16" xfId="0" applyFont="1" applyBorder="1" applyAlignment="1">
      <alignment horizontal="right" vertical="center"/>
    </xf>
    <xf numFmtId="0" fontId="1" fillId="0" borderId="36" xfId="0" applyFont="1" applyBorder="1" applyAlignment="1">
      <alignment horizontal="right" vertical="center"/>
    </xf>
    <xf numFmtId="0" fontId="1" fillId="0" borderId="16" xfId="0" applyFont="1" applyBorder="1" applyAlignment="1">
      <alignment horizontal="center"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7" fillId="0" borderId="34" xfId="0" applyFont="1" applyBorder="1" applyAlignment="1">
      <alignment horizontal="center" vertical="center" wrapText="1"/>
    </xf>
    <xf numFmtId="0" fontId="7" fillId="3" borderId="24"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7" xfId="0" applyFont="1" applyBorder="1" applyAlignment="1">
      <alignment vertical="center"/>
    </xf>
    <xf numFmtId="0" fontId="15" fillId="0" borderId="40" xfId="0" applyFont="1" applyBorder="1" applyAlignment="1">
      <alignment horizontal="center" vertical="center" wrapText="1"/>
    </xf>
    <xf numFmtId="0" fontId="1" fillId="0" borderId="15" xfId="0" applyFont="1" applyBorder="1" applyAlignment="1">
      <alignment vertical="center"/>
    </xf>
    <xf numFmtId="0" fontId="7" fillId="0" borderId="7" xfId="0" applyFont="1" applyBorder="1" applyAlignment="1">
      <alignment horizontal="center" vertical="center" wrapText="1"/>
    </xf>
    <xf numFmtId="0" fontId="2" fillId="0" borderId="18" xfId="0" applyFont="1" applyBorder="1" applyAlignment="1">
      <alignment horizontal="right" vertical="center" wrapText="1"/>
    </xf>
    <xf numFmtId="0" fontId="8" fillId="0" borderId="19" xfId="0" applyFont="1" applyBorder="1" applyAlignment="1">
      <alignment horizontal="center" vertical="center"/>
    </xf>
    <xf numFmtId="0" fontId="1" fillId="2" borderId="19" xfId="0" applyFont="1" applyFill="1" applyBorder="1" applyAlignment="1">
      <alignment horizontal="center" vertical="center"/>
    </xf>
    <xf numFmtId="0" fontId="7" fillId="0" borderId="4" xfId="0" applyFont="1" applyBorder="1" applyAlignment="1">
      <alignment horizontal="center" vertical="center"/>
    </xf>
    <xf numFmtId="0" fontId="1" fillId="0" borderId="17" xfId="0" applyFont="1" applyBorder="1" applyAlignment="1">
      <alignment vertical="center"/>
    </xf>
    <xf numFmtId="0" fontId="1" fillId="4" borderId="28" xfId="0" applyFont="1" applyFill="1" applyBorder="1" applyAlignment="1">
      <alignment horizontal="center" vertical="center" wrapText="1"/>
    </xf>
    <xf numFmtId="14" fontId="26" fillId="8" borderId="17" xfId="0" applyNumberFormat="1" applyFont="1" applyFill="1" applyBorder="1" applyAlignment="1">
      <alignment horizontal="center" vertical="center" wrapText="1"/>
    </xf>
    <xf numFmtId="0" fontId="1" fillId="0" borderId="11" xfId="0" applyFont="1" applyBorder="1" applyAlignment="1">
      <alignment vertical="center"/>
    </xf>
    <xf numFmtId="0" fontId="1" fillId="0" borderId="14" xfId="0" applyFont="1" applyBorder="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left" vertical="center"/>
    </xf>
    <xf numFmtId="0" fontId="14" fillId="0" borderId="0" xfId="0" applyFont="1" applyAlignment="1">
      <alignment horizontal="center" vertical="center" wrapText="1"/>
    </xf>
    <xf numFmtId="0" fontId="25" fillId="0" borderId="0" xfId="0" applyFont="1" applyAlignment="1" applyProtection="1">
      <alignment horizontal="center" vertical="center" wrapText="1" shrinkToFit="1"/>
      <protection locked="0"/>
    </xf>
    <xf numFmtId="0" fontId="1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pplyProtection="1">
      <alignment horizontal="center" vertical="center" wrapText="1"/>
      <protection locked="0"/>
    </xf>
    <xf numFmtId="0" fontId="6" fillId="0" borderId="0" xfId="0" applyFont="1" applyAlignment="1" applyProtection="1">
      <alignment vertical="center" wrapText="1"/>
      <protection locked="0"/>
    </xf>
    <xf numFmtId="164" fontId="20" fillId="0" borderId="0" xfId="0" applyNumberFormat="1" applyFont="1" applyAlignment="1">
      <alignment horizontal="left" vertical="center"/>
    </xf>
    <xf numFmtId="0" fontId="15" fillId="0" borderId="0" xfId="0" applyFont="1" applyAlignment="1">
      <alignment horizontal="center" vertical="center" wrapText="1"/>
    </xf>
    <xf numFmtId="0" fontId="27" fillId="0" borderId="0" xfId="0" applyFont="1" applyAlignment="1">
      <alignment horizontal="center" vertical="center" wrapText="1"/>
    </xf>
    <xf numFmtId="0" fontId="2" fillId="0" borderId="0" xfId="0" applyFont="1" applyAlignment="1">
      <alignment horizontal="center" vertical="center" wrapText="1" shrinkToFit="1"/>
    </xf>
    <xf numFmtId="0" fontId="2" fillId="0" borderId="0" xfId="0" applyFont="1" applyAlignment="1" applyProtection="1">
      <alignment horizontal="center" vertical="center"/>
      <protection locked="0"/>
    </xf>
    <xf numFmtId="164" fontId="22" fillId="0" borderId="0" xfId="0" applyNumberFormat="1" applyFont="1" applyAlignment="1">
      <alignment horizontal="left" vertical="center" wrapText="1"/>
    </xf>
    <xf numFmtId="0" fontId="2" fillId="0" borderId="0" xfId="0" applyFont="1" applyAlignment="1" applyProtection="1">
      <alignment horizontal="center" vertical="center" wrapText="1"/>
      <protection locked="0"/>
    </xf>
    <xf numFmtId="0" fontId="15" fillId="0" borderId="0" xfId="0" applyFont="1" applyAlignment="1">
      <alignment horizontal="center" vertical="center" wrapText="1" shrinkToFit="1"/>
    </xf>
    <xf numFmtId="164" fontId="23" fillId="0" borderId="0" xfId="0" applyNumberFormat="1" applyFont="1" applyAlignment="1">
      <alignment horizontal="left" vertical="center"/>
    </xf>
    <xf numFmtId="164" fontId="14" fillId="0" borderId="0" xfId="0" applyNumberFormat="1" applyFont="1" applyAlignment="1">
      <alignment horizontal="left" vertical="center" wrapText="1"/>
    </xf>
    <xf numFmtId="0" fontId="31" fillId="4" borderId="26" xfId="0" applyFont="1" applyFill="1" applyBorder="1" applyAlignment="1">
      <alignment horizontal="center" vertical="center" wrapText="1"/>
    </xf>
    <xf numFmtId="0" fontId="32" fillId="4" borderId="48" xfId="0" applyFont="1" applyFill="1" applyBorder="1" applyAlignment="1">
      <alignment horizontal="center" vertical="center" wrapText="1"/>
    </xf>
    <xf numFmtId="0" fontId="12" fillId="7" borderId="19" xfId="0" applyFont="1" applyFill="1" applyBorder="1" applyAlignment="1">
      <alignment horizontal="center" vertical="center" wrapText="1"/>
    </xf>
    <xf numFmtId="0" fontId="1" fillId="0" borderId="2" xfId="0" applyFont="1" applyBorder="1" applyAlignment="1">
      <alignment horizontal="center" vertical="center" wrapText="1"/>
    </xf>
    <xf numFmtId="0" fontId="3" fillId="0" borderId="0" xfId="0" applyFont="1" applyAlignment="1">
      <alignment horizontal="center" vertical="center"/>
    </xf>
    <xf numFmtId="164" fontId="35" fillId="0" borderId="0" xfId="0" applyNumberFormat="1" applyFont="1" applyAlignment="1">
      <alignment horizontal="left" vertical="center"/>
    </xf>
    <xf numFmtId="0" fontId="36" fillId="0" borderId="0" xfId="0" applyFont="1"/>
    <xf numFmtId="0" fontId="36" fillId="3" borderId="0" xfId="0" applyFont="1" applyFill="1"/>
    <xf numFmtId="0" fontId="9" fillId="2" borderId="17" xfId="0" applyFont="1" applyFill="1" applyBorder="1" applyAlignment="1" applyProtection="1">
      <alignment horizontal="center" vertical="center" wrapText="1"/>
      <protection locked="0"/>
    </xf>
    <xf numFmtId="0" fontId="9" fillId="2" borderId="18" xfId="0" applyFont="1" applyFill="1" applyBorder="1" applyAlignment="1" applyProtection="1">
      <alignment horizontal="center" vertical="center" wrapText="1"/>
      <protection locked="0"/>
    </xf>
    <xf numFmtId="0" fontId="1" fillId="8" borderId="7" xfId="0" applyFont="1" applyFill="1" applyBorder="1"/>
    <xf numFmtId="0" fontId="2" fillId="8" borderId="0" xfId="0" applyFont="1" applyFill="1"/>
    <xf numFmtId="0" fontId="2" fillId="8" borderId="0" xfId="0" applyFont="1" applyFill="1" applyAlignment="1">
      <alignment wrapText="1"/>
    </xf>
    <xf numFmtId="0" fontId="37" fillId="0" borderId="0" xfId="0" applyFont="1"/>
    <xf numFmtId="0" fontId="37" fillId="0" borderId="0" xfId="0" applyFont="1" applyAlignment="1">
      <alignment wrapText="1"/>
    </xf>
    <xf numFmtId="0" fontId="37" fillId="3" borderId="9" xfId="0" applyFont="1" applyFill="1" applyBorder="1" applyAlignment="1">
      <alignment horizontal="center" wrapText="1"/>
    </xf>
    <xf numFmtId="0" fontId="37" fillId="3" borderId="9" xfId="0" applyFont="1" applyFill="1" applyBorder="1" applyAlignment="1">
      <alignment horizontal="left"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1" fillId="8" borderId="0" xfId="0" applyFont="1" applyFill="1"/>
    <xf numFmtId="0" fontId="2" fillId="8" borderId="1" xfId="0" applyFont="1" applyFill="1" applyBorder="1"/>
    <xf numFmtId="0" fontId="1" fillId="0" borderId="4" xfId="0" applyFont="1" applyBorder="1" applyAlignment="1">
      <alignment horizontal="left" vertical="center" wrapText="1"/>
    </xf>
    <xf numFmtId="0" fontId="1" fillId="0" borderId="16" xfId="0" applyFont="1" applyBorder="1" applyAlignment="1">
      <alignment horizontal="left" vertical="center" wrapText="1"/>
    </xf>
    <xf numFmtId="0" fontId="1" fillId="0" borderId="38" xfId="0" applyFont="1" applyBorder="1" applyAlignment="1">
      <alignment horizontal="center" vertical="center" wrapText="1"/>
    </xf>
    <xf numFmtId="14" fontId="2" fillId="2" borderId="2" xfId="0" applyNumberFormat="1" applyFont="1" applyFill="1" applyBorder="1" applyAlignment="1">
      <alignment vertical="center" wrapText="1"/>
    </xf>
    <xf numFmtId="0" fontId="1" fillId="5" borderId="19" xfId="0" applyFont="1" applyFill="1" applyBorder="1" applyAlignment="1">
      <alignment horizontal="center" vertical="center"/>
    </xf>
    <xf numFmtId="0" fontId="1" fillId="2" borderId="19" xfId="0" applyFont="1" applyFill="1" applyBorder="1" applyAlignment="1" applyProtection="1">
      <alignment horizontal="center" vertical="center"/>
      <protection locked="0"/>
    </xf>
    <xf numFmtId="0" fontId="1" fillId="0" borderId="51" xfId="0" applyFont="1" applyBorder="1" applyAlignment="1">
      <alignment horizontal="center" vertical="center" wrapText="1"/>
    </xf>
    <xf numFmtId="0" fontId="1" fillId="6" borderId="29" xfId="0" applyFont="1" applyFill="1" applyBorder="1" applyAlignment="1">
      <alignment vertical="center"/>
    </xf>
    <xf numFmtId="164" fontId="42" fillId="0" borderId="0" xfId="0" applyNumberFormat="1" applyFont="1" applyAlignment="1">
      <alignment horizontal="left" vertical="center"/>
    </xf>
    <xf numFmtId="0" fontId="9" fillId="0" borderId="0" xfId="0" applyFont="1"/>
    <xf numFmtId="0" fontId="5" fillId="2" borderId="17" xfId="0" applyFont="1" applyFill="1" applyBorder="1" applyAlignment="1" applyProtection="1">
      <alignment horizontal="center" vertical="center"/>
      <protection locked="0"/>
    </xf>
    <xf numFmtId="0" fontId="2" fillId="0" borderId="19" xfId="0" applyFont="1" applyBorder="1" applyAlignment="1">
      <alignment horizontal="right" vertical="center" wrapText="1"/>
    </xf>
    <xf numFmtId="0" fontId="1" fillId="0" borderId="57" xfId="0" applyFont="1" applyBorder="1" applyAlignment="1">
      <alignment horizontal="right" vertical="center"/>
    </xf>
    <xf numFmtId="0" fontId="2" fillId="0" borderId="30" xfId="0" applyFont="1" applyBorder="1" applyAlignment="1">
      <alignment horizontal="right" vertical="center"/>
    </xf>
    <xf numFmtId="0" fontId="1" fillId="6" borderId="13" xfId="0" applyFont="1" applyFill="1" applyBorder="1" applyAlignment="1">
      <alignment vertical="center"/>
    </xf>
    <xf numFmtId="14" fontId="26" fillId="2" borderId="39" xfId="0" applyNumberFormat="1" applyFont="1" applyFill="1" applyBorder="1" applyAlignment="1">
      <alignment horizontal="center" vertical="center" wrapText="1"/>
    </xf>
    <xf numFmtId="0" fontId="13" fillId="13" borderId="7" xfId="0" applyFont="1" applyFill="1" applyBorder="1" applyAlignment="1">
      <alignment horizontal="left" vertical="center" wrapText="1"/>
    </xf>
    <xf numFmtId="0" fontId="13" fillId="13" borderId="0" xfId="0" applyFont="1" applyFill="1" applyBorder="1" applyAlignment="1">
      <alignment horizontal="left" vertical="center" wrapText="1"/>
    </xf>
    <xf numFmtId="0" fontId="43" fillId="13" borderId="19" xfId="0" applyFont="1" applyFill="1" applyBorder="1" applyAlignment="1">
      <alignment horizontal="center" vertical="center" wrapText="1"/>
    </xf>
    <xf numFmtId="0" fontId="37" fillId="3" borderId="21" xfId="0" applyFont="1" applyFill="1" applyBorder="1" applyAlignment="1">
      <alignment horizontal="left" vertical="center" wrapText="1"/>
    </xf>
    <xf numFmtId="0" fontId="46" fillId="3" borderId="21" xfId="0" applyFont="1" applyFill="1" applyBorder="1" applyAlignment="1">
      <alignment horizontal="left" vertical="center" wrapText="1"/>
    </xf>
    <xf numFmtId="0" fontId="37" fillId="0" borderId="28" xfId="0" applyFont="1" applyBorder="1" applyAlignment="1">
      <alignment horizontal="left" vertical="center" wrapText="1"/>
    </xf>
    <xf numFmtId="0" fontId="12" fillId="8" borderId="23" xfId="0" applyFont="1" applyFill="1" applyBorder="1" applyAlignment="1">
      <alignment horizontal="center" vertical="center" wrapText="1"/>
    </xf>
    <xf numFmtId="0" fontId="1" fillId="8" borderId="28" xfId="0" applyFont="1" applyFill="1" applyBorder="1" applyAlignment="1">
      <alignment horizontal="center" vertical="center" wrapText="1" shrinkToFit="1"/>
    </xf>
    <xf numFmtId="0" fontId="1" fillId="8" borderId="50" xfId="0" applyFont="1" applyFill="1" applyBorder="1" applyAlignment="1">
      <alignment horizontal="center" vertical="center" wrapText="1" shrinkToFit="1"/>
    </xf>
    <xf numFmtId="0" fontId="15" fillId="3" borderId="23" xfId="0" applyFont="1" applyFill="1" applyBorder="1" applyAlignment="1">
      <alignment horizontal="center" vertical="center" wrapText="1"/>
    </xf>
    <xf numFmtId="0" fontId="2" fillId="6" borderId="21" xfId="0" applyFont="1" applyFill="1" applyBorder="1" applyAlignment="1" applyProtection="1">
      <alignment horizontal="center" vertical="center" wrapText="1"/>
      <protection locked="0"/>
    </xf>
    <xf numFmtId="2" fontId="45" fillId="5" borderId="17" xfId="0" applyNumberFormat="1" applyFont="1" applyFill="1" applyBorder="1" applyAlignment="1">
      <alignment horizontal="center" vertical="center"/>
    </xf>
    <xf numFmtId="2" fontId="7" fillId="5" borderId="18" xfId="0" applyNumberFormat="1" applyFont="1" applyFill="1" applyBorder="1" applyAlignment="1">
      <alignment horizontal="center" vertical="center"/>
    </xf>
    <xf numFmtId="2" fontId="1" fillId="5" borderId="19" xfId="0" applyNumberFormat="1" applyFont="1" applyFill="1" applyBorder="1" applyAlignment="1">
      <alignment horizontal="center" vertical="center"/>
    </xf>
    <xf numFmtId="2" fontId="1" fillId="3" borderId="30" xfId="0" applyNumberFormat="1" applyFont="1" applyFill="1" applyBorder="1" applyAlignment="1">
      <alignment horizontal="center" vertical="center" wrapText="1"/>
    </xf>
    <xf numFmtId="2" fontId="1" fillId="5" borderId="17" xfId="0" applyNumberFormat="1" applyFont="1" applyFill="1" applyBorder="1" applyAlignment="1">
      <alignment horizontal="center" vertical="center"/>
    </xf>
    <xf numFmtId="2" fontId="1" fillId="5" borderId="18" xfId="0" applyNumberFormat="1" applyFont="1" applyFill="1" applyBorder="1" applyAlignment="1">
      <alignment horizontal="center" vertical="center"/>
    </xf>
    <xf numFmtId="2" fontId="7" fillId="5" borderId="17" xfId="0" applyNumberFormat="1" applyFont="1" applyFill="1" applyBorder="1" applyAlignment="1">
      <alignment horizontal="center" vertical="center" wrapText="1"/>
    </xf>
    <xf numFmtId="0" fontId="6" fillId="0" borderId="17" xfId="0" applyFont="1" applyBorder="1" applyAlignment="1">
      <alignment horizontal="left" vertical="center" wrapText="1"/>
    </xf>
    <xf numFmtId="0" fontId="7" fillId="0" borderId="4" xfId="0" applyFont="1" applyBorder="1" applyAlignment="1">
      <alignment horizontal="left" vertical="center" wrapText="1"/>
    </xf>
    <xf numFmtId="0" fontId="6" fillId="3" borderId="17" xfId="0" applyFont="1" applyFill="1" applyBorder="1" applyAlignment="1">
      <alignment vertical="center"/>
    </xf>
    <xf numFmtId="0" fontId="6" fillId="8" borderId="22" xfId="0" applyFont="1" applyFill="1" applyBorder="1" applyAlignment="1">
      <alignment vertical="center" wrapText="1"/>
    </xf>
    <xf numFmtId="0" fontId="7" fillId="5" borderId="17" xfId="0" applyFont="1" applyFill="1" applyBorder="1" applyAlignment="1">
      <alignment horizontal="center" vertical="center"/>
    </xf>
    <xf numFmtId="0" fontId="48" fillId="2" borderId="1" xfId="0" applyFont="1" applyFill="1" applyBorder="1" applyAlignment="1">
      <alignment horizontal="center" vertical="center" wrapText="1"/>
    </xf>
    <xf numFmtId="0" fontId="48" fillId="2" borderId="29" xfId="0" applyFont="1" applyFill="1" applyBorder="1" applyAlignment="1">
      <alignment horizontal="center" vertical="center" wrapText="1"/>
    </xf>
    <xf numFmtId="0" fontId="48" fillId="2" borderId="17" xfId="0" applyFont="1" applyFill="1" applyBorder="1" applyAlignment="1">
      <alignment horizontal="center" vertical="center" wrapText="1"/>
    </xf>
    <xf numFmtId="0" fontId="48" fillId="2" borderId="22" xfId="0" applyFont="1" applyFill="1" applyBorder="1" applyAlignment="1" applyProtection="1">
      <alignment horizontal="center" vertical="center"/>
      <protection locked="0"/>
    </xf>
    <xf numFmtId="0" fontId="1" fillId="0" borderId="18" xfId="0" applyFont="1" applyBorder="1" applyAlignment="1">
      <alignment horizontal="left" vertical="center" wrapText="1"/>
    </xf>
    <xf numFmtId="0" fontId="7" fillId="0" borderId="41" xfId="0" applyFont="1" applyBorder="1" applyAlignment="1">
      <alignment vertical="center" wrapText="1"/>
    </xf>
    <xf numFmtId="0" fontId="6" fillId="3" borderId="30" xfId="0" applyFont="1" applyFill="1" applyBorder="1" applyAlignment="1">
      <alignment vertical="center" wrapText="1"/>
    </xf>
    <xf numFmtId="0" fontId="37" fillId="3" borderId="0" xfId="0" applyFont="1" applyFill="1" applyAlignment="1">
      <alignment horizontal="center" wrapText="1"/>
    </xf>
    <xf numFmtId="0" fontId="15" fillId="0" borderId="3" xfId="0" applyFont="1" applyBorder="1" applyAlignment="1">
      <alignment horizontal="left" vertical="center" wrapText="1"/>
    </xf>
    <xf numFmtId="0" fontId="15" fillId="0" borderId="13" xfId="0" applyFont="1" applyBorder="1" applyAlignment="1">
      <alignment horizontal="left" vertical="center" wrapText="1"/>
    </xf>
    <xf numFmtId="0" fontId="15" fillId="0" borderId="33" xfId="0" applyFont="1" applyBorder="1" applyAlignment="1">
      <alignment horizontal="center" vertical="center" wrapText="1" shrinkToFit="1"/>
    </xf>
    <xf numFmtId="0" fontId="15" fillId="0" borderId="44" xfId="0" applyFont="1" applyBorder="1" applyAlignment="1">
      <alignment horizontal="center" vertical="center" wrapText="1" shrinkToFit="1"/>
    </xf>
    <xf numFmtId="0" fontId="18" fillId="0" borderId="3" xfId="0" applyFont="1" applyBorder="1" applyAlignment="1">
      <alignment horizontal="left" vertical="center"/>
    </xf>
    <xf numFmtId="0" fontId="18" fillId="0" borderId="12" xfId="0" applyFont="1" applyBorder="1" applyAlignment="1">
      <alignment horizontal="left" vertical="center"/>
    </xf>
    <xf numFmtId="0" fontId="18" fillId="0" borderId="13" xfId="0" applyFont="1" applyBorder="1" applyAlignment="1">
      <alignment horizontal="left" vertical="center"/>
    </xf>
    <xf numFmtId="164" fontId="23" fillId="11" borderId="3" xfId="0" applyNumberFormat="1" applyFont="1" applyFill="1" applyBorder="1" applyAlignment="1">
      <alignment horizontal="left" vertical="center"/>
    </xf>
    <xf numFmtId="164" fontId="23" fillId="11" borderId="12" xfId="0" applyNumberFormat="1" applyFont="1" applyFill="1" applyBorder="1" applyAlignment="1">
      <alignment horizontal="left" vertical="center"/>
    </xf>
    <xf numFmtId="164" fontId="23" fillId="11" borderId="13" xfId="0" applyNumberFormat="1" applyFont="1" applyFill="1" applyBorder="1" applyAlignment="1">
      <alignment horizontal="left" vertical="center"/>
    </xf>
    <xf numFmtId="0" fontId="37" fillId="3" borderId="6" xfId="0" applyFont="1" applyFill="1" applyBorder="1" applyAlignment="1">
      <alignment horizontal="center" wrapText="1"/>
    </xf>
    <xf numFmtId="0" fontId="37" fillId="3" borderId="11" xfId="0" applyFont="1" applyFill="1" applyBorder="1" applyAlignment="1">
      <alignment horizontal="center" wrapText="1"/>
    </xf>
    <xf numFmtId="22" fontId="37" fillId="3" borderId="0" xfId="0" applyNumberFormat="1" applyFont="1" applyFill="1" applyAlignment="1">
      <alignment horizontal="left" wrapText="1"/>
    </xf>
    <xf numFmtId="0" fontId="38" fillId="3" borderId="14" xfId="0" applyFont="1" applyFill="1" applyBorder="1" applyAlignment="1">
      <alignment horizontal="center" vertical="center" wrapText="1"/>
    </xf>
    <xf numFmtId="0" fontId="38" fillId="3" borderId="10" xfId="0" applyFont="1" applyFill="1" applyBorder="1" applyAlignment="1">
      <alignment horizontal="center" vertical="center" wrapText="1"/>
    </xf>
    <xf numFmtId="0" fontId="37" fillId="3" borderId="9" xfId="0" applyFont="1" applyFill="1" applyBorder="1" applyAlignment="1">
      <alignment horizontal="center" wrapText="1"/>
    </xf>
    <xf numFmtId="0" fontId="39" fillId="3" borderId="6" xfId="0" applyFont="1" applyFill="1" applyBorder="1" applyAlignment="1">
      <alignment horizontal="center" vertical="center" wrapText="1"/>
    </xf>
    <xf numFmtId="0" fontId="39" fillId="3" borderId="0" xfId="0" applyFont="1" applyFill="1" applyAlignment="1">
      <alignment horizontal="center" vertical="center" wrapText="1"/>
    </xf>
    <xf numFmtId="0" fontId="2" fillId="6" borderId="21" xfId="0" applyFont="1" applyFill="1" applyBorder="1" applyAlignment="1" applyProtection="1">
      <alignment horizontal="center" vertical="center" wrapText="1"/>
      <protection locked="0"/>
    </xf>
    <xf numFmtId="0" fontId="2" fillId="6" borderId="25" xfId="0" applyFont="1" applyFill="1" applyBorder="1" applyAlignment="1" applyProtection="1">
      <alignment horizontal="center" vertical="center" wrapText="1"/>
      <protection locked="0"/>
    </xf>
    <xf numFmtId="0" fontId="15" fillId="0" borderId="43" xfId="0" applyFont="1" applyBorder="1" applyAlignment="1">
      <alignment horizontal="center" vertical="center" wrapText="1" shrinkToFit="1"/>
    </xf>
    <xf numFmtId="0" fontId="2" fillId="0" borderId="41" xfId="0" applyFont="1" applyBorder="1" applyAlignment="1">
      <alignment horizontal="left" vertical="center" wrapText="1"/>
    </xf>
    <xf numFmtId="0" fontId="2" fillId="0" borderId="1" xfId="0" applyFont="1" applyBorder="1" applyAlignment="1">
      <alignment horizontal="left" vertical="center" wrapText="1"/>
    </xf>
    <xf numFmtId="0" fontId="2" fillId="0" borderId="38" xfId="0" applyFont="1" applyBorder="1" applyAlignment="1">
      <alignment horizontal="left" vertical="center" wrapText="1"/>
    </xf>
    <xf numFmtId="2" fontId="23" fillId="11" borderId="3" xfId="0" applyNumberFormat="1" applyFont="1" applyFill="1" applyBorder="1" applyAlignment="1">
      <alignment horizontal="left" vertical="center"/>
    </xf>
    <xf numFmtId="2" fontId="23" fillId="11" borderId="12" xfId="0" applyNumberFormat="1" applyFont="1" applyFill="1" applyBorder="1" applyAlignment="1">
      <alignment horizontal="left" vertical="center"/>
    </xf>
    <xf numFmtId="2" fontId="23" fillId="11" borderId="13" xfId="0" applyNumberFormat="1" applyFont="1" applyFill="1" applyBorder="1" applyAlignment="1">
      <alignment horizontal="left" vertical="center"/>
    </xf>
    <xf numFmtId="0" fontId="16" fillId="10" borderId="5" xfId="0" applyFont="1" applyFill="1" applyBorder="1" applyAlignment="1">
      <alignment horizontal="center" vertical="center" wrapText="1"/>
    </xf>
    <xf numFmtId="0" fontId="16" fillId="10" borderId="6"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16" fillId="10" borderId="9" xfId="0" applyFont="1" applyFill="1" applyBorder="1" applyAlignment="1">
      <alignment horizontal="center" vertical="center" wrapText="1"/>
    </xf>
    <xf numFmtId="0" fontId="1" fillId="0" borderId="36" xfId="0" applyFont="1" applyBorder="1" applyAlignment="1">
      <alignment horizontal="center" vertical="center"/>
    </xf>
    <xf numFmtId="0" fontId="1" fillId="0" borderId="15" xfId="0" applyFont="1" applyBorder="1" applyAlignment="1">
      <alignment horizontal="center" vertical="center"/>
    </xf>
    <xf numFmtId="0" fontId="14" fillId="0" borderId="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 fillId="0" borderId="1" xfId="0" applyFont="1" applyBorder="1" applyAlignment="1">
      <alignment horizontal="right" vertical="center"/>
    </xf>
    <xf numFmtId="0" fontId="1" fillId="0" borderId="38" xfId="0" applyFont="1" applyBorder="1" applyAlignment="1">
      <alignment horizontal="right"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1" fillId="0" borderId="0" xfId="0" applyFont="1" applyAlignment="1">
      <alignment horizontal="center" vertical="center" wrapText="1" shrinkToFit="1"/>
    </xf>
    <xf numFmtId="0" fontId="1" fillId="0" borderId="9" xfId="0" applyFont="1" applyBorder="1" applyAlignment="1">
      <alignment horizontal="center" vertical="center" wrapText="1" shrinkToFit="1"/>
    </xf>
    <xf numFmtId="0" fontId="25" fillId="12" borderId="20" xfId="0" applyFont="1" applyFill="1" applyBorder="1" applyAlignment="1" applyProtection="1">
      <alignment horizontal="center" vertical="center" wrapText="1" shrinkToFit="1"/>
      <protection locked="0"/>
    </xf>
    <xf numFmtId="0" fontId="25" fillId="12" borderId="46" xfId="0" applyFont="1" applyFill="1" applyBorder="1" applyAlignment="1" applyProtection="1">
      <alignment horizontal="center" vertical="center" wrapText="1" shrinkToFit="1"/>
      <protection locked="0"/>
    </xf>
    <xf numFmtId="0" fontId="25" fillId="12" borderId="47" xfId="0" applyFont="1" applyFill="1" applyBorder="1" applyAlignment="1" applyProtection="1">
      <alignment horizontal="center" vertical="center" wrapText="1" shrinkToFit="1"/>
      <protection locked="0"/>
    </xf>
    <xf numFmtId="0" fontId="1" fillId="0" borderId="1" xfId="0" applyFont="1" applyBorder="1" applyAlignment="1">
      <alignment horizontal="center" vertical="center" wrapText="1"/>
    </xf>
    <xf numFmtId="0" fontId="1" fillId="0" borderId="38" xfId="0" applyFont="1" applyBorder="1" applyAlignment="1">
      <alignment horizontal="center" vertical="center" wrapText="1"/>
    </xf>
    <xf numFmtId="0" fontId="6" fillId="6" borderId="21"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1" fillId="6" borderId="28" xfId="0" applyFont="1" applyFill="1" applyBorder="1" applyAlignment="1">
      <alignment vertical="center"/>
    </xf>
    <xf numFmtId="0" fontId="1" fillId="6" borderId="56" xfId="0" applyFont="1" applyFill="1" applyBorder="1" applyAlignment="1">
      <alignmen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11" xfId="0" applyFont="1" applyBorder="1" applyAlignment="1">
      <alignment horizontal="left" vertical="center"/>
    </xf>
    <xf numFmtId="0" fontId="1" fillId="6" borderId="27" xfId="0" applyFont="1" applyFill="1" applyBorder="1" applyAlignment="1">
      <alignment vertical="center" wrapText="1"/>
    </xf>
    <xf numFmtId="0" fontId="1" fillId="6" borderId="42" xfId="0" applyFont="1" applyFill="1" applyBorder="1" applyAlignment="1">
      <alignment vertical="center" wrapText="1"/>
    </xf>
    <xf numFmtId="0" fontId="1" fillId="6" borderId="39" xfId="0" applyFont="1" applyFill="1" applyBorder="1" applyAlignment="1">
      <alignment vertical="center" wrapText="1"/>
    </xf>
    <xf numFmtId="0" fontId="1" fillId="0" borderId="1" xfId="0" applyFont="1" applyBorder="1" applyAlignment="1">
      <alignment horizontal="center" vertical="center"/>
    </xf>
    <xf numFmtId="0" fontId="1" fillId="0" borderId="38" xfId="0" applyFont="1" applyBorder="1" applyAlignment="1">
      <alignment horizontal="center" vertical="center"/>
    </xf>
    <xf numFmtId="0" fontId="1" fillId="0" borderId="36" xfId="0" applyFont="1" applyBorder="1" applyAlignment="1">
      <alignment horizontal="right" vertical="center"/>
    </xf>
    <xf numFmtId="0" fontId="1" fillId="0" borderId="15" xfId="0" applyFont="1" applyBorder="1" applyAlignment="1">
      <alignment horizontal="right" vertical="center"/>
    </xf>
    <xf numFmtId="0" fontId="1" fillId="0" borderId="28" xfId="0" applyFont="1" applyBorder="1" applyAlignment="1">
      <alignment horizontal="center" vertical="center" wrapText="1" shrinkToFit="1"/>
    </xf>
    <xf numFmtId="0" fontId="1" fillId="0" borderId="50" xfId="0" applyFont="1" applyBorder="1" applyAlignment="1">
      <alignment horizontal="center" vertical="center" wrapText="1" shrinkToFit="1"/>
    </xf>
    <xf numFmtId="0" fontId="1" fillId="6" borderId="21" xfId="0" applyFont="1" applyFill="1" applyBorder="1" applyAlignment="1">
      <alignment vertical="center"/>
    </xf>
    <xf numFmtId="0" fontId="1" fillId="6" borderId="23" xfId="0" applyFont="1" applyFill="1" applyBorder="1" applyAlignment="1">
      <alignment vertical="center"/>
    </xf>
    <xf numFmtId="0" fontId="1" fillId="6" borderId="22" xfId="0" applyFont="1" applyFill="1" applyBorder="1" applyAlignment="1">
      <alignment vertical="center"/>
    </xf>
    <xf numFmtId="0" fontId="1" fillId="0" borderId="18" xfId="0" applyFont="1" applyBorder="1" applyAlignment="1">
      <alignment horizontal="right" vertical="center"/>
    </xf>
    <xf numFmtId="0" fontId="27" fillId="0" borderId="33" xfId="0" applyFont="1" applyBorder="1" applyAlignment="1">
      <alignment horizontal="center" vertical="center" wrapText="1" shrinkToFit="1"/>
    </xf>
    <xf numFmtId="0" fontId="27" fillId="0" borderId="44" xfId="0" applyFont="1" applyBorder="1" applyAlignment="1">
      <alignment horizontal="center" vertical="center" wrapText="1" shrinkToFit="1"/>
    </xf>
    <xf numFmtId="0" fontId="1" fillId="6" borderId="32" xfId="0" applyFont="1" applyFill="1" applyBorder="1" applyAlignment="1">
      <alignment horizontal="left" vertical="center"/>
    </xf>
    <xf numFmtId="0" fontId="1" fillId="6" borderId="12" xfId="0" applyFont="1" applyFill="1" applyBorder="1" applyAlignment="1">
      <alignment horizontal="left" vertical="center"/>
    </xf>
    <xf numFmtId="0" fontId="1" fillId="6" borderId="40" xfId="0" applyFont="1" applyFill="1" applyBorder="1" applyAlignment="1">
      <alignment horizontal="left" vertical="center"/>
    </xf>
    <xf numFmtId="0" fontId="1" fillId="0" borderId="33" xfId="0" applyFont="1" applyBorder="1" applyAlignment="1">
      <alignment horizontal="center" vertical="center" wrapText="1" shrinkToFit="1"/>
    </xf>
    <xf numFmtId="0" fontId="1" fillId="0" borderId="44" xfId="0" applyFont="1" applyBorder="1" applyAlignment="1">
      <alignment horizontal="center" vertical="center" wrapText="1" shrinkToFit="1"/>
    </xf>
    <xf numFmtId="0" fontId="1" fillId="0" borderId="16" xfId="0" applyFont="1" applyBorder="1" applyAlignment="1">
      <alignment horizontal="center" vertical="center"/>
    </xf>
    <xf numFmtId="0" fontId="1" fillId="0" borderId="37" xfId="0" applyFont="1" applyBorder="1" applyAlignment="1">
      <alignment horizontal="center" vertical="center"/>
    </xf>
    <xf numFmtId="0" fontId="15" fillId="0" borderId="40"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39" xfId="0" applyFont="1" applyBorder="1" applyAlignment="1">
      <alignment horizontal="center" vertical="center"/>
    </xf>
    <xf numFmtId="0" fontId="1" fillId="0" borderId="31" xfId="0" applyFont="1" applyBorder="1" applyAlignment="1">
      <alignment horizontal="center" vertical="center"/>
    </xf>
    <xf numFmtId="0" fontId="1" fillId="0" borderId="55" xfId="0" applyFont="1" applyBorder="1" applyAlignment="1">
      <alignment horizontal="center" vertical="center"/>
    </xf>
    <xf numFmtId="0" fontId="1" fillId="0" borderId="16"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9" xfId="0" applyFont="1" applyBorder="1" applyAlignment="1">
      <alignment horizontal="center"/>
    </xf>
    <xf numFmtId="0" fontId="1" fillId="0" borderId="34" xfId="0" applyFont="1" applyBorder="1" applyAlignment="1">
      <alignment horizont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35" xfId="0" applyFont="1" applyBorder="1" applyAlignment="1">
      <alignment horizontal="left" vertical="center"/>
    </xf>
    <xf numFmtId="0" fontId="25" fillId="0" borderId="35" xfId="0" applyFont="1" applyBorder="1" applyAlignment="1">
      <alignment horizontal="center" vertical="center" textRotation="255" wrapText="1"/>
    </xf>
    <xf numFmtId="0" fontId="25" fillId="0" borderId="36" xfId="0" applyFont="1" applyBorder="1" applyAlignment="1">
      <alignment horizontal="center" vertical="center" textRotation="255" wrapText="1"/>
    </xf>
    <xf numFmtId="0" fontId="43" fillId="3" borderId="3" xfId="0" applyFont="1" applyFill="1" applyBorder="1" applyAlignment="1">
      <alignment horizontal="center" vertical="center" wrapText="1"/>
    </xf>
    <xf numFmtId="0" fontId="43" fillId="3" borderId="13"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1" xfId="0" applyFont="1" applyBorder="1" applyAlignment="1">
      <alignment horizontal="center" vertical="center" wrapText="1"/>
    </xf>
    <xf numFmtId="0" fontId="1" fillId="0" borderId="28" xfId="0" applyFont="1" applyBorder="1" applyAlignment="1">
      <alignment horizontal="center" vertical="center"/>
    </xf>
    <xf numFmtId="0" fontId="1" fillId="0" borderId="29" xfId="0" applyFont="1" applyBorder="1" applyAlignment="1">
      <alignment horizontal="center" vertical="center"/>
    </xf>
    <xf numFmtId="2" fontId="20" fillId="11" borderId="3" xfId="0" applyNumberFormat="1" applyFont="1" applyFill="1" applyBorder="1" applyAlignment="1">
      <alignment horizontal="left" vertical="center"/>
    </xf>
    <xf numFmtId="2" fontId="20" fillId="11" borderId="12" xfId="0" applyNumberFormat="1" applyFont="1" applyFill="1" applyBorder="1" applyAlignment="1">
      <alignment horizontal="left" vertical="center"/>
    </xf>
    <xf numFmtId="2" fontId="20" fillId="11" borderId="13" xfId="0" applyNumberFormat="1" applyFont="1" applyFill="1" applyBorder="1" applyAlignment="1">
      <alignment horizontal="left" vertical="center"/>
    </xf>
    <xf numFmtId="0" fontId="1" fillId="0" borderId="35"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3" xfId="0" applyFont="1" applyBorder="1" applyAlignment="1">
      <alignment horizontal="center" vertical="center" wrapText="1"/>
    </xf>
    <xf numFmtId="0" fontId="1" fillId="0" borderId="7" xfId="0" applyFont="1" applyBorder="1" applyAlignment="1">
      <alignment horizontal="center" vertical="center"/>
    </xf>
    <xf numFmtId="0" fontId="6" fillId="6" borderId="42" xfId="0" applyFont="1" applyFill="1" applyBorder="1" applyAlignment="1">
      <alignment horizontal="center" vertical="center" wrapText="1"/>
    </xf>
    <xf numFmtId="0" fontId="6" fillId="6" borderId="45"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4"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18" fillId="0" borderId="32" xfId="0" applyFont="1" applyBorder="1" applyAlignment="1">
      <alignment horizontal="left" vertical="center"/>
    </xf>
    <xf numFmtId="0" fontId="19" fillId="0" borderId="12" xfId="0" applyFont="1" applyBorder="1" applyAlignment="1">
      <alignment horizontal="left" vertical="center"/>
    </xf>
    <xf numFmtId="0" fontId="19" fillId="0" borderId="13" xfId="0" applyFont="1" applyBorder="1" applyAlignment="1">
      <alignment horizontal="left" vertical="center"/>
    </xf>
    <xf numFmtId="0" fontId="16" fillId="10" borderId="12" xfId="0" applyFont="1" applyFill="1" applyBorder="1" applyAlignment="1">
      <alignment horizontal="center" vertical="center" wrapText="1"/>
    </xf>
    <xf numFmtId="0" fontId="16" fillId="10" borderId="13" xfId="0" applyFont="1" applyFill="1" applyBorder="1" applyAlignment="1">
      <alignment horizontal="center" vertical="center" wrapText="1"/>
    </xf>
    <xf numFmtId="0" fontId="2" fillId="10" borderId="21" xfId="0" applyFont="1" applyFill="1" applyBorder="1" applyAlignment="1">
      <alignment horizontal="left" vertical="center" wrapText="1"/>
    </xf>
    <xf numFmtId="0" fontId="2" fillId="10" borderId="22" xfId="0" applyFont="1" applyFill="1" applyBorder="1" applyAlignment="1">
      <alignment horizontal="left" vertical="center" wrapText="1"/>
    </xf>
    <xf numFmtId="0" fontId="1" fillId="8" borderId="18" xfId="0" applyFont="1" applyFill="1" applyBorder="1" applyAlignment="1" applyProtection="1">
      <alignment horizontal="center" vertical="center"/>
      <protection locked="0"/>
    </xf>
    <xf numFmtId="0" fontId="1" fillId="8" borderId="38" xfId="0" applyFont="1" applyFill="1" applyBorder="1" applyAlignment="1" applyProtection="1">
      <alignment horizontal="center" vertical="center"/>
      <protection locked="0"/>
    </xf>
    <xf numFmtId="0" fontId="16" fillId="10" borderId="52" xfId="0" applyFont="1" applyFill="1" applyBorder="1" applyAlignment="1">
      <alignment horizontal="center" vertical="center" wrapText="1"/>
    </xf>
    <xf numFmtId="0" fontId="16" fillId="10" borderId="53" xfId="0" applyFont="1" applyFill="1" applyBorder="1" applyAlignment="1">
      <alignment horizontal="center" vertical="center" wrapText="1"/>
    </xf>
    <xf numFmtId="0" fontId="16" fillId="10" borderId="54" xfId="0" applyFont="1" applyFill="1" applyBorder="1" applyAlignment="1">
      <alignment horizontal="center" vertical="center" wrapText="1"/>
    </xf>
    <xf numFmtId="0" fontId="2" fillId="6" borderId="21" xfId="0" applyFont="1" applyFill="1" applyBorder="1" applyAlignment="1" applyProtection="1">
      <alignment horizontal="center" vertical="center"/>
      <protection locked="0"/>
    </xf>
    <xf numFmtId="0" fontId="2" fillId="6" borderId="25" xfId="0" applyFont="1" applyFill="1" applyBorder="1" applyAlignment="1" applyProtection="1">
      <alignment horizontal="center" vertical="center"/>
      <protection locked="0"/>
    </xf>
    <xf numFmtId="0" fontId="15" fillId="7" borderId="28" xfId="0" applyFont="1" applyFill="1" applyBorder="1" applyAlignment="1">
      <alignment horizontal="center" vertical="center" wrapText="1"/>
    </xf>
    <xf numFmtId="0" fontId="15" fillId="7" borderId="29" xfId="0" applyFont="1" applyFill="1" applyBorder="1" applyAlignment="1">
      <alignment horizontal="center" vertical="center" wrapText="1"/>
    </xf>
    <xf numFmtId="0" fontId="13" fillId="0" borderId="5" xfId="0" applyFont="1" applyBorder="1" applyAlignment="1">
      <alignment horizontal="left" vertical="center" wrapText="1"/>
    </xf>
    <xf numFmtId="0" fontId="13" fillId="0" borderId="11" xfId="0" applyFont="1" applyBorder="1" applyAlignment="1">
      <alignment horizontal="left" vertical="center" wrapText="1"/>
    </xf>
    <xf numFmtId="0" fontId="13" fillId="0" borderId="7" xfId="0" applyFont="1" applyBorder="1" applyAlignment="1">
      <alignment horizontal="left" vertical="center" wrapText="1"/>
    </xf>
    <xf numFmtId="0" fontId="13" fillId="0" borderId="14" xfId="0" applyFont="1" applyBorder="1" applyAlignment="1">
      <alignment horizontal="left" vertical="center" wrapText="1"/>
    </xf>
    <xf numFmtId="0" fontId="13" fillId="0" borderId="8" xfId="0" applyFont="1" applyBorder="1" applyAlignment="1">
      <alignment horizontal="left" vertical="center" wrapText="1"/>
    </xf>
    <xf numFmtId="0" fontId="13" fillId="0" borderId="10" xfId="0" applyFont="1" applyBorder="1" applyAlignment="1">
      <alignment horizontal="left" vertical="center" wrapText="1"/>
    </xf>
    <xf numFmtId="0" fontId="2" fillId="6" borderId="27" xfId="0" applyFont="1" applyFill="1" applyBorder="1" applyAlignment="1" applyProtection="1">
      <alignment horizontal="center" vertical="center" wrapText="1"/>
      <protection locked="0"/>
    </xf>
    <xf numFmtId="0" fontId="2" fillId="6" borderId="45" xfId="0" applyFont="1" applyFill="1" applyBorder="1" applyAlignment="1" applyProtection="1">
      <alignment horizontal="center" vertical="center" wrapText="1"/>
      <protection locked="0"/>
    </xf>
    <xf numFmtId="2" fontId="22" fillId="11" borderId="3" xfId="0" applyNumberFormat="1" applyFont="1" applyFill="1" applyBorder="1" applyAlignment="1">
      <alignment horizontal="left" vertical="center" wrapText="1"/>
    </xf>
    <xf numFmtId="2" fontId="22" fillId="11" borderId="12" xfId="0" applyNumberFormat="1" applyFont="1" applyFill="1" applyBorder="1" applyAlignment="1">
      <alignment horizontal="left" vertical="center" wrapText="1"/>
    </xf>
    <xf numFmtId="2" fontId="22" fillId="11" borderId="13" xfId="0" applyNumberFormat="1" applyFont="1" applyFill="1" applyBorder="1" applyAlignment="1">
      <alignment horizontal="left" vertical="center" wrapText="1"/>
    </xf>
    <xf numFmtId="0" fontId="16" fillId="10" borderId="3" xfId="0" applyFont="1" applyFill="1" applyBorder="1" applyAlignment="1">
      <alignment horizontal="center" vertical="center" wrapText="1"/>
    </xf>
    <xf numFmtId="0" fontId="49" fillId="8" borderId="3" xfId="0" applyFont="1" applyFill="1" applyBorder="1" applyAlignment="1">
      <alignment horizontal="center" vertical="center"/>
    </xf>
    <xf numFmtId="0" fontId="49" fillId="8" borderId="12" xfId="0" applyFont="1" applyFill="1" applyBorder="1" applyAlignment="1">
      <alignment horizontal="center" vertical="center"/>
    </xf>
    <xf numFmtId="0" fontId="49" fillId="8" borderId="13" xfId="0" applyFont="1" applyFill="1" applyBorder="1" applyAlignment="1">
      <alignment horizontal="center" vertical="center"/>
    </xf>
  </cellXfs>
  <cellStyles count="1">
    <cellStyle name="Normal" xfId="0" builtinId="0"/>
  </cellStyles>
  <dxfs count="19">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ont>
        <color theme="0" tint="-4.9989318521683403E-2"/>
      </font>
      <fill>
        <patternFill>
          <bgColor theme="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89965</xdr:colOff>
      <xdr:row>16</xdr:row>
      <xdr:rowOff>142848</xdr:rowOff>
    </xdr:from>
    <xdr:to>
      <xdr:col>3</xdr:col>
      <xdr:colOff>1179897</xdr:colOff>
      <xdr:row>16</xdr:row>
      <xdr:rowOff>308806</xdr:rowOff>
    </xdr:to>
    <xdr:sp macro="" textlink="">
      <xdr:nvSpPr>
        <xdr:cNvPr id="4" name="Seta para a direita 3">
          <a:extLst>
            <a:ext uri="{FF2B5EF4-FFF2-40B4-BE49-F238E27FC236}">
              <a16:creationId xmlns:a16="http://schemas.microsoft.com/office/drawing/2014/main" id="{F481DA5C-A839-47F7-932F-5CE269F916D0}"/>
            </a:ext>
          </a:extLst>
        </xdr:cNvPr>
        <xdr:cNvSpPr/>
      </xdr:nvSpPr>
      <xdr:spPr>
        <a:xfrm>
          <a:off x="4125218" y="7943051"/>
          <a:ext cx="1089932" cy="1659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1400830</xdr:colOff>
      <xdr:row>31</xdr:row>
      <xdr:rowOff>130112</xdr:rowOff>
    </xdr:from>
    <xdr:to>
      <xdr:col>1</xdr:col>
      <xdr:colOff>2279333</xdr:colOff>
      <xdr:row>31</xdr:row>
      <xdr:rowOff>223613</xdr:rowOff>
    </xdr:to>
    <xdr:sp macro="" textlink="">
      <xdr:nvSpPr>
        <xdr:cNvPr id="5" name="Seta para a direita 3">
          <a:extLst>
            <a:ext uri="{FF2B5EF4-FFF2-40B4-BE49-F238E27FC236}">
              <a16:creationId xmlns:a16="http://schemas.microsoft.com/office/drawing/2014/main" id="{DF9941F7-0E6C-406C-8404-3674F4C2ABA2}"/>
            </a:ext>
          </a:extLst>
        </xdr:cNvPr>
        <xdr:cNvSpPr/>
      </xdr:nvSpPr>
      <xdr:spPr>
        <a:xfrm>
          <a:off x="1594559" y="13109943"/>
          <a:ext cx="878503" cy="9350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1951571</xdr:colOff>
      <xdr:row>32</xdr:row>
      <xdr:rowOff>167682</xdr:rowOff>
    </xdr:from>
    <xdr:to>
      <xdr:col>1</xdr:col>
      <xdr:colOff>2346402</xdr:colOff>
      <xdr:row>32</xdr:row>
      <xdr:rowOff>408935</xdr:rowOff>
    </xdr:to>
    <xdr:sp macro="" textlink="">
      <xdr:nvSpPr>
        <xdr:cNvPr id="7" name="Seta para a direita 3">
          <a:extLst>
            <a:ext uri="{FF2B5EF4-FFF2-40B4-BE49-F238E27FC236}">
              <a16:creationId xmlns:a16="http://schemas.microsoft.com/office/drawing/2014/main" id="{A01E03CB-556F-4DFB-98A5-5ED0B4577FBB}"/>
            </a:ext>
          </a:extLst>
        </xdr:cNvPr>
        <xdr:cNvSpPr/>
      </xdr:nvSpPr>
      <xdr:spPr>
        <a:xfrm>
          <a:off x="2150354" y="13755302"/>
          <a:ext cx="394831" cy="24125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165229</xdr:colOff>
      <xdr:row>16</xdr:row>
      <xdr:rowOff>223545</xdr:rowOff>
    </xdr:from>
    <xdr:to>
      <xdr:col>1</xdr:col>
      <xdr:colOff>2167424</xdr:colOff>
      <xdr:row>16</xdr:row>
      <xdr:rowOff>437372</xdr:rowOff>
    </xdr:to>
    <xdr:sp macro="" textlink="">
      <xdr:nvSpPr>
        <xdr:cNvPr id="8" name="Seta para a direita 3">
          <a:extLst>
            <a:ext uri="{FF2B5EF4-FFF2-40B4-BE49-F238E27FC236}">
              <a16:creationId xmlns:a16="http://schemas.microsoft.com/office/drawing/2014/main" id="{DEA32723-307A-4790-A535-6DEE1877F90E}"/>
            </a:ext>
          </a:extLst>
        </xdr:cNvPr>
        <xdr:cNvSpPr/>
      </xdr:nvSpPr>
      <xdr:spPr>
        <a:xfrm>
          <a:off x="359617" y="3061606"/>
          <a:ext cx="2002195" cy="21382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998560</xdr:colOff>
      <xdr:row>29</xdr:row>
      <xdr:rowOff>246789</xdr:rowOff>
    </xdr:from>
    <xdr:to>
      <xdr:col>3</xdr:col>
      <xdr:colOff>1189215</xdr:colOff>
      <xdr:row>29</xdr:row>
      <xdr:rowOff>399419</xdr:rowOff>
    </xdr:to>
    <xdr:sp macro="" textlink="">
      <xdr:nvSpPr>
        <xdr:cNvPr id="9" name="Seta para a direita 3">
          <a:extLst>
            <a:ext uri="{FF2B5EF4-FFF2-40B4-BE49-F238E27FC236}">
              <a16:creationId xmlns:a16="http://schemas.microsoft.com/office/drawing/2014/main" id="{FED3F143-0134-4183-BA10-D3FDE68D3C72}"/>
            </a:ext>
          </a:extLst>
        </xdr:cNvPr>
        <xdr:cNvSpPr/>
      </xdr:nvSpPr>
      <xdr:spPr>
        <a:xfrm flipV="1">
          <a:off x="5144006" y="12223441"/>
          <a:ext cx="190655" cy="1526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406567</xdr:colOff>
      <xdr:row>16</xdr:row>
      <xdr:rowOff>211685</xdr:rowOff>
    </xdr:from>
    <xdr:to>
      <xdr:col>5</xdr:col>
      <xdr:colOff>1067486</xdr:colOff>
      <xdr:row>16</xdr:row>
      <xdr:rowOff>321513</xdr:rowOff>
    </xdr:to>
    <xdr:sp macro="" textlink="">
      <xdr:nvSpPr>
        <xdr:cNvPr id="10" name="Seta para a direita 3">
          <a:extLst>
            <a:ext uri="{FF2B5EF4-FFF2-40B4-BE49-F238E27FC236}">
              <a16:creationId xmlns:a16="http://schemas.microsoft.com/office/drawing/2014/main" id="{A73CEF7A-8A6C-4736-A2CF-8C4DC49E24D7}"/>
            </a:ext>
          </a:extLst>
        </xdr:cNvPr>
        <xdr:cNvSpPr/>
      </xdr:nvSpPr>
      <xdr:spPr>
        <a:xfrm>
          <a:off x="6622033" y="5797532"/>
          <a:ext cx="660919" cy="1098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2337290</xdr:colOff>
      <xdr:row>0</xdr:row>
      <xdr:rowOff>21981</xdr:rowOff>
    </xdr:from>
    <xdr:to>
      <xdr:col>5</xdr:col>
      <xdr:colOff>718040</xdr:colOff>
      <xdr:row>4</xdr:row>
      <xdr:rowOff>234461</xdr:rowOff>
    </xdr:to>
    <xdr:pic>
      <xdr:nvPicPr>
        <xdr:cNvPr id="2" name="Imagem 1">
          <a:extLst>
            <a:ext uri="{FF2B5EF4-FFF2-40B4-BE49-F238E27FC236}">
              <a16:creationId xmlns:a16="http://schemas.microsoft.com/office/drawing/2014/main" id="{A26C6968-2BFE-86FC-01BA-78A7FE54A54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0411" t="1419" r="-1" b="92080"/>
        <a:stretch/>
      </xdr:blipFill>
      <xdr:spPr bwMode="auto">
        <a:xfrm>
          <a:off x="2527790" y="21981"/>
          <a:ext cx="4396154" cy="827942"/>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theme="6" tint="-0.499984740745262"/>
  </sheetPr>
  <dimension ref="A1:BB139"/>
  <sheetViews>
    <sheetView tabSelected="1" zoomScaleNormal="100" zoomScaleSheetLayoutView="84" workbookViewId="0">
      <selection activeCell="F53" sqref="F53:G53"/>
    </sheetView>
  </sheetViews>
  <sheetFormatPr defaultColWidth="9.140625" defaultRowHeight="12" x14ac:dyDescent="0.2"/>
  <cols>
    <col min="1" max="1" width="2.85546875" style="6" customWidth="1"/>
    <col min="2" max="2" width="35.5703125" style="2" customWidth="1"/>
    <col min="3" max="3" width="22" style="29" customWidth="1"/>
    <col min="4" max="4" width="17.85546875" style="2" customWidth="1"/>
    <col min="5" max="5" width="14.7109375" style="2" customWidth="1"/>
    <col min="6" max="6" width="21.5703125" style="2" customWidth="1"/>
    <col min="7" max="7" width="19.7109375" style="28" customWidth="1"/>
    <col min="8" max="8" width="18.5703125" style="28" hidden="1" customWidth="1"/>
    <col min="9" max="10" width="18.5703125" style="2" hidden="1" customWidth="1"/>
    <col min="11" max="11" width="23.28515625" style="2" hidden="1" customWidth="1"/>
    <col min="12" max="12" width="25.7109375" style="2" hidden="1" customWidth="1"/>
    <col min="13" max="15" width="5.7109375" style="2" hidden="1" customWidth="1"/>
    <col min="16" max="16" width="1" style="2" hidden="1" customWidth="1"/>
    <col min="17" max="17" width="29.140625" style="2" hidden="1" customWidth="1"/>
    <col min="18" max="18" width="12.28515625" style="24" customWidth="1"/>
    <col min="19" max="19" width="9.140625" style="24" hidden="1" customWidth="1"/>
    <col min="20" max="22" width="8" style="61" hidden="1" customWidth="1"/>
    <col min="23" max="23" width="11.28515625" style="61" hidden="1" customWidth="1"/>
    <col min="24" max="16384" width="9.140625" style="2"/>
  </cols>
  <sheetData>
    <row r="1" spans="1:18" x14ac:dyDescent="0.2">
      <c r="A1" s="69"/>
      <c r="B1" s="65"/>
      <c r="C1" s="35"/>
      <c r="D1" s="35"/>
      <c r="E1" s="35"/>
      <c r="F1" s="65"/>
      <c r="G1" s="66"/>
      <c r="H1" s="121"/>
      <c r="I1" s="1"/>
    </row>
    <row r="2" spans="1:18" x14ac:dyDescent="0.2">
      <c r="A2" s="70"/>
      <c r="B2" s="67"/>
      <c r="C2" s="7"/>
      <c r="D2" s="7"/>
      <c r="E2" s="7"/>
      <c r="F2" s="67"/>
      <c r="G2" s="68"/>
      <c r="H2" s="122"/>
      <c r="I2" s="3"/>
    </row>
    <row r="3" spans="1:18" x14ac:dyDescent="0.2">
      <c r="A3" s="70"/>
      <c r="B3" s="67"/>
      <c r="C3" s="7"/>
      <c r="D3" s="7"/>
      <c r="E3" s="7"/>
      <c r="F3" s="67"/>
      <c r="G3" s="68"/>
      <c r="H3" s="122"/>
      <c r="I3" s="3"/>
    </row>
    <row r="4" spans="1:18" x14ac:dyDescent="0.2">
      <c r="A4" s="70"/>
      <c r="B4" s="67"/>
      <c r="C4" s="7"/>
      <c r="D4" s="7"/>
      <c r="E4" s="7"/>
      <c r="F4" s="67"/>
      <c r="G4" s="68"/>
      <c r="H4" s="122"/>
      <c r="I4" s="3"/>
      <c r="N4" s="4" t="s">
        <v>20</v>
      </c>
      <c r="O4" s="4" t="s">
        <v>21</v>
      </c>
    </row>
    <row r="5" spans="1:18" ht="24" customHeight="1" thickBot="1" x14ac:dyDescent="0.25">
      <c r="A5" s="70"/>
      <c r="B5" s="67"/>
      <c r="C5" s="7"/>
      <c r="D5" s="7"/>
      <c r="E5" s="7"/>
      <c r="F5" s="67"/>
      <c r="G5" s="68"/>
      <c r="H5" s="122"/>
      <c r="I5" s="3"/>
      <c r="L5" s="5" t="s">
        <v>18</v>
      </c>
      <c r="M5" s="5">
        <f>IF(OR(L27=1,L30=1, L34=1),1,0)</f>
        <v>0</v>
      </c>
      <c r="N5" s="5">
        <f>IF(AND(L37=1,M5=1),1,0)</f>
        <v>0</v>
      </c>
      <c r="O5" s="5">
        <f>M5</f>
        <v>0</v>
      </c>
    </row>
    <row r="6" spans="1:18" ht="17.25" customHeight="1" thickBot="1" x14ac:dyDescent="0.25">
      <c r="A6" s="249" t="s">
        <v>177</v>
      </c>
      <c r="B6" s="250"/>
      <c r="C6" s="250"/>
      <c r="D6" s="250"/>
      <c r="E6" s="250"/>
      <c r="F6" s="250"/>
      <c r="G6" s="251"/>
      <c r="H6" s="123"/>
      <c r="I6" s="6"/>
      <c r="J6" s="6"/>
      <c r="K6" s="6"/>
      <c r="L6" s="5" t="s">
        <v>19</v>
      </c>
      <c r="M6" s="5">
        <f>IF(OR(L29=1,L31=1),1,0)</f>
        <v>0</v>
      </c>
      <c r="N6" s="5" t="e">
        <f>IF(AND(L41=1,L37=1,M6=1),1,0)</f>
        <v>#REF!</v>
      </c>
      <c r="O6" s="5" t="e">
        <f>IF(AND(L41=1,M6=1),1,0)</f>
        <v>#REF!</v>
      </c>
      <c r="P6" s="6"/>
      <c r="Q6" s="6"/>
    </row>
    <row r="7" spans="1:18" ht="15" customHeight="1" thickBot="1" x14ac:dyDescent="0.3">
      <c r="A7" s="353" t="s">
        <v>178</v>
      </c>
      <c r="B7" s="354"/>
      <c r="C7" s="354"/>
      <c r="D7" s="354"/>
      <c r="E7" s="354"/>
      <c r="F7" s="354"/>
      <c r="G7" s="355"/>
      <c r="H7" s="124"/>
      <c r="I7" s="7"/>
      <c r="J7" s="7"/>
      <c r="K7" s="7"/>
      <c r="L7" s="7"/>
      <c r="M7" s="5"/>
      <c r="N7" s="7"/>
      <c r="O7" s="7"/>
      <c r="Q7" t="s">
        <v>92</v>
      </c>
    </row>
    <row r="8" spans="1:18" ht="15" customHeight="1" thickBot="1" x14ac:dyDescent="0.25">
      <c r="A8" s="263" t="s">
        <v>10</v>
      </c>
      <c r="B8" s="264"/>
      <c r="C8" s="264"/>
      <c r="D8" s="264"/>
      <c r="E8" s="264"/>
      <c r="F8" s="264"/>
      <c r="G8" s="265"/>
      <c r="H8" s="125"/>
      <c r="I8" s="8"/>
      <c r="J8" s="8"/>
      <c r="K8" s="8"/>
      <c r="L8" s="8"/>
      <c r="M8" s="8"/>
      <c r="N8" s="8"/>
      <c r="O8" s="8"/>
    </row>
    <row r="9" spans="1:18" ht="45.6" customHeight="1" thickBot="1" x14ac:dyDescent="0.25">
      <c r="A9" s="176">
        <v>1</v>
      </c>
      <c r="B9" s="177" t="s">
        <v>93</v>
      </c>
      <c r="C9" s="281"/>
      <c r="D9" s="282"/>
      <c r="E9" s="283"/>
      <c r="F9" s="209" t="s">
        <v>160</v>
      </c>
      <c r="G9" s="178"/>
      <c r="H9" s="125" t="s">
        <v>101</v>
      </c>
      <c r="I9" s="8"/>
      <c r="J9" s="8"/>
      <c r="K9" s="8"/>
      <c r="L9" s="8"/>
      <c r="M9" s="8"/>
      <c r="N9" s="8"/>
      <c r="O9" s="8"/>
    </row>
    <row r="10" spans="1:18" ht="27.75" customHeight="1" x14ac:dyDescent="0.2">
      <c r="A10" s="99">
        <v>2</v>
      </c>
      <c r="B10" s="175" t="s">
        <v>130</v>
      </c>
      <c r="C10" s="261"/>
      <c r="D10" s="262"/>
      <c r="E10" s="262"/>
      <c r="F10" s="98" t="s">
        <v>15</v>
      </c>
      <c r="G10" s="171"/>
      <c r="H10" s="125" t="e">
        <f>IF(#REF!="X",1,0)</f>
        <v>#REF!</v>
      </c>
      <c r="I10" s="125" t="e">
        <f>IF(#REF!="X",1,0)</f>
        <v>#REF!</v>
      </c>
      <c r="J10" s="125" t="e">
        <f>IF(#REF!="X",1,0)</f>
        <v>#REF!</v>
      </c>
      <c r="K10" s="8"/>
      <c r="L10" s="147" t="e">
        <f>IF(SUM(H10:J10)=0,0,IF(SUM(H10:J10)&gt;1,0,1))</f>
        <v>#REF!</v>
      </c>
      <c r="M10" s="8"/>
      <c r="N10" s="8"/>
      <c r="O10" s="8"/>
    </row>
    <row r="11" spans="1:18" ht="29.25" customHeight="1" x14ac:dyDescent="0.2">
      <c r="A11" s="278">
        <v>3</v>
      </c>
      <c r="B11" s="9" t="s">
        <v>38</v>
      </c>
      <c r="C11" s="275"/>
      <c r="D11" s="276"/>
      <c r="E11" s="276"/>
      <c r="F11" s="276"/>
      <c r="G11" s="277"/>
      <c r="H11" s="125"/>
      <c r="I11" s="8"/>
      <c r="J11" s="8"/>
      <c r="K11" s="8"/>
      <c r="L11" s="8" t="e">
        <f>IF(AND(H10=0,I10=1,J10=0),1,0)</f>
        <v>#REF!</v>
      </c>
      <c r="M11" s="8"/>
      <c r="N11" s="8"/>
      <c r="O11" s="8"/>
    </row>
    <row r="12" spans="1:18" ht="59.25" customHeight="1" x14ac:dyDescent="0.2">
      <c r="A12" s="247"/>
      <c r="B12" s="76" t="s">
        <v>91</v>
      </c>
      <c r="C12" s="275"/>
      <c r="D12" s="276"/>
      <c r="E12" s="276"/>
      <c r="F12" s="276"/>
      <c r="G12" s="277"/>
      <c r="H12" s="125" t="e">
        <f>IF(#REF!="X",1,0)</f>
        <v>#REF!</v>
      </c>
      <c r="I12" s="125" t="e">
        <f>IF(#REF!="X",1,0)</f>
        <v>#REF!</v>
      </c>
      <c r="J12" s="125" t="e">
        <f>IF(#REF!="X",1,0)</f>
        <v>#REF!</v>
      </c>
      <c r="K12" s="125" t="e">
        <f>IF(#REF!="X",1,0)</f>
        <v>#REF!</v>
      </c>
      <c r="L12" s="147" t="e">
        <f>IF(AND(H10=1,H12=0,I12=0,J12=0,K12=0),1,0)</f>
        <v>#REF!</v>
      </c>
      <c r="M12" s="8"/>
      <c r="N12" s="8"/>
      <c r="O12" s="8"/>
    </row>
    <row r="13" spans="1:18" ht="61.5" customHeight="1" thickBot="1" x14ac:dyDescent="0.25">
      <c r="A13" s="247"/>
      <c r="B13" s="114" t="s">
        <v>161</v>
      </c>
      <c r="C13" s="266"/>
      <c r="D13" s="267"/>
      <c r="E13" s="267"/>
      <c r="F13" s="267"/>
      <c r="G13" s="268"/>
      <c r="H13" s="125" t="e">
        <f>IF(_xlfn.XOR(H12=1,I12=1),1,0)</f>
        <v>#REF!</v>
      </c>
      <c r="I13" s="147"/>
      <c r="J13" s="125" t="e">
        <f>IF(_xlfn.XOR(J12=1,K12=1),1,0)</f>
        <v>#REF!</v>
      </c>
      <c r="K13" s="8" t="e">
        <f>IF(AND(H13=1,J13=1),1,0)</f>
        <v>#REF!</v>
      </c>
      <c r="L13" s="147" t="e">
        <f>IF(AND(I10=1,K13=1,#REF!=1),1,0)</f>
        <v>#REF!</v>
      </c>
      <c r="M13" s="8"/>
      <c r="N13" s="8"/>
      <c r="O13" s="8"/>
    </row>
    <row r="14" spans="1:18" ht="30.75" customHeight="1" thickBot="1" x14ac:dyDescent="0.25">
      <c r="A14" s="244" t="str">
        <f>K16</f>
        <v>PREENCHA TODOS OS CAMPOS ACIMA PARA NÃO TER SUA INSCRIÇÃO INVALIDADA</v>
      </c>
      <c r="B14" s="245"/>
      <c r="C14" s="245"/>
      <c r="D14" s="245"/>
      <c r="E14" s="245"/>
      <c r="F14" s="245"/>
      <c r="G14" s="246"/>
      <c r="H14" s="7"/>
      <c r="I14" s="8"/>
      <c r="J14" s="8"/>
      <c r="K14" s="8"/>
      <c r="L14" s="147" t="e">
        <f>IF(AND(J10=1,H12=0,I12=0,J12=0,K12=0),1,0)</f>
        <v>#REF!</v>
      </c>
      <c r="M14" s="8"/>
      <c r="N14" s="8"/>
      <c r="O14" s="8"/>
    </row>
    <row r="15" spans="1:18" ht="24" customHeight="1" x14ac:dyDescent="0.2">
      <c r="A15" s="247">
        <v>4</v>
      </c>
      <c r="B15" s="269" t="s">
        <v>39</v>
      </c>
      <c r="C15" s="115" t="s">
        <v>13</v>
      </c>
      <c r="D15" s="257" t="s">
        <v>40</v>
      </c>
      <c r="E15" s="116"/>
      <c r="F15" s="252" t="s">
        <v>100</v>
      </c>
      <c r="G15" s="254"/>
      <c r="H15" s="8"/>
      <c r="I15" s="8"/>
      <c r="J15" s="8"/>
      <c r="K15" s="8"/>
      <c r="L15" s="8" t="e">
        <f>IF(AND(L10=1,OR(L12=1,L13=1,L14=1)),1,0)</f>
        <v>#REF!</v>
      </c>
      <c r="M15" s="8"/>
      <c r="N15" s="8"/>
      <c r="O15" s="8"/>
    </row>
    <row r="16" spans="1:18" ht="59.25" customHeight="1" x14ac:dyDescent="0.2">
      <c r="A16" s="247"/>
      <c r="B16" s="269"/>
      <c r="C16" s="46" t="s">
        <v>95</v>
      </c>
      <c r="D16" s="257"/>
      <c r="E16" s="47"/>
      <c r="F16" s="252"/>
      <c r="G16" s="255"/>
      <c r="H16" s="8"/>
      <c r="I16" s="8"/>
      <c r="J16" s="8">
        <f>IF(E15="X",1,0)</f>
        <v>0</v>
      </c>
      <c r="K16" s="21" t="str">
        <f>IF(OR(C9="",C10="",G10="",C11="",C12="",C13=""),"PREENCHA TODOS OS CAMPOS ACIMA PARA NÃO TER SUA INSCRIÇÃO INVALIDADA","PREENCHIMENTO ESTÁ COMPLETO")</f>
        <v>PREENCHA TODOS OS CAMPOS ACIMA PARA NÃO TER SUA INSCRIÇÃO INVALIDADA</v>
      </c>
      <c r="L16" s="8"/>
      <c r="M16" s="8" t="e">
        <f>IF(AND(L34=1,L37=1,L41=1),1,0)</f>
        <v>#REF!</v>
      </c>
      <c r="N16" s="8" t="e">
        <f>IF(AND(L34=1,L41=1),1,0)</f>
        <v>#REF!</v>
      </c>
      <c r="O16" s="8"/>
      <c r="P16" s="6"/>
      <c r="Q16" s="6"/>
      <c r="R16" s="62"/>
    </row>
    <row r="17" spans="1:23" ht="51" customHeight="1" thickBot="1" x14ac:dyDescent="0.25">
      <c r="A17" s="248"/>
      <c r="B17" s="270"/>
      <c r="C17" s="56" t="s">
        <v>131</v>
      </c>
      <c r="D17" s="258"/>
      <c r="E17" s="48"/>
      <c r="F17" s="253"/>
      <c r="G17" s="256"/>
      <c r="H17" s="21"/>
      <c r="I17" s="8"/>
      <c r="J17" s="8">
        <f>IF(E16="X",1,0)</f>
        <v>0</v>
      </c>
      <c r="K17" s="8"/>
      <c r="L17" s="10"/>
      <c r="M17" s="10">
        <f>N5</f>
        <v>0</v>
      </c>
      <c r="N17" s="10">
        <f>O5</f>
        <v>0</v>
      </c>
      <c r="O17" s="8">
        <f>IF(OR(M17=1,N17=1),1,0)</f>
        <v>0</v>
      </c>
    </row>
    <row r="18" spans="1:23" ht="51" customHeight="1" x14ac:dyDescent="0.2">
      <c r="A18" s="307" t="str">
        <f>K19</f>
        <v>ASSINALE UMA OPÇÃO DE DISCIPLINA PARA NÃO TER A INSCRIÇÃO INVALIDADA</v>
      </c>
      <c r="B18" s="308"/>
      <c r="C18" s="308"/>
      <c r="D18" s="308"/>
      <c r="E18" s="308"/>
      <c r="F18" s="308"/>
      <c r="G18" s="309"/>
      <c r="H18" s="126"/>
      <c r="I18" s="8"/>
      <c r="J18" s="8"/>
      <c r="K18" s="8"/>
      <c r="L18" s="10"/>
      <c r="M18" s="10"/>
      <c r="N18" s="10"/>
      <c r="O18" s="8"/>
    </row>
    <row r="19" spans="1:23" ht="64.5" customHeight="1" thickBot="1" x14ac:dyDescent="0.25">
      <c r="A19" s="334" t="s">
        <v>65</v>
      </c>
      <c r="B19" s="335"/>
      <c r="C19" s="335"/>
      <c r="D19" s="335"/>
      <c r="E19" s="335"/>
      <c r="F19" s="335"/>
      <c r="G19" s="336"/>
      <c r="H19" s="127"/>
      <c r="I19" s="8">
        <f>SUM(J16:J19)</f>
        <v>0</v>
      </c>
      <c r="J19" s="8">
        <f>IF(E17="X",1,0)</f>
        <v>0</v>
      </c>
      <c r="K19" s="21" t="str">
        <f>IF(OR(AND(E15="",E16="",E17=""),I19&gt;1),"ASSINALE UMA OPÇÃO DE DISCIPLINA PARA NÃO TER A INSCRIÇÃO INVALIDADA","PREENCHIMENTO ESTÁ COMPLETO")</f>
        <v>ASSINALE UMA OPÇÃO DE DISCIPLINA PARA NÃO TER A INSCRIÇÃO INVALIDADA</v>
      </c>
      <c r="L19" s="10"/>
      <c r="M19" s="10"/>
      <c r="N19" s="10"/>
      <c r="O19" s="8"/>
    </row>
    <row r="20" spans="1:23" ht="42" customHeight="1" thickBot="1" x14ac:dyDescent="0.25">
      <c r="A20" s="271">
        <v>5</v>
      </c>
      <c r="B20" s="310"/>
      <c r="C20" s="311"/>
      <c r="D20" s="170" t="s">
        <v>0</v>
      </c>
      <c r="E20" s="166" t="s">
        <v>31</v>
      </c>
      <c r="F20" s="273" t="s">
        <v>41</v>
      </c>
      <c r="G20" s="274"/>
      <c r="H20" s="127"/>
      <c r="I20" s="4"/>
      <c r="J20" s="4" t="str">
        <f>IF(I19&gt;1,"VOCÊ ASSINALOU X EM MAIS DE UMA OPÇÃO. FAVOR CORRIGIR PARA NÃO TER SUA PLANILHA INVALIDADA",IF(I19=0,"ASSINALE UMA OPÇÃO DE DISCIPLINA PARA NÃO TER SUA PLANILHA INVALIDADA",""))</f>
        <v>ASSINALE UMA OPÇÃO DE DISCIPLINA PARA NÃO TER SUA PLANILHA INVALIDADA</v>
      </c>
      <c r="K20" s="4"/>
      <c r="L20" s="12">
        <f>IF(E15="x",1,0)</f>
        <v>0</v>
      </c>
      <c r="M20" s="12" t="e">
        <f>N6</f>
        <v>#REF!</v>
      </c>
      <c r="N20" s="12" t="e">
        <f>O6</f>
        <v>#REF!</v>
      </c>
      <c r="O20" s="8" t="e">
        <f>IF(OR(M20=1,N20=1),1,0)</f>
        <v>#REF!</v>
      </c>
    </row>
    <row r="21" spans="1:23" ht="37.5" customHeight="1" x14ac:dyDescent="0.2">
      <c r="A21" s="271"/>
      <c r="B21" s="77" t="s">
        <v>63</v>
      </c>
      <c r="C21" s="82" t="str">
        <f>IF(C13="","",C13)</f>
        <v/>
      </c>
      <c r="D21" s="168">
        <v>150</v>
      </c>
      <c r="E21" s="169"/>
      <c r="F21" s="259"/>
      <c r="G21" s="260"/>
      <c r="H21" s="127"/>
      <c r="I21" s="8"/>
      <c r="J21" s="8"/>
      <c r="K21" s="8"/>
      <c r="L21" s="12">
        <f>IF(E16="x",1,0)</f>
        <v>0</v>
      </c>
      <c r="M21" s="10" t="e">
        <f>IF(OR(M16=1,M17=1,M20=1),1,0)</f>
        <v>#REF!</v>
      </c>
      <c r="N21" s="10" t="e">
        <f>IF(OR(N16=1,N17=1,N20=1),1,0)</f>
        <v>#REF!</v>
      </c>
      <c r="O21" s="8" t="e">
        <f>IF(OR(O17=1,O20=1),1,0)</f>
        <v>#REF!</v>
      </c>
    </row>
    <row r="22" spans="1:23" ht="24.6" customHeight="1" x14ac:dyDescent="0.2">
      <c r="A22" s="271"/>
      <c r="B22" s="25" t="s">
        <v>61</v>
      </c>
      <c r="C22" s="81"/>
      <c r="D22" s="32">
        <v>70</v>
      </c>
      <c r="E22" s="33"/>
      <c r="F22" s="259"/>
      <c r="G22" s="260"/>
      <c r="H22" s="126"/>
      <c r="I22" s="8">
        <f>IF(AND(L20=1,L21=0),1,0)</f>
        <v>0</v>
      </c>
      <c r="J22" s="8"/>
      <c r="K22" s="8"/>
      <c r="L22" s="10" t="b">
        <f>_xlfn.XOR(L20,L21)</f>
        <v>0</v>
      </c>
      <c r="M22" s="13" t="e">
        <f>IF(AND(L20=1,M21=1),1,0)</f>
        <v>#REF!</v>
      </c>
      <c r="N22" s="13" t="e">
        <f>IF(AND(L21=1,N21=1),1,0)</f>
        <v>#REF!</v>
      </c>
      <c r="O22" s="8"/>
    </row>
    <row r="23" spans="1:23" s="173" customFormat="1" ht="29.45" customHeight="1" x14ac:dyDescent="0.2">
      <c r="A23" s="271"/>
      <c r="B23" s="200" t="s">
        <v>11</v>
      </c>
      <c r="C23" s="201"/>
      <c r="D23" s="202">
        <v>50</v>
      </c>
      <c r="E23" s="174"/>
      <c r="F23" s="259"/>
      <c r="G23" s="260"/>
      <c r="H23" s="128"/>
      <c r="I23" s="123"/>
      <c r="J23" s="123"/>
      <c r="K23" s="123"/>
      <c r="L23" s="13"/>
      <c r="M23" s="13"/>
      <c r="N23" s="13"/>
      <c r="O23" s="123"/>
      <c r="R23" s="61"/>
      <c r="S23" s="61"/>
      <c r="T23" s="61"/>
      <c r="U23" s="61"/>
      <c r="V23" s="61"/>
      <c r="W23" s="61"/>
    </row>
    <row r="24" spans="1:23" ht="24.6" customHeight="1" x14ac:dyDescent="0.2">
      <c r="A24" s="271"/>
      <c r="B24" s="77" t="s">
        <v>64</v>
      </c>
      <c r="C24" s="82" t="str">
        <f>IF(C13="","",C13)</f>
        <v/>
      </c>
      <c r="D24" s="32">
        <v>100</v>
      </c>
      <c r="E24" s="33"/>
      <c r="F24" s="259"/>
      <c r="G24" s="260"/>
      <c r="H24" s="128"/>
      <c r="I24" s="8">
        <f t="shared" ref="I24:I31" si="0">IF(E21="X",1,0)</f>
        <v>0</v>
      </c>
      <c r="J24" s="8">
        <f t="shared" ref="J24:J31" si="1">I24*D21</f>
        <v>0</v>
      </c>
      <c r="K24" s="75">
        <f>IF(OR(I24=1,I25=1,I26=1,I27=1,I28=1,I29=1),1,0)</f>
        <v>0</v>
      </c>
      <c r="L24" s="10"/>
      <c r="M24" s="10"/>
      <c r="N24" s="10"/>
      <c r="O24" s="8"/>
    </row>
    <row r="25" spans="1:23" ht="30.75" customHeight="1" x14ac:dyDescent="0.2">
      <c r="A25" s="271"/>
      <c r="B25" s="25" t="s">
        <v>62</v>
      </c>
      <c r="C25" s="80"/>
      <c r="D25" s="32">
        <v>50</v>
      </c>
      <c r="E25" s="33"/>
      <c r="F25" s="259"/>
      <c r="G25" s="260"/>
      <c r="H25" s="5"/>
      <c r="I25" s="8">
        <f t="shared" si="0"/>
        <v>0</v>
      </c>
      <c r="J25" s="8">
        <f t="shared" si="1"/>
        <v>0</v>
      </c>
      <c r="K25" s="8"/>
      <c r="L25" s="10"/>
      <c r="M25" s="10"/>
      <c r="N25" s="10"/>
      <c r="O25" s="8"/>
    </row>
    <row r="26" spans="1:23" ht="32.1" customHeight="1" x14ac:dyDescent="0.2">
      <c r="A26" s="271"/>
      <c r="B26" s="78" t="s">
        <v>12</v>
      </c>
      <c r="C26" s="80"/>
      <c r="D26" s="32">
        <v>30</v>
      </c>
      <c r="E26" s="33"/>
      <c r="F26" s="259"/>
      <c r="G26" s="260"/>
      <c r="H26" s="129"/>
      <c r="I26" s="8">
        <f t="shared" si="0"/>
        <v>0</v>
      </c>
      <c r="J26" s="8">
        <f t="shared" si="1"/>
        <v>0</v>
      </c>
      <c r="K26" s="8"/>
      <c r="L26" s="15"/>
      <c r="M26" s="10" t="e">
        <f>IF(AND(L34=1,L37=1,L41=1),1,0)</f>
        <v>#REF!</v>
      </c>
      <c r="N26" s="10" t="e">
        <f>IF(AND(L34=1,L41=1),1,0)</f>
        <v>#REF!</v>
      </c>
      <c r="O26" s="14" t="e">
        <f>IF(OR(M26=1,N26=1),1,0)</f>
        <v>#REF!</v>
      </c>
    </row>
    <row r="27" spans="1:23" ht="42" customHeight="1" x14ac:dyDescent="0.2">
      <c r="A27" s="272"/>
      <c r="B27" s="79" t="s">
        <v>8</v>
      </c>
      <c r="C27" s="82" t="str">
        <f>IF(C13="","",C13)</f>
        <v/>
      </c>
      <c r="D27" s="32">
        <v>30</v>
      </c>
      <c r="E27" s="33"/>
      <c r="F27" s="259"/>
      <c r="G27" s="260"/>
      <c r="H27" s="130"/>
      <c r="I27" s="8">
        <f t="shared" si="0"/>
        <v>0</v>
      </c>
      <c r="J27" s="8">
        <f t="shared" si="1"/>
        <v>0</v>
      </c>
      <c r="K27" s="8"/>
      <c r="L27" s="12">
        <f>IF(E21="x",1,0)</f>
        <v>0</v>
      </c>
      <c r="M27" s="12">
        <f>IF(OR(N27=1,N29=1,N30=1,N31=1),1,0)</f>
        <v>0</v>
      </c>
      <c r="N27" s="12"/>
      <c r="O27" s="14"/>
    </row>
    <row r="28" spans="1:23" ht="29.25" customHeight="1" x14ac:dyDescent="0.2">
      <c r="A28" s="100">
        <v>6</v>
      </c>
      <c r="B28" s="36" t="s">
        <v>42</v>
      </c>
      <c r="C28" s="82" t="str">
        <f>IF(C13="","",C13)</f>
        <v/>
      </c>
      <c r="D28" s="32">
        <v>100</v>
      </c>
      <c r="E28" s="33"/>
      <c r="F28" s="259"/>
      <c r="G28" s="260"/>
      <c r="H28" s="129"/>
      <c r="I28" s="8">
        <f t="shared" si="0"/>
        <v>0</v>
      </c>
      <c r="J28" s="8">
        <f t="shared" si="1"/>
        <v>0</v>
      </c>
      <c r="K28" s="8"/>
      <c r="L28" s="12"/>
      <c r="M28" s="12"/>
      <c r="N28" s="12"/>
      <c r="O28" s="14"/>
    </row>
    <row r="29" spans="1:23" ht="31.5" customHeight="1" x14ac:dyDescent="0.2">
      <c r="A29" s="49" t="s">
        <v>5</v>
      </c>
      <c r="B29" s="50"/>
      <c r="C29" s="50"/>
      <c r="D29" s="51"/>
      <c r="E29" s="52"/>
      <c r="F29" s="53"/>
      <c r="G29" s="54"/>
      <c r="H29" s="129"/>
      <c r="I29" s="8">
        <f t="shared" si="0"/>
        <v>0</v>
      </c>
      <c r="J29" s="8">
        <f t="shared" si="1"/>
        <v>0</v>
      </c>
      <c r="K29" s="8"/>
      <c r="L29" s="12">
        <f>IF(E23="x",1,0)</f>
        <v>0</v>
      </c>
      <c r="M29" s="10" t="e">
        <f>IF(OR(M26=1,M27=1),1,0)</f>
        <v>#REF!</v>
      </c>
      <c r="N29" s="12"/>
      <c r="O29" s="14"/>
    </row>
    <row r="30" spans="1:23" ht="57" customHeight="1" x14ac:dyDescent="0.2">
      <c r="A30" s="101"/>
      <c r="B30" s="330" t="s">
        <v>49</v>
      </c>
      <c r="C30" s="331"/>
      <c r="D30" s="16" t="s">
        <v>32</v>
      </c>
      <c r="E30" s="33"/>
      <c r="F30" s="319"/>
      <c r="G30" s="320"/>
      <c r="H30" s="129"/>
      <c r="I30" s="8">
        <f t="shared" si="0"/>
        <v>0</v>
      </c>
      <c r="J30" s="8">
        <f t="shared" si="1"/>
        <v>0</v>
      </c>
      <c r="K30" s="8">
        <f>IF(AND(I30=1,I31=1),1,0)</f>
        <v>0</v>
      </c>
      <c r="L30" s="12">
        <f>IF(E24="x",1,0)</f>
        <v>0</v>
      </c>
      <c r="M30" s="13" t="e">
        <f>IF(AND(L21=1,M29=1),1,0)</f>
        <v>#REF!</v>
      </c>
      <c r="N30" s="12"/>
      <c r="O30" s="14"/>
    </row>
    <row r="31" spans="1:23" ht="42" customHeight="1" x14ac:dyDescent="0.2">
      <c r="A31" s="37">
        <v>7</v>
      </c>
      <c r="B31" s="25" t="s">
        <v>33</v>
      </c>
      <c r="C31" s="39" t="s">
        <v>34</v>
      </c>
      <c r="D31" s="16" t="s">
        <v>35</v>
      </c>
      <c r="E31" s="332"/>
      <c r="F31" s="321"/>
      <c r="G31" s="322"/>
      <c r="H31" s="129"/>
      <c r="I31" s="8">
        <f t="shared" si="0"/>
        <v>0</v>
      </c>
      <c r="J31" s="8">
        <f t="shared" si="1"/>
        <v>0</v>
      </c>
      <c r="K31" s="8">
        <f>IF(OR(K24=1,K30=1),1,0)</f>
        <v>0</v>
      </c>
      <c r="L31" s="12">
        <f>IF(E26="x",1,0)</f>
        <v>0</v>
      </c>
      <c r="M31" s="11" t="e">
        <f>IF(OR(M22=1,M30=1),1,0)</f>
        <v>#REF!</v>
      </c>
      <c r="N31" s="12"/>
      <c r="O31" s="8"/>
    </row>
    <row r="32" spans="1:23" ht="27.75" customHeight="1" thickBot="1" x14ac:dyDescent="0.25">
      <c r="A32" s="102">
        <v>8</v>
      </c>
      <c r="B32" s="38" t="s">
        <v>36</v>
      </c>
      <c r="C32" s="42"/>
      <c r="D32" s="40"/>
      <c r="E32" s="333"/>
      <c r="F32" s="321"/>
      <c r="G32" s="322"/>
      <c r="H32" s="131"/>
      <c r="I32" s="8"/>
      <c r="J32" s="8"/>
      <c r="K32" s="8"/>
      <c r="L32" s="12"/>
      <c r="M32" s="11"/>
      <c r="N32" s="12"/>
      <c r="O32" s="8"/>
    </row>
    <row r="33" spans="1:54" ht="39.75" customHeight="1" thickBot="1" x14ac:dyDescent="0.25">
      <c r="A33" s="103">
        <v>9</v>
      </c>
      <c r="B33" s="41" t="s">
        <v>128</v>
      </c>
      <c r="C33" s="167"/>
      <c r="D33" s="316" t="str">
        <f>IF(I22=0,"",IF(AND(I33=1,J33=1,H33=0),"CERTIFICADO VÁLIDO",IF(E30="","CANDIDATO SEM PROFICIÊNCIA EM INGLÊS",IF(J38&gt;5,"CERTIFICADO INVÁLIDO",IF(AND(J38&lt;=5,K33=1),"CERTIFICADO VÁLIDO")))))</f>
        <v/>
      </c>
      <c r="E33" s="317"/>
      <c r="F33" s="323"/>
      <c r="G33" s="324"/>
      <c r="H33" s="131">
        <f>IF(AND(J33=1,K33=1),1,0)</f>
        <v>0</v>
      </c>
      <c r="I33" s="14">
        <f>IF(E30="X",1,0)</f>
        <v>0</v>
      </c>
      <c r="J33" s="14">
        <f>IF(C32="X",1,0)</f>
        <v>0</v>
      </c>
      <c r="K33" s="14">
        <f>IF(D32="X",1,0)</f>
        <v>0</v>
      </c>
      <c r="L33" s="15"/>
      <c r="M33" s="15" t="e">
        <f>IF(M22=0,0,D21*L27+D23*L29+D24*L30+D26*L31+D27*L34+#REF!*L41)*L37*L22</f>
        <v>#REF!</v>
      </c>
      <c r="N33" s="15" t="e">
        <f>IF(N22=0,0,D21*L27+D23*L29+D24*L30+D26*L31+D27*L34+#REF!*L41)*L22</f>
        <v>#REF!</v>
      </c>
      <c r="O33" s="14"/>
    </row>
    <row r="34" spans="1:54" ht="48" customHeight="1" thickBot="1" x14ac:dyDescent="0.25">
      <c r="A34" s="318"/>
      <c r="B34" s="325" t="s">
        <v>43</v>
      </c>
      <c r="C34" s="326"/>
      <c r="D34" s="327"/>
      <c r="E34" s="312" t="str">
        <f ca="1">IF(OR(I19&lt;&gt;1,I34=0,J35=0,K31=0,D33="CERTIFICADO INVÁLIDO",D33="CANDIDATO SEM PROFICIÊNCIA EM INGLÊS"),"PONTUAÇÃO INVÁLIDA",J36)</f>
        <v>PONTUAÇÃO INVÁLIDA</v>
      </c>
      <c r="F34" s="313"/>
      <c r="G34" s="314"/>
      <c r="H34" s="132"/>
      <c r="I34" s="58">
        <f>IF(AND(I33=0,J34=0,J16=1),0,1)</f>
        <v>1</v>
      </c>
      <c r="J34" s="14">
        <f>IF(J33=K33,0,1)</f>
        <v>0</v>
      </c>
      <c r="K34" s="59">
        <f ca="1">YEAR(E129)</f>
        <v>2023</v>
      </c>
      <c r="L34" s="12">
        <f>IF(E27="x",1,0)</f>
        <v>0</v>
      </c>
      <c r="M34" s="15" t="e">
        <f>IF(M33&gt;250,250,M33)</f>
        <v>#REF!</v>
      </c>
      <c r="N34" s="15" t="e">
        <f>IF(N33&gt;250,250,N33)</f>
        <v>#REF!</v>
      </c>
      <c r="O34" s="14"/>
    </row>
    <row r="35" spans="1:54" ht="44.25" customHeight="1" thickBot="1" x14ac:dyDescent="0.25">
      <c r="A35" s="318"/>
      <c r="B35" s="238" t="s">
        <v>66</v>
      </c>
      <c r="C35" s="328"/>
      <c r="D35" s="328"/>
      <c r="E35" s="328"/>
      <c r="F35" s="328"/>
      <c r="G35" s="329"/>
      <c r="H35" s="129"/>
      <c r="I35" s="8"/>
      <c r="J35" s="8">
        <f ca="1">IF(AND(K33=1,C33&lt;K35),0,1)</f>
        <v>1</v>
      </c>
      <c r="K35" s="57">
        <f ca="1">K34-5</f>
        <v>2018</v>
      </c>
      <c r="L35" s="10"/>
      <c r="M35" s="15"/>
      <c r="N35" s="10"/>
      <c r="O35" s="8"/>
    </row>
    <row r="36" spans="1:54" ht="214.5" customHeight="1" x14ac:dyDescent="0.2">
      <c r="A36" s="341" t="s">
        <v>174</v>
      </c>
      <c r="B36" s="342"/>
      <c r="C36" s="303" t="s">
        <v>45</v>
      </c>
      <c r="D36" s="74" t="s">
        <v>129</v>
      </c>
      <c r="E36" s="145" t="s">
        <v>94</v>
      </c>
      <c r="F36" s="339" t="s">
        <v>96</v>
      </c>
      <c r="G36" s="340"/>
      <c r="H36" s="129"/>
      <c r="I36" s="14"/>
      <c r="J36" s="14">
        <f>IF(SUM(J24:J31)&gt;350,350,SUM(J24:J31))</f>
        <v>0</v>
      </c>
      <c r="K36" s="14"/>
      <c r="L36" s="15"/>
      <c r="M36" s="15" t="e">
        <f>IF(M34&gt;250,250,M34)</f>
        <v>#REF!</v>
      </c>
      <c r="N36" s="15" t="e">
        <f>IF(N34&gt;250,250,N34)</f>
        <v>#REF!</v>
      </c>
      <c r="O36" s="14"/>
      <c r="Q36" s="6"/>
      <c r="R36" s="62"/>
    </row>
    <row r="37" spans="1:54" ht="215.25" customHeight="1" thickBot="1" x14ac:dyDescent="0.25">
      <c r="A37" s="343"/>
      <c r="B37" s="344"/>
      <c r="C37" s="304"/>
      <c r="D37" s="179"/>
      <c r="E37" s="120">
        <f ca="1">TODAY()</f>
        <v>45077</v>
      </c>
      <c r="F37" s="143" t="str">
        <f>J43</f>
        <v/>
      </c>
      <c r="G37" s="144" t="str">
        <f>K43</f>
        <v/>
      </c>
      <c r="H37" s="129"/>
      <c r="I37" s="14"/>
      <c r="J37" s="14"/>
      <c r="K37" s="14"/>
      <c r="L37" s="12">
        <f>IF(E30="x",1,0)</f>
        <v>0</v>
      </c>
      <c r="M37" s="15"/>
      <c r="N37" s="12"/>
      <c r="O37" s="14"/>
    </row>
    <row r="38" spans="1:54" ht="86.25" customHeight="1" thickBot="1" x14ac:dyDescent="0.3">
      <c r="A38" s="345"/>
      <c r="B38" s="346"/>
      <c r="C38" s="305" t="s">
        <v>175</v>
      </c>
      <c r="D38" s="306"/>
      <c r="E38" s="189" t="s">
        <v>46</v>
      </c>
      <c r="F38" s="279" t="s">
        <v>41</v>
      </c>
      <c r="G38" s="280"/>
      <c r="H38" s="129"/>
      <c r="I38" s="14">
        <f ca="1">IF(J38&lt;5,1,0)</f>
        <v>0</v>
      </c>
      <c r="J38" s="2">
        <f ca="1">YEARFRAC(C33,I41,1)</f>
        <v>123.4168249061603</v>
      </c>
      <c r="K38">
        <f ca="1">(J38-TRUNC(J38))*12</f>
        <v>5.0018988739236079</v>
      </c>
      <c r="L38" s="12"/>
      <c r="M38" s="15"/>
      <c r="N38" s="12"/>
      <c r="O38" s="14"/>
      <c r="S38" s="24" t="str">
        <f>F37</f>
        <v/>
      </c>
      <c r="U38" s="61" t="str">
        <f>G37</f>
        <v/>
      </c>
    </row>
    <row r="39" spans="1:54" ht="42" customHeight="1" x14ac:dyDescent="0.25">
      <c r="A39" s="180"/>
      <c r="B39" s="181"/>
      <c r="C39" s="182" t="s">
        <v>164</v>
      </c>
      <c r="D39" s="182" t="s">
        <v>165</v>
      </c>
      <c r="E39" s="186"/>
      <c r="F39" s="187"/>
      <c r="G39" s="188"/>
      <c r="H39" s="129"/>
      <c r="I39" s="14"/>
      <c r="K39"/>
      <c r="L39" s="12"/>
      <c r="M39" s="15"/>
      <c r="N39" s="12"/>
      <c r="O39" s="14"/>
    </row>
    <row r="40" spans="1:54" ht="54" customHeight="1" x14ac:dyDescent="0.2">
      <c r="A40" s="113">
        <v>10</v>
      </c>
      <c r="B40" s="185" t="s">
        <v>172</v>
      </c>
      <c r="C40" s="203"/>
      <c r="D40" s="204"/>
      <c r="E40" s="191">
        <f>W40*30</f>
        <v>0</v>
      </c>
      <c r="F40" s="337"/>
      <c r="G40" s="338"/>
      <c r="H40" s="133"/>
      <c r="I40" s="14"/>
      <c r="J40" s="2" t="str">
        <f>IF(C33="","",TRUNC(J38))</f>
        <v/>
      </c>
      <c r="K40" s="2" t="str">
        <f>IF(C33="","",TRUNC(K38))</f>
        <v/>
      </c>
      <c r="L40" s="12"/>
      <c r="M40" s="15"/>
      <c r="N40" s="12"/>
      <c r="O40" s="14"/>
      <c r="S40" s="24">
        <f>C40</f>
        <v>0</v>
      </c>
      <c r="U40" s="61">
        <f>D40</f>
        <v>0</v>
      </c>
      <c r="W40" s="61">
        <f>S40+U40/12</f>
        <v>0</v>
      </c>
    </row>
    <row r="41" spans="1:54" ht="62.25" customHeight="1" x14ac:dyDescent="0.25">
      <c r="A41" s="107">
        <v>11</v>
      </c>
      <c r="B41" s="183" t="s">
        <v>166</v>
      </c>
      <c r="C41" s="205"/>
      <c r="D41" s="206"/>
      <c r="E41" s="191">
        <f>W41*25</f>
        <v>0</v>
      </c>
      <c r="F41" s="337"/>
      <c r="G41" s="338"/>
      <c r="H41" s="128"/>
      <c r="I41" s="34">
        <f ca="1">TODAY()</f>
        <v>45077</v>
      </c>
      <c r="J41" s="2">
        <f ca="1">YEARFRAC(D37,E37,1)</f>
        <v>123.4168249061603</v>
      </c>
      <c r="K41">
        <f ca="1">(J41-TRUNC(J41))*12</f>
        <v>5.0018988739236079</v>
      </c>
      <c r="L41" s="12" t="e">
        <f>IF(#REF!="x",1,0)</f>
        <v>#REF!</v>
      </c>
      <c r="M41" s="18"/>
      <c r="N41" s="12"/>
      <c r="O41" s="17"/>
      <c r="S41" s="24">
        <f>C41</f>
        <v>0</v>
      </c>
      <c r="U41" s="61">
        <f>D41</f>
        <v>0</v>
      </c>
      <c r="W41" s="61">
        <f>S41+U41/12</f>
        <v>0</v>
      </c>
    </row>
    <row r="42" spans="1:54" ht="113.45" customHeight="1" x14ac:dyDescent="0.2">
      <c r="A42" s="107">
        <v>12</v>
      </c>
      <c r="B42" s="183" t="s">
        <v>167</v>
      </c>
      <c r="C42" s="205"/>
      <c r="D42" s="206"/>
      <c r="E42" s="191">
        <f>W42*20</f>
        <v>0</v>
      </c>
      <c r="F42" s="337"/>
      <c r="G42" s="338"/>
      <c r="H42" s="134"/>
      <c r="I42" s="2">
        <f ca="1">YEAR(I41)</f>
        <v>2023</v>
      </c>
      <c r="J42" s="119" t="str">
        <f ca="1">IF(AND(D37&lt;&gt;0,E37&lt;&gt;0),+E37-D37-1,"")</f>
        <v/>
      </c>
      <c r="L42" s="19"/>
      <c r="M42" s="20"/>
      <c r="N42" s="20"/>
      <c r="S42" s="24">
        <f>C42</f>
        <v>0</v>
      </c>
      <c r="U42" s="61">
        <f>D42</f>
        <v>0</v>
      </c>
      <c r="W42" s="61">
        <f>S42+U42/12</f>
        <v>0</v>
      </c>
    </row>
    <row r="43" spans="1:54" ht="81" customHeight="1" x14ac:dyDescent="0.2">
      <c r="A43" s="108">
        <v>13</v>
      </c>
      <c r="B43" s="184" t="s">
        <v>168</v>
      </c>
      <c r="C43" s="205"/>
      <c r="D43" s="206"/>
      <c r="E43" s="191">
        <f>W43*15</f>
        <v>0</v>
      </c>
      <c r="F43" s="337"/>
      <c r="G43" s="338"/>
      <c r="H43" s="135"/>
      <c r="J43" s="2" t="str">
        <f>IF(D37="","",TRUNC(J41))</f>
        <v/>
      </c>
      <c r="K43" s="2" t="str">
        <f>IF(D37="","",TRUNC(K41))</f>
        <v/>
      </c>
      <c r="L43" s="8" t="e">
        <f>IF(OR(D40&gt;0,D41&gt;0,D42&gt;0,D46&gt;0,#REF!&gt;0),1,0)</f>
        <v>#REF!</v>
      </c>
      <c r="M43" s="8"/>
      <c r="S43" s="24">
        <f t="shared" ref="S43:S46" si="2">C43</f>
        <v>0</v>
      </c>
      <c r="U43" s="61">
        <f t="shared" ref="U43:U46" si="3">D43</f>
        <v>0</v>
      </c>
      <c r="W43" s="61">
        <f t="shared" ref="W43:W46" si="4">S43+U43/12</f>
        <v>0</v>
      </c>
    </row>
    <row r="44" spans="1:54" ht="85.5" customHeight="1" x14ac:dyDescent="0.2">
      <c r="A44" s="108">
        <v>14</v>
      </c>
      <c r="B44" s="184" t="s">
        <v>169</v>
      </c>
      <c r="C44" s="205"/>
      <c r="D44" s="206"/>
      <c r="E44" s="191">
        <f>W44*10</f>
        <v>0</v>
      </c>
      <c r="F44" s="337"/>
      <c r="G44" s="338"/>
      <c r="H44" s="5"/>
      <c r="L44" s="21" t="e">
        <f ca="1">IF(AND(D37&gt;0,E37&gt;0,O21=1,L43=1,F37&gt;=3),1,0)</f>
        <v>#REF!</v>
      </c>
      <c r="M44" s="21"/>
      <c r="S44" s="24">
        <f t="shared" si="2"/>
        <v>0</v>
      </c>
      <c r="U44" s="61">
        <f t="shared" si="3"/>
        <v>0</v>
      </c>
      <c r="W44" s="61">
        <f t="shared" si="4"/>
        <v>0</v>
      </c>
    </row>
    <row r="45" spans="1:54" ht="58.5" customHeight="1" x14ac:dyDescent="0.2">
      <c r="A45" s="108">
        <v>15</v>
      </c>
      <c r="B45" s="184" t="s">
        <v>170</v>
      </c>
      <c r="C45" s="205"/>
      <c r="D45" s="206"/>
      <c r="E45" s="191">
        <f>W45*5</f>
        <v>0</v>
      </c>
      <c r="F45" s="337"/>
      <c r="G45" s="338"/>
      <c r="H45" s="136"/>
      <c r="L45" s="21" t="e">
        <f ca="1">IF(L44=1,(D40*16)+(D41*8)+(D42*5)+(D46*16)+(#REF!*8)+(#REF!*0.5))</f>
        <v>#REF!</v>
      </c>
      <c r="M45" s="21"/>
      <c r="S45" s="24">
        <f t="shared" si="2"/>
        <v>0</v>
      </c>
      <c r="U45" s="61">
        <f t="shared" si="3"/>
        <v>0</v>
      </c>
      <c r="W45" s="61">
        <f t="shared" si="4"/>
        <v>0</v>
      </c>
    </row>
    <row r="46" spans="1:54" ht="49.5" customHeight="1" thickBot="1" x14ac:dyDescent="0.25">
      <c r="A46" s="117">
        <v>16</v>
      </c>
      <c r="B46" s="184" t="s">
        <v>171</v>
      </c>
      <c r="C46" s="205"/>
      <c r="D46" s="206"/>
      <c r="E46" s="191">
        <f>W46*20</f>
        <v>0</v>
      </c>
      <c r="F46" s="337"/>
      <c r="G46" s="338"/>
      <c r="H46" s="137"/>
      <c r="L46" s="21"/>
      <c r="M46" s="21"/>
      <c r="S46" s="24">
        <f t="shared" si="2"/>
        <v>0</v>
      </c>
      <c r="U46" s="61">
        <f t="shared" si="3"/>
        <v>0</v>
      </c>
      <c r="W46" s="61">
        <f t="shared" si="4"/>
        <v>0</v>
      </c>
    </row>
    <row r="47" spans="1:54" s="22" customFormat="1" ht="52.5" customHeight="1" thickBot="1" x14ac:dyDescent="0.25">
      <c r="A47" s="298"/>
      <c r="B47" s="325" t="s">
        <v>43</v>
      </c>
      <c r="C47" s="326"/>
      <c r="D47" s="327"/>
      <c r="E47" s="349" t="str">
        <f>K48</f>
        <v>TEMPO DE EXPERIÊNCIA INSUFICIENTE</v>
      </c>
      <c r="F47" s="350"/>
      <c r="G47" s="351"/>
      <c r="H47" s="137"/>
      <c r="L47" s="23" t="e">
        <f ca="1">IF(L45&gt;250,250,L45)</f>
        <v>#REF!</v>
      </c>
      <c r="M47" s="23"/>
      <c r="R47" s="63"/>
      <c r="S47" s="63"/>
      <c r="T47" s="61"/>
      <c r="U47" s="61"/>
      <c r="V47" s="61"/>
      <c r="W47" s="61">
        <f>SUM(W40:W46)</f>
        <v>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row>
    <row r="48" spans="1:54" s="22" customFormat="1" ht="38.1" customHeight="1" thickBot="1" x14ac:dyDescent="0.25">
      <c r="A48" s="299"/>
      <c r="B48" s="352" t="s">
        <v>132</v>
      </c>
      <c r="C48" s="328"/>
      <c r="D48" s="328"/>
      <c r="E48" s="328"/>
      <c r="F48" s="328"/>
      <c r="G48" s="329"/>
      <c r="H48" s="137"/>
      <c r="I48" s="60">
        <f>IF(SUM(E40:E46)&gt;350,350,SUM(E40:E46))</f>
        <v>0</v>
      </c>
      <c r="J48" s="22">
        <f>W47</f>
        <v>0</v>
      </c>
      <c r="K48" s="22" t="str">
        <f>IF(OR(AND(J48&lt;3,K24=1),AND(J48&lt;5,K24=0)),"TEMPO DE EXPERIÊNCIA INSUFICIENTE",IF(J48&gt;J41,"SOBREPOSIÇÃO DE ANOS DE EXPERIÊNCIA",IF(D37="","NÃO INFORMOU O ANO DA PRIMEIRA GRADUAÇÃO OU TITULAÇÃO NA ÁREA",L48)))</f>
        <v>TEMPO DE EXPERIÊNCIA INSUFICIENTE</v>
      </c>
      <c r="L48" s="23">
        <f ca="1">IF(J48&gt;J41,"SOBREPOSIÇÃO DE ANOS DE EXPERIÊNCIA",I48)</f>
        <v>0</v>
      </c>
      <c r="M48" s="23"/>
      <c r="R48" s="63"/>
      <c r="S48" s="63"/>
      <c r="T48" s="61"/>
      <c r="U48" s="61"/>
      <c r="V48" s="61"/>
      <c r="W48" s="61"/>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row>
    <row r="49" spans="1:54" s="22" customFormat="1" ht="54.75" customHeight="1" thickBot="1" x14ac:dyDescent="0.25">
      <c r="A49" s="286">
        <v>17</v>
      </c>
      <c r="B49" s="232" t="s">
        <v>133</v>
      </c>
      <c r="C49" s="71" t="s">
        <v>3</v>
      </c>
      <c r="D49" s="83" t="s">
        <v>2</v>
      </c>
      <c r="E49" s="55" t="s">
        <v>1</v>
      </c>
      <c r="F49" s="284" t="s">
        <v>41</v>
      </c>
      <c r="G49" s="285"/>
      <c r="H49" s="137"/>
      <c r="I49" s="60"/>
      <c r="L49" s="23"/>
      <c r="M49" s="23"/>
      <c r="R49" s="63"/>
      <c r="S49" s="63"/>
      <c r="T49" s="61"/>
      <c r="U49" s="61"/>
      <c r="V49" s="61"/>
      <c r="W49" s="61"/>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row>
    <row r="50" spans="1:54" s="22" customFormat="1" ht="86.25" customHeight="1" thickBot="1" x14ac:dyDescent="0.25">
      <c r="A50" s="287"/>
      <c r="B50" s="290"/>
      <c r="C50" s="208" t="s">
        <v>176</v>
      </c>
      <c r="D50" s="84"/>
      <c r="E50" s="192">
        <f>IF(D50&gt;100,50,IF(D50&gt;=1,0.5*D50,0))</f>
        <v>0</v>
      </c>
      <c r="F50" s="347"/>
      <c r="G50" s="348"/>
      <c r="H50" s="137"/>
      <c r="I50" s="60"/>
      <c r="L50" s="23"/>
      <c r="M50" s="23"/>
      <c r="R50" s="63"/>
      <c r="S50" s="63"/>
      <c r="T50" s="61"/>
      <c r="U50" s="61"/>
      <c r="V50" s="61"/>
      <c r="W50" s="61"/>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row>
    <row r="51" spans="1:54" s="22" customFormat="1" ht="78.75" customHeight="1" thickBot="1" x14ac:dyDescent="0.25">
      <c r="A51" s="109">
        <v>18</v>
      </c>
      <c r="B51" s="31" t="s">
        <v>134</v>
      </c>
      <c r="C51" s="207" t="s">
        <v>176</v>
      </c>
      <c r="D51" s="84"/>
      <c r="E51" s="192">
        <f>IF(D51&gt;100,50,IF(D51&gt;=1,0.5*D51,0))</f>
        <v>0</v>
      </c>
      <c r="F51" s="347"/>
      <c r="G51" s="348"/>
      <c r="H51" s="137"/>
      <c r="L51" s="22" t="str">
        <f>IF(SUM(E40:E46)&lt;3,"TEMPO DE EXPERIÊNCIA INSUFICIENTE NA ÁREA DA DISCIPLINA", I48)</f>
        <v>TEMPO DE EXPERIÊNCIA INSUFICIENTE NA ÁREA DA DISCIPLINA</v>
      </c>
      <c r="R51" s="63"/>
      <c r="S51" s="63"/>
      <c r="T51" s="61"/>
      <c r="U51" s="61"/>
      <c r="V51" s="61"/>
      <c r="W51" s="61"/>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row>
    <row r="52" spans="1:54" s="22" customFormat="1" ht="85.5" customHeight="1" thickBot="1" x14ac:dyDescent="0.25">
      <c r="A52" s="211" t="s">
        <v>29</v>
      </c>
      <c r="B52" s="288"/>
      <c r="C52" s="71" t="s">
        <v>3</v>
      </c>
      <c r="D52" s="72" t="s">
        <v>50</v>
      </c>
      <c r="E52" s="86" t="s">
        <v>1</v>
      </c>
      <c r="F52" s="213" t="s">
        <v>41</v>
      </c>
      <c r="G52" s="214"/>
      <c r="H52" s="138"/>
      <c r="R52" s="63"/>
      <c r="S52" s="63"/>
      <c r="T52" s="61"/>
      <c r="U52" s="61"/>
      <c r="V52" s="61"/>
      <c r="W52" s="61"/>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row>
    <row r="53" spans="1:54" s="22" customFormat="1" ht="45" customHeight="1" x14ac:dyDescent="0.2">
      <c r="A53" s="315">
        <v>19</v>
      </c>
      <c r="B53" s="232" t="s">
        <v>68</v>
      </c>
      <c r="C53" s="87" t="s">
        <v>70</v>
      </c>
      <c r="D53" s="88"/>
      <c r="E53" s="193">
        <f>D53*50</f>
        <v>0</v>
      </c>
      <c r="F53" s="229"/>
      <c r="G53" s="230"/>
      <c r="H53" s="128"/>
      <c r="R53" s="63"/>
      <c r="S53" s="63"/>
      <c r="T53" s="61"/>
      <c r="U53" s="61"/>
      <c r="V53" s="61"/>
      <c r="W53" s="61"/>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row>
    <row r="54" spans="1:54" ht="58.5" customHeight="1" thickBot="1" x14ac:dyDescent="0.25">
      <c r="A54" s="297"/>
      <c r="B54" s="290"/>
      <c r="C54" s="30" t="s">
        <v>71</v>
      </c>
      <c r="D54" s="89"/>
      <c r="E54" s="193">
        <f>D54*10</f>
        <v>0</v>
      </c>
      <c r="F54" s="229"/>
      <c r="G54" s="230"/>
      <c r="H54" s="5"/>
    </row>
    <row r="55" spans="1:54" ht="38.25" customHeight="1" x14ac:dyDescent="0.2">
      <c r="A55" s="296">
        <v>20</v>
      </c>
      <c r="B55" s="232" t="s">
        <v>69</v>
      </c>
      <c r="C55" s="87" t="s">
        <v>72</v>
      </c>
      <c r="D55" s="89"/>
      <c r="E55" s="193">
        <f>D55*20</f>
        <v>0</v>
      </c>
      <c r="F55" s="229"/>
      <c r="G55" s="230"/>
      <c r="H55" s="139"/>
    </row>
    <row r="56" spans="1:54" ht="75" customHeight="1" x14ac:dyDescent="0.2">
      <c r="A56" s="297"/>
      <c r="B56" s="290"/>
      <c r="C56" s="30" t="s">
        <v>73</v>
      </c>
      <c r="D56" s="89"/>
      <c r="E56" s="193">
        <f>D56*5</f>
        <v>0</v>
      </c>
      <c r="F56" s="229"/>
      <c r="G56" s="230"/>
      <c r="H56" s="139"/>
      <c r="I56" s="8"/>
      <c r="J56" s="8"/>
      <c r="K56" s="8"/>
      <c r="L56" s="21"/>
      <c r="M56" s="8"/>
      <c r="N56" s="8"/>
      <c r="O56" s="8"/>
    </row>
    <row r="57" spans="1:54" ht="75" customHeight="1" x14ac:dyDescent="0.2">
      <c r="A57" s="286">
        <v>21</v>
      </c>
      <c r="B57" s="289" t="s">
        <v>127</v>
      </c>
      <c r="C57" s="77" t="s">
        <v>125</v>
      </c>
      <c r="D57" s="89"/>
      <c r="E57" s="193">
        <f>D57*10</f>
        <v>0</v>
      </c>
      <c r="F57" s="229"/>
      <c r="G57" s="230"/>
      <c r="H57" s="140"/>
      <c r="I57" s="5"/>
      <c r="J57" s="5"/>
      <c r="K57" s="5"/>
      <c r="M57" s="5"/>
      <c r="N57" s="5"/>
      <c r="O57" s="5"/>
    </row>
    <row r="58" spans="1:54" ht="57" customHeight="1" thickBot="1" x14ac:dyDescent="0.25">
      <c r="A58" s="287"/>
      <c r="B58" s="290"/>
      <c r="C58" s="77" t="s">
        <v>126</v>
      </c>
      <c r="D58" s="90"/>
      <c r="E58" s="193">
        <f>D58*5</f>
        <v>0</v>
      </c>
      <c r="F58" s="229"/>
      <c r="G58" s="230"/>
      <c r="H58" s="139"/>
      <c r="L58" s="8"/>
    </row>
    <row r="59" spans="1:54" ht="51.95" customHeight="1" x14ac:dyDescent="0.2">
      <c r="A59" s="302">
        <v>22</v>
      </c>
      <c r="B59" s="233" t="s">
        <v>135</v>
      </c>
      <c r="C59" s="30" t="s">
        <v>67</v>
      </c>
      <c r="D59" s="89"/>
      <c r="E59" s="193">
        <f>D59*5</f>
        <v>0</v>
      </c>
      <c r="F59" s="229"/>
      <c r="G59" s="230"/>
      <c r="H59" s="139"/>
      <c r="I59" s="8"/>
      <c r="J59" s="8"/>
      <c r="K59" s="8"/>
      <c r="L59" s="8"/>
      <c r="M59" s="8"/>
      <c r="N59" s="8"/>
      <c r="O59" s="8"/>
    </row>
    <row r="60" spans="1:54" ht="51.95" customHeight="1" x14ac:dyDescent="0.2">
      <c r="A60" s="301"/>
      <c r="B60" s="290"/>
      <c r="C60" s="77" t="s">
        <v>89</v>
      </c>
      <c r="D60" s="90"/>
      <c r="E60" s="193">
        <f>D60*2.5</f>
        <v>0</v>
      </c>
      <c r="F60" s="229"/>
      <c r="G60" s="230"/>
      <c r="H60" s="139"/>
      <c r="I60" s="8"/>
      <c r="J60" s="8"/>
      <c r="K60" s="8"/>
      <c r="L60" s="8"/>
      <c r="M60" s="8"/>
      <c r="N60" s="8"/>
      <c r="O60" s="8"/>
    </row>
    <row r="61" spans="1:54" ht="51.95" customHeight="1" x14ac:dyDescent="0.2">
      <c r="A61" s="101">
        <v>23</v>
      </c>
      <c r="B61" s="77" t="s">
        <v>51</v>
      </c>
      <c r="C61" s="77" t="s">
        <v>23</v>
      </c>
      <c r="D61" s="90"/>
      <c r="E61" s="193">
        <f t="shared" ref="E61" si="5">D61*2.5</f>
        <v>0</v>
      </c>
      <c r="F61" s="229"/>
      <c r="G61" s="230"/>
      <c r="H61" s="139"/>
      <c r="I61" s="8"/>
      <c r="J61" s="8"/>
      <c r="K61" s="8"/>
      <c r="L61" s="8"/>
      <c r="M61" s="8"/>
      <c r="N61" s="8"/>
      <c r="O61" s="8"/>
    </row>
    <row r="62" spans="1:54" ht="51.95" customHeight="1" x14ac:dyDescent="0.2">
      <c r="A62" s="300">
        <v>24</v>
      </c>
      <c r="B62" s="289" t="s">
        <v>136</v>
      </c>
      <c r="C62" s="77" t="s">
        <v>37</v>
      </c>
      <c r="D62" s="90"/>
      <c r="E62" s="193">
        <f>D62*2</f>
        <v>0</v>
      </c>
      <c r="F62" s="229"/>
      <c r="G62" s="230"/>
      <c r="H62" s="139"/>
      <c r="I62" s="8"/>
      <c r="J62" s="8"/>
      <c r="K62" s="8"/>
      <c r="L62" s="8"/>
      <c r="M62" s="8"/>
      <c r="N62" s="8"/>
      <c r="O62" s="8"/>
    </row>
    <row r="63" spans="1:54" ht="60" customHeight="1" thickBot="1" x14ac:dyDescent="0.25">
      <c r="A63" s="301"/>
      <c r="B63" s="234"/>
      <c r="C63" s="31" t="s">
        <v>24</v>
      </c>
      <c r="D63" s="91"/>
      <c r="E63" s="193">
        <f>D63</f>
        <v>0</v>
      </c>
      <c r="F63" s="229"/>
      <c r="G63" s="230"/>
      <c r="H63" s="139"/>
      <c r="I63" s="8"/>
      <c r="J63" s="8"/>
      <c r="K63" s="8"/>
      <c r="L63" s="8"/>
      <c r="M63" s="8"/>
      <c r="N63" s="8"/>
      <c r="O63" s="8"/>
    </row>
    <row r="64" spans="1:54" ht="79.5" customHeight="1" thickBot="1" x14ac:dyDescent="0.25">
      <c r="A64" s="211" t="s">
        <v>47</v>
      </c>
      <c r="B64" s="288"/>
      <c r="C64" s="71" t="s">
        <v>3</v>
      </c>
      <c r="D64" s="72" t="s">
        <v>4</v>
      </c>
      <c r="E64" s="194" t="s">
        <v>1</v>
      </c>
      <c r="F64" s="213" t="s">
        <v>41</v>
      </c>
      <c r="G64" s="214"/>
      <c r="H64" s="139"/>
      <c r="I64" s="8"/>
      <c r="J64" s="8"/>
      <c r="K64" s="8"/>
      <c r="L64" s="8"/>
      <c r="M64" s="8"/>
      <c r="N64" s="8"/>
      <c r="O64" s="8"/>
    </row>
    <row r="65" spans="1:23" ht="73.5" customHeight="1" x14ac:dyDescent="0.2">
      <c r="A65" s="101">
        <v>25</v>
      </c>
      <c r="B65" s="92" t="s">
        <v>6</v>
      </c>
      <c r="C65" s="87" t="s">
        <v>9</v>
      </c>
      <c r="D65" s="93"/>
      <c r="E65" s="193">
        <f>D65*5</f>
        <v>0</v>
      </c>
      <c r="F65" s="229"/>
      <c r="G65" s="230"/>
      <c r="H65" s="139"/>
      <c r="I65" s="8"/>
      <c r="J65" s="8"/>
      <c r="K65" s="8"/>
      <c r="L65" s="8"/>
      <c r="M65" s="8"/>
      <c r="N65" s="8"/>
      <c r="O65" s="8"/>
    </row>
    <row r="66" spans="1:23" ht="73.5" customHeight="1" x14ac:dyDescent="0.2">
      <c r="A66" s="118">
        <v>26</v>
      </c>
      <c r="B66" s="30" t="s">
        <v>114</v>
      </c>
      <c r="C66" s="30" t="s">
        <v>86</v>
      </c>
      <c r="D66" s="94"/>
      <c r="E66" s="193">
        <f>D66*2</f>
        <v>0</v>
      </c>
      <c r="F66" s="229"/>
      <c r="G66" s="230"/>
      <c r="H66" s="139"/>
      <c r="I66" s="8"/>
      <c r="J66" s="8"/>
      <c r="K66" s="8"/>
      <c r="L66" s="8"/>
      <c r="M66" s="8"/>
      <c r="N66" s="8"/>
      <c r="O66" s="8"/>
    </row>
    <row r="67" spans="1:23" ht="78" customHeight="1" thickBot="1" x14ac:dyDescent="0.25">
      <c r="A67" s="110">
        <v>27</v>
      </c>
      <c r="B67" s="30" t="s">
        <v>115</v>
      </c>
      <c r="C67" s="30" t="s">
        <v>137</v>
      </c>
      <c r="D67" s="94"/>
      <c r="E67" s="193">
        <f>D67*2</f>
        <v>0</v>
      </c>
      <c r="F67" s="229"/>
      <c r="G67" s="230"/>
      <c r="H67" s="139"/>
      <c r="I67" s="8"/>
      <c r="J67" s="8"/>
      <c r="K67" s="8"/>
      <c r="L67" s="8"/>
      <c r="M67" s="8"/>
      <c r="N67" s="8"/>
      <c r="O67" s="8"/>
    </row>
    <row r="68" spans="1:23" ht="45.95" hidden="1" customHeight="1" x14ac:dyDescent="0.2">
      <c r="A68" s="45">
        <v>26</v>
      </c>
      <c r="B68" s="30" t="s">
        <v>116</v>
      </c>
      <c r="C68" s="30" t="s">
        <v>87</v>
      </c>
      <c r="D68" s="94"/>
      <c r="E68" s="193">
        <f>D68*2</f>
        <v>0</v>
      </c>
      <c r="F68" s="229"/>
      <c r="G68" s="230"/>
      <c r="H68" s="5"/>
      <c r="I68" s="8"/>
      <c r="J68" s="8"/>
      <c r="K68" s="8"/>
      <c r="L68" s="5"/>
      <c r="M68" s="8"/>
      <c r="N68" s="8"/>
      <c r="O68" s="8"/>
    </row>
    <row r="69" spans="1:23" ht="27.95" hidden="1" customHeight="1" x14ac:dyDescent="0.2">
      <c r="A69" s="105">
        <v>27</v>
      </c>
      <c r="B69" s="30" t="s">
        <v>117</v>
      </c>
      <c r="C69" s="30" t="s">
        <v>88</v>
      </c>
      <c r="D69" s="94"/>
      <c r="E69" s="193">
        <f>D69</f>
        <v>0</v>
      </c>
      <c r="F69" s="229"/>
      <c r="G69" s="230"/>
      <c r="H69" s="139"/>
      <c r="I69" s="5"/>
      <c r="J69" s="5"/>
      <c r="K69" s="5"/>
      <c r="L69" s="8"/>
      <c r="M69" s="5"/>
      <c r="N69" s="5"/>
      <c r="O69" s="5"/>
    </row>
    <row r="70" spans="1:23" ht="27.95" customHeight="1" thickBot="1" x14ac:dyDescent="0.25">
      <c r="A70" s="104">
        <v>28</v>
      </c>
      <c r="B70" s="31" t="s">
        <v>99</v>
      </c>
      <c r="C70" s="31" t="s">
        <v>138</v>
      </c>
      <c r="D70" s="95"/>
      <c r="E70" s="193">
        <f>D70*0.5</f>
        <v>0</v>
      </c>
      <c r="F70" s="229"/>
      <c r="G70" s="230"/>
      <c r="H70" s="139"/>
      <c r="I70" s="5"/>
      <c r="J70" s="5"/>
      <c r="K70" s="5"/>
      <c r="L70" s="8"/>
      <c r="M70" s="5"/>
      <c r="N70" s="5"/>
      <c r="O70" s="5"/>
    </row>
    <row r="71" spans="1:23" ht="37.5" customHeight="1" thickBot="1" x14ac:dyDescent="0.25">
      <c r="A71" s="211" t="s">
        <v>48</v>
      </c>
      <c r="B71" s="212"/>
      <c r="C71" s="111" t="s">
        <v>3</v>
      </c>
      <c r="D71" s="72" t="s">
        <v>4</v>
      </c>
      <c r="E71" s="85" t="s">
        <v>1</v>
      </c>
      <c r="F71" s="213" t="s">
        <v>41</v>
      </c>
      <c r="G71" s="214"/>
      <c r="H71" s="5"/>
      <c r="I71" s="8"/>
      <c r="J71" s="8"/>
      <c r="K71" s="8"/>
      <c r="L71" s="5"/>
      <c r="M71" s="8"/>
      <c r="N71" s="8"/>
      <c r="O71" s="8"/>
    </row>
    <row r="72" spans="1:23" ht="42" customHeight="1" x14ac:dyDescent="0.2">
      <c r="A72" s="242">
        <v>29</v>
      </c>
      <c r="B72" s="233" t="s">
        <v>113</v>
      </c>
      <c r="C72" s="87" t="s">
        <v>74</v>
      </c>
      <c r="D72" s="93"/>
      <c r="E72" s="193">
        <f>D72*3.5</f>
        <v>0</v>
      </c>
      <c r="F72" s="229"/>
      <c r="G72" s="230"/>
      <c r="H72" s="139"/>
      <c r="I72" s="5"/>
      <c r="J72" s="5"/>
      <c r="K72" s="5"/>
      <c r="L72" s="8"/>
      <c r="M72" s="5"/>
      <c r="N72" s="5"/>
      <c r="O72" s="5"/>
    </row>
    <row r="73" spans="1:23" s="43" customFormat="1" ht="40.5" customHeight="1" x14ac:dyDescent="0.25">
      <c r="A73" s="242"/>
      <c r="B73" s="233"/>
      <c r="C73" s="30" t="s">
        <v>139</v>
      </c>
      <c r="D73" s="94"/>
      <c r="E73" s="195">
        <f>D73*3</f>
        <v>0</v>
      </c>
      <c r="F73" s="229"/>
      <c r="G73" s="230"/>
      <c r="H73" s="139"/>
      <c r="I73" s="8"/>
      <c r="J73" s="8"/>
      <c r="K73" s="8"/>
      <c r="L73" s="8"/>
      <c r="M73" s="8"/>
      <c r="N73" s="8"/>
      <c r="O73" s="8"/>
      <c r="R73" s="44"/>
      <c r="S73" s="44"/>
      <c r="T73" s="64"/>
      <c r="U73" s="64"/>
      <c r="V73" s="64"/>
      <c r="W73" s="64"/>
    </row>
    <row r="74" spans="1:23" ht="41.25" customHeight="1" x14ac:dyDescent="0.2">
      <c r="A74" s="243"/>
      <c r="B74" s="290"/>
      <c r="C74" s="30" t="s">
        <v>14</v>
      </c>
      <c r="D74" s="94"/>
      <c r="E74" s="195">
        <f>D74*2.5</f>
        <v>0</v>
      </c>
      <c r="F74" s="229"/>
      <c r="G74" s="230"/>
      <c r="H74" s="139"/>
      <c r="I74" s="8"/>
      <c r="J74" s="8"/>
      <c r="K74" s="8"/>
      <c r="L74" s="8"/>
      <c r="M74" s="8"/>
      <c r="N74" s="8"/>
      <c r="O74" s="8"/>
    </row>
    <row r="75" spans="1:23" ht="55.5" customHeight="1" x14ac:dyDescent="0.2">
      <c r="A75" s="291">
        <v>30</v>
      </c>
      <c r="B75" s="289" t="s">
        <v>112</v>
      </c>
      <c r="C75" s="30" t="s">
        <v>75</v>
      </c>
      <c r="D75" s="94"/>
      <c r="E75" s="195">
        <f>8*D75</f>
        <v>0</v>
      </c>
      <c r="F75" s="229"/>
      <c r="G75" s="230"/>
      <c r="H75" s="139"/>
      <c r="I75" s="8"/>
      <c r="J75" s="8"/>
      <c r="K75" s="8"/>
      <c r="L75" s="8"/>
      <c r="M75" s="8"/>
      <c r="N75" s="8"/>
      <c r="O75" s="8"/>
    </row>
    <row r="76" spans="1:23" ht="60.75" customHeight="1" x14ac:dyDescent="0.2">
      <c r="A76" s="269"/>
      <c r="B76" s="233"/>
      <c r="C76" s="30" t="s">
        <v>76</v>
      </c>
      <c r="D76" s="94"/>
      <c r="E76" s="195">
        <f>4*D76</f>
        <v>0</v>
      </c>
      <c r="F76" s="229"/>
      <c r="G76" s="230"/>
      <c r="H76" s="140"/>
      <c r="I76" s="8"/>
      <c r="J76" s="8"/>
      <c r="K76" s="8"/>
      <c r="L76" s="5"/>
      <c r="M76" s="8"/>
      <c r="N76" s="8"/>
      <c r="O76" s="8"/>
    </row>
    <row r="77" spans="1:23" ht="45.75" customHeight="1" x14ac:dyDescent="0.2">
      <c r="A77" s="269"/>
      <c r="B77" s="233"/>
      <c r="C77" s="30" t="s">
        <v>141</v>
      </c>
      <c r="D77" s="94"/>
      <c r="E77" s="195">
        <f>3*D77</f>
        <v>0</v>
      </c>
      <c r="F77" s="229"/>
      <c r="G77" s="230"/>
      <c r="H77" s="139"/>
      <c r="I77" s="5"/>
      <c r="J77" s="5"/>
      <c r="K77" s="5"/>
      <c r="L77" s="8"/>
      <c r="M77" s="5"/>
      <c r="N77" s="5"/>
      <c r="O77" s="5"/>
    </row>
    <row r="78" spans="1:23" ht="45.75" customHeight="1" x14ac:dyDescent="0.2">
      <c r="A78" s="269"/>
      <c r="B78" s="233"/>
      <c r="C78" s="30" t="s">
        <v>77</v>
      </c>
      <c r="D78" s="94"/>
      <c r="E78" s="195">
        <f>D78*2</f>
        <v>0</v>
      </c>
      <c r="F78" s="229"/>
      <c r="G78" s="230"/>
      <c r="H78" s="139"/>
      <c r="I78" s="5"/>
      <c r="J78" s="5"/>
      <c r="K78" s="5"/>
      <c r="L78" s="8"/>
      <c r="M78" s="5"/>
      <c r="N78" s="5"/>
      <c r="O78" s="5"/>
    </row>
    <row r="79" spans="1:23" ht="45.75" customHeight="1" x14ac:dyDescent="0.2">
      <c r="A79" s="269"/>
      <c r="B79" s="233"/>
      <c r="C79" s="30" t="s">
        <v>142</v>
      </c>
      <c r="D79" s="94"/>
      <c r="E79" s="195">
        <f>D79*1.5</f>
        <v>0</v>
      </c>
      <c r="F79" s="229"/>
      <c r="G79" s="230"/>
      <c r="H79" s="139"/>
      <c r="I79" s="5"/>
      <c r="J79" s="5"/>
      <c r="K79" s="5"/>
      <c r="L79" s="8"/>
      <c r="M79" s="5"/>
      <c r="N79" s="5"/>
      <c r="O79" s="5"/>
    </row>
    <row r="80" spans="1:23" ht="38.25" customHeight="1" x14ac:dyDescent="0.2">
      <c r="A80" s="292"/>
      <c r="B80" s="290"/>
      <c r="C80" s="30" t="s">
        <v>140</v>
      </c>
      <c r="D80" s="94"/>
      <c r="E80" s="195">
        <f>D80</f>
        <v>0</v>
      </c>
      <c r="F80" s="229"/>
      <c r="G80" s="230"/>
      <c r="H80" s="139"/>
      <c r="I80" s="8"/>
      <c r="J80" s="8"/>
      <c r="K80" s="8"/>
      <c r="L80" s="5"/>
      <c r="M80" s="8"/>
      <c r="N80" s="8"/>
      <c r="O80" s="8"/>
    </row>
    <row r="81" spans="1:23" ht="38.25" customHeight="1" x14ac:dyDescent="0.2">
      <c r="A81" s="293">
        <v>31</v>
      </c>
      <c r="B81" s="289" t="s">
        <v>118</v>
      </c>
      <c r="C81" s="30" t="s">
        <v>155</v>
      </c>
      <c r="D81" s="94"/>
      <c r="E81" s="195">
        <f>4*D81</f>
        <v>0</v>
      </c>
      <c r="F81" s="229"/>
      <c r="G81" s="230"/>
      <c r="H81" s="139"/>
      <c r="I81" s="8"/>
      <c r="J81" s="8"/>
      <c r="K81" s="8"/>
      <c r="L81" s="5"/>
      <c r="M81" s="8"/>
      <c r="N81" s="8"/>
      <c r="O81" s="8"/>
    </row>
    <row r="82" spans="1:23" ht="38.25" customHeight="1" x14ac:dyDescent="0.2">
      <c r="A82" s="294"/>
      <c r="B82" s="233"/>
      <c r="C82" s="30" t="s">
        <v>156</v>
      </c>
      <c r="D82" s="94"/>
      <c r="E82" s="195">
        <f>2*D82</f>
        <v>0</v>
      </c>
      <c r="F82" s="229"/>
      <c r="G82" s="230"/>
      <c r="H82" s="139"/>
      <c r="I82" s="8"/>
      <c r="J82" s="8"/>
      <c r="K82" s="8"/>
      <c r="L82" s="5"/>
      <c r="M82" s="8"/>
      <c r="N82" s="8"/>
      <c r="O82" s="8"/>
    </row>
    <row r="83" spans="1:23" ht="33" customHeight="1" x14ac:dyDescent="0.2">
      <c r="A83" s="294"/>
      <c r="B83" s="233"/>
      <c r="C83" s="30" t="s">
        <v>157</v>
      </c>
      <c r="D83" s="94"/>
      <c r="E83" s="195">
        <f>1.5*D83</f>
        <v>0</v>
      </c>
      <c r="F83" s="229"/>
      <c r="G83" s="230"/>
      <c r="H83" s="139"/>
      <c r="I83" s="5"/>
      <c r="J83" s="5"/>
      <c r="K83" s="5"/>
      <c r="L83" s="8"/>
      <c r="M83" s="5"/>
      <c r="N83" s="5"/>
      <c r="O83" s="5"/>
    </row>
    <row r="84" spans="1:23" ht="38.25" customHeight="1" x14ac:dyDescent="0.2">
      <c r="A84" s="294"/>
      <c r="B84" s="233"/>
      <c r="C84" s="30" t="s">
        <v>158</v>
      </c>
      <c r="D84" s="94"/>
      <c r="E84" s="195">
        <f>D84</f>
        <v>0</v>
      </c>
      <c r="F84" s="229"/>
      <c r="G84" s="230"/>
      <c r="H84" s="139"/>
      <c r="I84" s="5"/>
      <c r="J84" s="5"/>
      <c r="K84" s="5"/>
      <c r="L84" s="8"/>
      <c r="M84" s="5"/>
      <c r="N84" s="5"/>
      <c r="O84" s="5"/>
    </row>
    <row r="85" spans="1:23" s="43" customFormat="1" ht="46.5" customHeight="1" x14ac:dyDescent="0.25">
      <c r="A85" s="294"/>
      <c r="B85" s="233"/>
      <c r="C85" s="30" t="s">
        <v>159</v>
      </c>
      <c r="D85" s="94"/>
      <c r="E85" s="195">
        <f>D85*0.75</f>
        <v>0</v>
      </c>
      <c r="F85" s="229"/>
      <c r="G85" s="230"/>
      <c r="H85" s="139"/>
      <c r="I85" s="5"/>
      <c r="J85" s="5"/>
      <c r="K85" s="5"/>
      <c r="L85" s="8"/>
      <c r="M85" s="5"/>
      <c r="N85" s="5"/>
      <c r="O85" s="5"/>
      <c r="R85" s="44"/>
      <c r="S85" s="44"/>
      <c r="T85" s="64"/>
      <c r="U85" s="64"/>
      <c r="V85" s="64"/>
      <c r="W85" s="64"/>
    </row>
    <row r="86" spans="1:23" ht="47.25" customHeight="1" thickBot="1" x14ac:dyDescent="0.25">
      <c r="A86" s="295"/>
      <c r="B86" s="234"/>
      <c r="C86" s="30" t="s">
        <v>78</v>
      </c>
      <c r="D86" s="94"/>
      <c r="E86" s="195">
        <f>D86*0.5</f>
        <v>0</v>
      </c>
      <c r="F86" s="229"/>
      <c r="G86" s="230"/>
      <c r="H86" s="139"/>
      <c r="I86" s="5"/>
      <c r="J86" s="5"/>
      <c r="K86" s="5"/>
      <c r="L86" s="8"/>
      <c r="M86" s="5"/>
      <c r="N86" s="5"/>
      <c r="O86" s="5"/>
    </row>
    <row r="87" spans="1:23" ht="54" customHeight="1" thickBot="1" x14ac:dyDescent="0.25">
      <c r="A87" s="211" t="s">
        <v>145</v>
      </c>
      <c r="B87" s="212"/>
      <c r="C87" s="111" t="s">
        <v>3</v>
      </c>
      <c r="D87" s="72" t="s">
        <v>4</v>
      </c>
      <c r="E87" s="85" t="s">
        <v>1</v>
      </c>
      <c r="F87" s="213" t="s">
        <v>41</v>
      </c>
      <c r="G87" s="214"/>
      <c r="H87" s="139"/>
      <c r="I87" s="5"/>
      <c r="J87" s="5"/>
      <c r="K87" s="5"/>
      <c r="L87" s="8"/>
      <c r="M87" s="5"/>
      <c r="N87" s="5"/>
      <c r="O87" s="5"/>
    </row>
    <row r="88" spans="1:23" ht="55.5" customHeight="1" x14ac:dyDescent="0.2">
      <c r="A88" s="118">
        <v>32</v>
      </c>
      <c r="B88" s="77" t="s">
        <v>143</v>
      </c>
      <c r="C88" s="30" t="s">
        <v>7</v>
      </c>
      <c r="D88" s="94"/>
      <c r="E88" s="195">
        <f>D88*5</f>
        <v>0</v>
      </c>
      <c r="F88" s="229"/>
      <c r="G88" s="230"/>
      <c r="H88" s="139"/>
      <c r="I88" s="8"/>
      <c r="J88" s="8"/>
      <c r="K88" s="8"/>
      <c r="L88" s="8"/>
      <c r="M88" s="8"/>
      <c r="N88" s="8"/>
      <c r="O88" s="8"/>
    </row>
    <row r="89" spans="1:23" ht="56.1" customHeight="1" x14ac:dyDescent="0.2">
      <c r="A89" s="112">
        <v>33</v>
      </c>
      <c r="B89" s="77" t="s">
        <v>144</v>
      </c>
      <c r="C89" s="30" t="s">
        <v>22</v>
      </c>
      <c r="D89" s="94"/>
      <c r="E89" s="195">
        <f>D89*2.5</f>
        <v>0</v>
      </c>
      <c r="F89" s="229"/>
      <c r="G89" s="230"/>
      <c r="H89" s="139"/>
      <c r="I89" s="8"/>
      <c r="J89" s="8"/>
      <c r="K89" s="8"/>
      <c r="L89" s="8"/>
      <c r="M89" s="8"/>
      <c r="N89" s="8"/>
      <c r="O89" s="8"/>
    </row>
    <row r="90" spans="1:23" ht="56.1" customHeight="1" x14ac:dyDescent="0.2">
      <c r="A90" s="106">
        <v>34</v>
      </c>
      <c r="B90" s="30" t="s">
        <v>90</v>
      </c>
      <c r="C90" s="30" t="s">
        <v>58</v>
      </c>
      <c r="D90" s="94"/>
      <c r="E90" s="195">
        <f>D90*7.5</f>
        <v>0</v>
      </c>
      <c r="F90" s="229"/>
      <c r="G90" s="230"/>
      <c r="H90" s="139"/>
      <c r="I90" s="8"/>
      <c r="J90" s="8"/>
      <c r="K90" s="8"/>
      <c r="L90" s="8"/>
      <c r="M90" s="8"/>
      <c r="N90" s="8"/>
      <c r="O90" s="8"/>
    </row>
    <row r="91" spans="1:23" ht="54.75" customHeight="1" x14ac:dyDescent="0.2">
      <c r="A91" s="101">
        <v>35</v>
      </c>
      <c r="B91" s="30" t="s">
        <v>79</v>
      </c>
      <c r="C91" s="30" t="s">
        <v>60</v>
      </c>
      <c r="D91" s="94"/>
      <c r="E91" s="195">
        <f>5*D91</f>
        <v>0</v>
      </c>
      <c r="F91" s="229"/>
      <c r="G91" s="230"/>
      <c r="H91" s="190"/>
      <c r="I91" s="8"/>
      <c r="J91" s="8"/>
      <c r="K91" s="8"/>
      <c r="L91" s="8"/>
      <c r="M91" s="8"/>
      <c r="N91" s="8"/>
      <c r="O91" s="8"/>
    </row>
    <row r="92" spans="1:23" ht="54.75" customHeight="1" thickBot="1" x14ac:dyDescent="0.25">
      <c r="A92" s="101">
        <v>36</v>
      </c>
      <c r="B92" s="30" t="s">
        <v>59</v>
      </c>
      <c r="C92" s="30" t="s">
        <v>22</v>
      </c>
      <c r="D92" s="94"/>
      <c r="E92" s="195">
        <f>D92*2.5</f>
        <v>0</v>
      </c>
      <c r="F92" s="229"/>
      <c r="G92" s="230"/>
      <c r="H92" s="139"/>
      <c r="I92" s="8"/>
      <c r="J92" s="8"/>
      <c r="K92" s="8"/>
      <c r="L92" s="8"/>
      <c r="M92" s="8"/>
      <c r="N92" s="8"/>
      <c r="O92" s="8"/>
    </row>
    <row r="93" spans="1:23" ht="44.25" customHeight="1" thickBot="1" x14ac:dyDescent="0.25">
      <c r="A93" s="211" t="s">
        <v>146</v>
      </c>
      <c r="B93" s="212"/>
      <c r="C93" s="111" t="s">
        <v>3</v>
      </c>
      <c r="D93" s="72" t="s">
        <v>4</v>
      </c>
      <c r="E93" s="85" t="s">
        <v>1</v>
      </c>
      <c r="F93" s="213" t="s">
        <v>41</v>
      </c>
      <c r="G93" s="214"/>
      <c r="H93" s="139"/>
      <c r="I93" s="8"/>
      <c r="J93" s="8"/>
      <c r="K93" s="8"/>
      <c r="L93" s="8"/>
      <c r="M93" s="8"/>
      <c r="N93" s="8"/>
      <c r="O93" s="8"/>
    </row>
    <row r="94" spans="1:23" ht="49.5" customHeight="1" x14ac:dyDescent="0.2">
      <c r="A94" s="242">
        <v>37</v>
      </c>
      <c r="B94" s="232" t="s">
        <v>30</v>
      </c>
      <c r="C94" s="77" t="s">
        <v>149</v>
      </c>
      <c r="D94" s="94"/>
      <c r="E94" s="195">
        <f>D94*2</f>
        <v>0</v>
      </c>
      <c r="F94" s="229"/>
      <c r="G94" s="230"/>
      <c r="H94" s="139"/>
      <c r="I94" s="8"/>
      <c r="J94" s="8"/>
      <c r="K94" s="8"/>
      <c r="L94" s="8"/>
      <c r="M94" s="8"/>
      <c r="N94" s="8"/>
      <c r="O94" s="8"/>
    </row>
    <row r="95" spans="1:23" ht="69" customHeight="1" x14ac:dyDescent="0.2">
      <c r="A95" s="242"/>
      <c r="B95" s="233"/>
      <c r="C95" s="77" t="s">
        <v>148</v>
      </c>
      <c r="D95" s="94"/>
      <c r="E95" s="195">
        <f>1.5*D95</f>
        <v>0</v>
      </c>
      <c r="F95" s="229"/>
      <c r="G95" s="230"/>
      <c r="H95" s="139"/>
      <c r="I95" s="8"/>
      <c r="J95" s="8"/>
      <c r="K95" s="8"/>
      <c r="L95" s="8"/>
      <c r="M95" s="8"/>
      <c r="N95" s="8"/>
      <c r="O95" s="8"/>
    </row>
    <row r="96" spans="1:23" ht="50.25" customHeight="1" thickBot="1" x14ac:dyDescent="0.25">
      <c r="A96" s="243"/>
      <c r="B96" s="234"/>
      <c r="C96" s="77" t="s">
        <v>162</v>
      </c>
      <c r="D96" s="94"/>
      <c r="E96" s="195">
        <f>D96</f>
        <v>0</v>
      </c>
      <c r="F96" s="229"/>
      <c r="G96" s="230"/>
      <c r="H96" s="139"/>
      <c r="I96" s="8"/>
      <c r="J96" s="8"/>
      <c r="K96" s="8"/>
      <c r="L96" s="8"/>
      <c r="M96" s="8"/>
      <c r="N96" s="8"/>
      <c r="O96" s="8"/>
    </row>
    <row r="97" spans="1:15" ht="49.5" customHeight="1" thickBot="1" x14ac:dyDescent="0.25">
      <c r="A97" s="211" t="s">
        <v>147</v>
      </c>
      <c r="B97" s="212"/>
      <c r="C97" s="111" t="s">
        <v>3</v>
      </c>
      <c r="D97" s="72" t="s">
        <v>4</v>
      </c>
      <c r="E97" s="85" t="s">
        <v>1</v>
      </c>
      <c r="F97" s="213" t="s">
        <v>41</v>
      </c>
      <c r="G97" s="214"/>
      <c r="H97" s="139"/>
      <c r="I97" s="8"/>
      <c r="J97" s="8"/>
      <c r="K97" s="8"/>
      <c r="L97" s="8"/>
      <c r="M97" s="8"/>
      <c r="N97" s="8"/>
      <c r="O97" s="8"/>
    </row>
    <row r="98" spans="1:15" ht="36" customHeight="1" thickBot="1" x14ac:dyDescent="0.25">
      <c r="A98" s="104">
        <v>38</v>
      </c>
      <c r="B98" s="31" t="s">
        <v>52</v>
      </c>
      <c r="C98" s="96" t="s">
        <v>85</v>
      </c>
      <c r="D98" s="95"/>
      <c r="E98" s="196">
        <f>D98*50</f>
        <v>0</v>
      </c>
      <c r="F98" s="229"/>
      <c r="G98" s="230"/>
      <c r="H98" s="139"/>
      <c r="I98" s="8"/>
      <c r="J98" s="8"/>
      <c r="K98" s="8"/>
      <c r="L98" s="8"/>
      <c r="M98" s="8"/>
      <c r="N98" s="8"/>
      <c r="O98" s="8"/>
    </row>
    <row r="99" spans="1:15" ht="70.5" customHeight="1" thickBot="1" x14ac:dyDescent="0.25">
      <c r="A99" s="211" t="s">
        <v>57</v>
      </c>
      <c r="B99" s="212"/>
      <c r="C99" s="111" t="s">
        <v>3</v>
      </c>
      <c r="D99" s="73" t="s">
        <v>4</v>
      </c>
      <c r="E99" s="146" t="s">
        <v>1</v>
      </c>
      <c r="F99" s="231" t="s">
        <v>41</v>
      </c>
      <c r="G99" s="214"/>
      <c r="H99" s="139"/>
      <c r="I99" s="8"/>
      <c r="J99" s="8"/>
      <c r="K99" s="8"/>
      <c r="L99" s="8"/>
      <c r="M99" s="8"/>
      <c r="N99" s="8"/>
      <c r="O99" s="8"/>
    </row>
    <row r="100" spans="1:15" ht="91.5" customHeight="1" x14ac:dyDescent="0.2">
      <c r="A100" s="112">
        <v>39</v>
      </c>
      <c r="B100" s="97" t="s">
        <v>82</v>
      </c>
      <c r="C100" s="98" t="s">
        <v>80</v>
      </c>
      <c r="D100" s="93"/>
      <c r="E100" s="193">
        <f>D100*40</f>
        <v>0</v>
      </c>
      <c r="F100" s="229"/>
      <c r="G100" s="230"/>
      <c r="H100" s="139"/>
      <c r="I100" s="8"/>
      <c r="J100" s="8"/>
      <c r="K100" s="8"/>
      <c r="L100" s="8"/>
      <c r="M100" s="8"/>
      <c r="N100" s="8"/>
      <c r="O100" s="8"/>
    </row>
    <row r="101" spans="1:15" ht="81" customHeight="1" x14ac:dyDescent="0.2">
      <c r="A101" s="101">
        <v>40</v>
      </c>
      <c r="B101" s="97" t="s">
        <v>83</v>
      </c>
      <c r="C101" s="98" t="s">
        <v>81</v>
      </c>
      <c r="D101" s="93"/>
      <c r="E101" s="193">
        <f>D101*10</f>
        <v>0</v>
      </c>
      <c r="F101" s="229"/>
      <c r="G101" s="230"/>
      <c r="H101" s="139"/>
      <c r="I101" s="8"/>
      <c r="J101" s="8"/>
      <c r="K101" s="8"/>
      <c r="L101" s="8"/>
      <c r="M101" s="8"/>
      <c r="N101" s="8"/>
      <c r="O101" s="8"/>
    </row>
    <row r="102" spans="1:15" ht="78.75" customHeight="1" x14ac:dyDescent="0.2">
      <c r="A102" s="101">
        <v>41</v>
      </c>
      <c r="B102" s="97" t="s">
        <v>84</v>
      </c>
      <c r="C102" s="98" t="s">
        <v>44</v>
      </c>
      <c r="D102" s="93"/>
      <c r="E102" s="193">
        <f>D102*30</f>
        <v>0</v>
      </c>
      <c r="F102" s="229"/>
      <c r="G102" s="230"/>
      <c r="H102" s="140"/>
      <c r="I102" s="8"/>
      <c r="J102" s="8"/>
      <c r="K102" s="8"/>
      <c r="L102" s="5"/>
      <c r="M102" s="8"/>
      <c r="N102" s="8"/>
      <c r="O102" s="8"/>
    </row>
    <row r="103" spans="1:15" ht="60" customHeight="1" x14ac:dyDescent="0.2">
      <c r="A103" s="101">
        <v>42</v>
      </c>
      <c r="B103" s="97" t="s">
        <v>121</v>
      </c>
      <c r="C103" s="97" t="s">
        <v>119</v>
      </c>
      <c r="D103" s="93"/>
      <c r="E103" s="193">
        <f>D103</f>
        <v>0</v>
      </c>
      <c r="F103" s="229"/>
      <c r="G103" s="230"/>
      <c r="H103" s="139"/>
      <c r="I103" s="5"/>
      <c r="J103" s="5"/>
      <c r="K103" s="5"/>
      <c r="L103" s="8"/>
      <c r="M103" s="5"/>
      <c r="N103" s="5"/>
      <c r="O103" s="5"/>
    </row>
    <row r="104" spans="1:15" ht="62.25" customHeight="1" x14ac:dyDescent="0.2">
      <c r="A104" s="101">
        <v>43</v>
      </c>
      <c r="B104" s="97" t="s">
        <v>122</v>
      </c>
      <c r="C104" s="97" t="s">
        <v>120</v>
      </c>
      <c r="D104" s="93"/>
      <c r="E104" s="193">
        <f>D104*2</f>
        <v>0</v>
      </c>
      <c r="F104" s="229"/>
      <c r="G104" s="230"/>
      <c r="H104" s="139"/>
      <c r="I104" s="5"/>
      <c r="J104" s="5"/>
      <c r="K104" s="5"/>
      <c r="L104" s="8"/>
      <c r="M104" s="5"/>
      <c r="N104" s="5"/>
      <c r="O104" s="5"/>
    </row>
    <row r="105" spans="1:15" ht="66.75" customHeight="1" x14ac:dyDescent="0.2">
      <c r="A105" s="101">
        <v>44</v>
      </c>
      <c r="B105" s="97" t="s">
        <v>97</v>
      </c>
      <c r="C105" s="98" t="s">
        <v>98</v>
      </c>
      <c r="D105" s="93"/>
      <c r="E105" s="193">
        <f>D105*5</f>
        <v>0</v>
      </c>
      <c r="F105" s="229"/>
      <c r="G105" s="230"/>
      <c r="H105" s="139"/>
      <c r="I105" s="5"/>
      <c r="J105" s="5"/>
      <c r="K105" s="5"/>
      <c r="L105" s="8"/>
      <c r="M105" s="5"/>
      <c r="N105" s="5"/>
      <c r="O105" s="5"/>
    </row>
    <row r="106" spans="1:15" ht="71.25" customHeight="1" x14ac:dyDescent="0.2">
      <c r="A106" s="101">
        <v>45</v>
      </c>
      <c r="B106" s="77" t="s">
        <v>53</v>
      </c>
      <c r="C106" s="77" t="s">
        <v>25</v>
      </c>
      <c r="D106" s="94"/>
      <c r="E106" s="195">
        <f>D106*5</f>
        <v>0</v>
      </c>
      <c r="F106" s="229"/>
      <c r="G106" s="230"/>
      <c r="H106" s="139"/>
      <c r="I106" s="5"/>
      <c r="J106" s="5"/>
      <c r="K106" s="5"/>
      <c r="L106" s="8"/>
      <c r="M106" s="5"/>
      <c r="N106" s="5"/>
      <c r="O106" s="5"/>
    </row>
    <row r="107" spans="1:15" ht="50.25" customHeight="1" thickBot="1" x14ac:dyDescent="0.25">
      <c r="A107" s="104">
        <v>46</v>
      </c>
      <c r="B107" s="77" t="s">
        <v>150</v>
      </c>
      <c r="C107" s="77" t="s">
        <v>27</v>
      </c>
      <c r="D107" s="94"/>
      <c r="E107" s="195">
        <f>D107*5</f>
        <v>0</v>
      </c>
      <c r="F107" s="229"/>
      <c r="G107" s="230"/>
      <c r="H107" s="139"/>
      <c r="I107" s="5"/>
      <c r="J107" s="5"/>
      <c r="K107" s="5"/>
      <c r="L107" s="8"/>
      <c r="M107" s="5"/>
      <c r="N107" s="5"/>
      <c r="O107" s="5"/>
    </row>
    <row r="108" spans="1:15" ht="65.25" customHeight="1" thickBot="1" x14ac:dyDescent="0.25">
      <c r="A108" s="45">
        <v>47</v>
      </c>
      <c r="B108" s="77" t="s">
        <v>151</v>
      </c>
      <c r="C108" s="77" t="s">
        <v>26</v>
      </c>
      <c r="D108" s="94"/>
      <c r="E108" s="195">
        <f>D108*5</f>
        <v>0</v>
      </c>
      <c r="F108" s="229"/>
      <c r="G108" s="230"/>
      <c r="H108" s="139"/>
      <c r="I108" s="5"/>
      <c r="J108" s="5"/>
      <c r="K108" s="5"/>
      <c r="L108" s="8"/>
      <c r="M108" s="5"/>
      <c r="N108" s="5"/>
      <c r="O108" s="5"/>
    </row>
    <row r="109" spans="1:15" ht="50.25" customHeight="1" x14ac:dyDescent="0.2">
      <c r="A109" s="105">
        <v>48</v>
      </c>
      <c r="B109" s="77" t="s">
        <v>55</v>
      </c>
      <c r="C109" s="77" t="s">
        <v>54</v>
      </c>
      <c r="D109" s="94"/>
      <c r="E109" s="195">
        <f>D109*5</f>
        <v>0</v>
      </c>
      <c r="F109" s="229"/>
      <c r="G109" s="230"/>
      <c r="H109" s="139"/>
      <c r="I109" s="8"/>
      <c r="J109" s="8"/>
      <c r="K109" s="8"/>
      <c r="L109" s="5"/>
      <c r="M109" s="8"/>
      <c r="N109" s="8"/>
      <c r="O109" s="8"/>
    </row>
    <row r="110" spans="1:15" ht="45" customHeight="1" thickBot="1" x14ac:dyDescent="0.25">
      <c r="A110" s="104">
        <v>49</v>
      </c>
      <c r="B110" s="96" t="s">
        <v>56</v>
      </c>
      <c r="C110" s="96" t="s">
        <v>28</v>
      </c>
      <c r="D110" s="95"/>
      <c r="E110" s="196">
        <f>D110*2.5</f>
        <v>0</v>
      </c>
      <c r="F110" s="229"/>
      <c r="G110" s="230"/>
      <c r="H110" s="139"/>
      <c r="I110" s="5"/>
      <c r="J110" s="5"/>
      <c r="K110" s="5"/>
      <c r="L110" s="8"/>
      <c r="M110" s="5"/>
      <c r="N110" s="5"/>
      <c r="O110" s="5"/>
    </row>
    <row r="111" spans="1:15" ht="45.75" customHeight="1" thickBot="1" x14ac:dyDescent="0.25">
      <c r="A111" s="215" t="s">
        <v>43</v>
      </c>
      <c r="B111" s="216"/>
      <c r="C111" s="216"/>
      <c r="D111" s="217"/>
      <c r="E111" s="235">
        <f>IF(SUM(E49:E110)&gt;250, 250,SUM(E49:E110))</f>
        <v>0</v>
      </c>
      <c r="F111" s="236"/>
      <c r="G111" s="237"/>
      <c r="H111" s="139"/>
      <c r="I111" s="8"/>
      <c r="J111" s="8"/>
      <c r="K111" s="8"/>
      <c r="L111" s="8"/>
      <c r="M111" s="8"/>
      <c r="N111" s="8"/>
      <c r="O111" s="8"/>
    </row>
    <row r="112" spans="1:15" ht="52.5" customHeight="1" x14ac:dyDescent="0.2">
      <c r="A112" s="238" t="s">
        <v>152</v>
      </c>
      <c r="B112" s="239"/>
      <c r="C112" s="239"/>
      <c r="D112" s="239"/>
      <c r="E112" s="239"/>
      <c r="F112" s="239"/>
      <c r="G112" s="239"/>
      <c r="H112" s="139"/>
      <c r="I112" s="8"/>
      <c r="J112" s="8"/>
      <c r="K112" s="8"/>
      <c r="L112" s="8"/>
      <c r="M112" s="8"/>
      <c r="N112" s="8"/>
      <c r="O112" s="8"/>
    </row>
    <row r="113" spans="1:23" ht="66" customHeight="1" thickBot="1" x14ac:dyDescent="0.25">
      <c r="A113" s="240"/>
      <c r="B113" s="241"/>
      <c r="C113" s="241"/>
      <c r="D113" s="241"/>
      <c r="E113" s="241"/>
      <c r="F113" s="241"/>
      <c r="G113" s="241"/>
      <c r="H113" s="139"/>
      <c r="I113" s="8"/>
      <c r="J113" s="8"/>
      <c r="K113" s="8"/>
      <c r="L113" s="8"/>
      <c r="M113" s="8"/>
      <c r="N113" s="8"/>
      <c r="O113" s="8"/>
    </row>
    <row r="114" spans="1:23" ht="55.15" customHeight="1" x14ac:dyDescent="0.2">
      <c r="A114" s="164">
        <v>50</v>
      </c>
      <c r="B114" s="30" t="s">
        <v>102</v>
      </c>
      <c r="C114" s="30" t="s">
        <v>103</v>
      </c>
      <c r="D114" s="151"/>
      <c r="E114" s="197">
        <f>D114</f>
        <v>0</v>
      </c>
      <c r="F114" s="229"/>
      <c r="G114" s="230"/>
      <c r="H114" s="141"/>
      <c r="I114" s="8"/>
      <c r="J114" s="8"/>
      <c r="K114" s="8"/>
      <c r="L114" s="8"/>
      <c r="M114" s="8"/>
      <c r="N114" s="8"/>
      <c r="O114" s="8"/>
    </row>
    <row r="115" spans="1:23" s="149" customFormat="1" ht="39.950000000000003" customHeight="1" x14ac:dyDescent="0.2">
      <c r="A115" s="164">
        <v>51</v>
      </c>
      <c r="B115" s="30" t="s">
        <v>153</v>
      </c>
      <c r="C115" s="30" t="s">
        <v>104</v>
      </c>
      <c r="D115" s="151"/>
      <c r="E115" s="197">
        <f t="shared" ref="E115:E119" si="6">D115</f>
        <v>0</v>
      </c>
      <c r="F115" s="229"/>
      <c r="G115" s="230"/>
      <c r="H115" s="148"/>
      <c r="I115" s="124"/>
      <c r="J115" s="124"/>
      <c r="K115" s="124"/>
      <c r="L115" s="124"/>
      <c r="M115" s="124"/>
      <c r="N115" s="124"/>
      <c r="O115" s="124"/>
      <c r="R115" s="150"/>
      <c r="S115" s="150"/>
      <c r="T115" s="150"/>
      <c r="U115" s="150"/>
      <c r="V115" s="150"/>
      <c r="W115" s="150"/>
    </row>
    <row r="116" spans="1:23" s="173" customFormat="1" ht="39.950000000000003" customHeight="1" x14ac:dyDescent="0.2">
      <c r="A116" s="199">
        <v>52</v>
      </c>
      <c r="B116" s="198" t="s">
        <v>173</v>
      </c>
      <c r="C116" s="198" t="s">
        <v>104</v>
      </c>
      <c r="D116" s="151"/>
      <c r="E116" s="197">
        <f t="shared" si="6"/>
        <v>0</v>
      </c>
      <c r="F116" s="229"/>
      <c r="G116" s="230"/>
      <c r="H116" s="172"/>
      <c r="I116" s="123"/>
      <c r="J116" s="123"/>
      <c r="K116" s="123"/>
      <c r="L116" s="123"/>
      <c r="M116" s="123"/>
      <c r="N116" s="123"/>
      <c r="O116" s="123"/>
      <c r="R116" s="61"/>
      <c r="S116" s="61"/>
      <c r="T116" s="61"/>
      <c r="U116" s="61"/>
      <c r="V116" s="61"/>
      <c r="W116" s="61"/>
    </row>
    <row r="117" spans="1:23" s="149" customFormat="1" ht="47.45" customHeight="1" x14ac:dyDescent="0.2">
      <c r="A117" s="164">
        <v>53</v>
      </c>
      <c r="B117" s="30" t="s">
        <v>105</v>
      </c>
      <c r="C117" s="30" t="s">
        <v>104</v>
      </c>
      <c r="D117" s="151"/>
      <c r="E117" s="197">
        <f t="shared" si="6"/>
        <v>0</v>
      </c>
      <c r="F117" s="229"/>
      <c r="G117" s="230"/>
      <c r="H117" s="148"/>
      <c r="I117" s="124"/>
      <c r="J117" s="124"/>
      <c r="K117" s="124"/>
      <c r="L117" s="124"/>
      <c r="M117" s="124"/>
      <c r="N117" s="124"/>
      <c r="O117" s="124"/>
      <c r="R117" s="150"/>
      <c r="S117" s="150"/>
      <c r="T117" s="150"/>
      <c r="U117" s="150"/>
      <c r="V117" s="150"/>
      <c r="W117" s="150"/>
    </row>
    <row r="118" spans="1:23" ht="50.25" customHeight="1" x14ac:dyDescent="0.2">
      <c r="A118" s="164">
        <v>54</v>
      </c>
      <c r="B118" s="77" t="s">
        <v>163</v>
      </c>
      <c r="C118" s="30" t="s">
        <v>154</v>
      </c>
      <c r="D118" s="151"/>
      <c r="E118" s="197">
        <f t="shared" si="6"/>
        <v>0</v>
      </c>
      <c r="F118" s="229"/>
      <c r="G118" s="230"/>
      <c r="H118" s="142"/>
      <c r="I118" s="27"/>
      <c r="J118" s="27"/>
      <c r="K118" s="27"/>
      <c r="L118" s="27"/>
      <c r="M118" s="27"/>
      <c r="N118" s="27"/>
      <c r="O118" s="27"/>
    </row>
    <row r="119" spans="1:23" ht="42" customHeight="1" x14ac:dyDescent="0.2">
      <c r="A119" s="165">
        <v>55</v>
      </c>
      <c r="B119" s="31" t="s">
        <v>110</v>
      </c>
      <c r="C119" s="31" t="s">
        <v>104</v>
      </c>
      <c r="D119" s="152"/>
      <c r="E119" s="197">
        <f t="shared" si="6"/>
        <v>0</v>
      </c>
      <c r="F119" s="229"/>
      <c r="G119" s="230"/>
      <c r="H119" s="2"/>
      <c r="I119" s="26"/>
      <c r="J119" s="26"/>
      <c r="K119" s="26"/>
      <c r="L119" s="26"/>
      <c r="M119" s="26"/>
      <c r="N119" s="26"/>
      <c r="O119" s="26"/>
    </row>
    <row r="120" spans="1:23" ht="44.25" customHeight="1" x14ac:dyDescent="0.2">
      <c r="A120" s="164">
        <v>56</v>
      </c>
      <c r="B120" s="30" t="s">
        <v>106</v>
      </c>
      <c r="C120" s="30" t="s">
        <v>107</v>
      </c>
      <c r="D120" s="151"/>
      <c r="E120" s="197">
        <f>D120*10</f>
        <v>0</v>
      </c>
      <c r="F120" s="229"/>
      <c r="G120" s="230"/>
      <c r="I120" s="26"/>
      <c r="J120" s="26"/>
      <c r="K120" s="26"/>
      <c r="L120" s="26"/>
      <c r="M120" s="26"/>
      <c r="N120" s="26"/>
      <c r="O120" s="26"/>
    </row>
    <row r="121" spans="1:23" ht="54.75" customHeight="1" x14ac:dyDescent="0.2">
      <c r="A121" s="164">
        <v>57</v>
      </c>
      <c r="B121" s="30" t="s">
        <v>108</v>
      </c>
      <c r="C121" s="30" t="s">
        <v>109</v>
      </c>
      <c r="D121" s="151"/>
      <c r="E121" s="197">
        <f>D121*5</f>
        <v>0</v>
      </c>
      <c r="F121" s="229"/>
      <c r="G121" s="230"/>
    </row>
    <row r="122" spans="1:23" ht="38.25" customHeight="1" x14ac:dyDescent="0.2">
      <c r="A122" s="164">
        <v>58</v>
      </c>
      <c r="B122" s="30" t="s">
        <v>123</v>
      </c>
      <c r="C122" s="30" t="s">
        <v>124</v>
      </c>
      <c r="D122" s="151"/>
      <c r="E122" s="197">
        <f>D122*5</f>
        <v>0</v>
      </c>
      <c r="F122" s="229"/>
      <c r="G122" s="230"/>
    </row>
    <row r="123" spans="1:23" ht="38.25" customHeight="1" x14ac:dyDescent="0.2">
      <c r="A123" s="162"/>
      <c r="B123" s="154"/>
      <c r="C123" s="163"/>
      <c r="D123" s="154"/>
      <c r="E123" s="154"/>
      <c r="F123" s="154"/>
      <c r="G123" s="155"/>
      <c r="H123" s="2"/>
    </row>
    <row r="124" spans="1:23" ht="38.25" customHeight="1" thickBot="1" x14ac:dyDescent="0.25">
      <c r="A124" s="162"/>
      <c r="B124" s="154"/>
      <c r="C124" s="163"/>
      <c r="D124" s="154"/>
      <c r="E124" s="154"/>
      <c r="F124" s="154"/>
      <c r="G124" s="155"/>
      <c r="H124" s="2"/>
    </row>
    <row r="125" spans="1:23" ht="41.25" customHeight="1" thickBot="1" x14ac:dyDescent="0.25">
      <c r="A125" s="215" t="s">
        <v>43</v>
      </c>
      <c r="B125" s="216"/>
      <c r="C125" s="216"/>
      <c r="D125" s="217"/>
      <c r="E125" s="235">
        <f>IF(SUM(E114:E122)&gt;50,50,SUM(E114:E122))</f>
        <v>0</v>
      </c>
      <c r="F125" s="236"/>
      <c r="G125" s="237"/>
    </row>
    <row r="126" spans="1:23" ht="12.75" thickBot="1" x14ac:dyDescent="0.25">
      <c r="A126" s="153"/>
      <c r="B126" s="154"/>
      <c r="C126" s="154"/>
      <c r="D126" s="154"/>
      <c r="E126" s="154"/>
      <c r="F126" s="154"/>
      <c r="G126" s="155"/>
    </row>
    <row r="127" spans="1:23" ht="45.6" customHeight="1" thickBot="1" x14ac:dyDescent="0.25">
      <c r="A127" s="215" t="s">
        <v>111</v>
      </c>
      <c r="B127" s="216"/>
      <c r="C127" s="216"/>
      <c r="D127" s="217"/>
      <c r="E127" s="218" t="str">
        <f ca="1">IF(AND(ISNUMBER(E34),ISNUMBER(E47),ISNUMBER(E111),ISNUMBER(126),K16="preenchimento está completo",K19="preenchimento está completo"),E111+E34+E47+E125,"INSCRIÇÃO INDEFERIDA")</f>
        <v>INSCRIÇÃO INDEFERIDA</v>
      </c>
      <c r="F127" s="219"/>
      <c r="G127" s="220"/>
    </row>
    <row r="128" spans="1:23" ht="40.5" customHeight="1" x14ac:dyDescent="0.2">
      <c r="A128" s="227" t="s">
        <v>16</v>
      </c>
      <c r="B128" s="227"/>
      <c r="C128" s="221"/>
      <c r="D128" s="221"/>
      <c r="E128" s="221"/>
      <c r="F128" s="221"/>
      <c r="G128" s="222"/>
    </row>
    <row r="129" spans="1:7" ht="25.5" customHeight="1" x14ac:dyDescent="0.2">
      <c r="A129" s="228"/>
      <c r="B129" s="228"/>
      <c r="C129" s="210"/>
      <c r="D129" s="210"/>
      <c r="E129" s="223">
        <f ca="1">NOW()</f>
        <v>45077.588423726855</v>
      </c>
      <c r="F129" s="223"/>
      <c r="G129" s="224"/>
    </row>
    <row r="130" spans="1:7" ht="36" customHeight="1" x14ac:dyDescent="0.2">
      <c r="A130" s="228"/>
      <c r="B130" s="228"/>
      <c r="C130" s="2"/>
      <c r="E130" s="210"/>
      <c r="F130" s="210"/>
      <c r="G130" s="224"/>
    </row>
    <row r="131" spans="1:7" ht="14.25" customHeight="1" x14ac:dyDescent="0.2">
      <c r="A131" s="228"/>
      <c r="B131" s="228"/>
      <c r="C131" s="210"/>
      <c r="D131" s="210"/>
      <c r="E131" s="210"/>
      <c r="F131" s="210"/>
      <c r="G131" s="224"/>
    </row>
    <row r="132" spans="1:7" ht="14.25" customHeight="1" x14ac:dyDescent="0.2">
      <c r="A132" s="228"/>
      <c r="B132" s="228"/>
      <c r="C132" s="210"/>
      <c r="D132" s="210"/>
      <c r="E132" s="210"/>
      <c r="F132" s="210"/>
      <c r="G132" s="224"/>
    </row>
    <row r="133" spans="1:7" ht="14.25" customHeight="1" x14ac:dyDescent="0.2">
      <c r="A133" s="228"/>
      <c r="B133" s="228"/>
      <c r="C133" s="210"/>
      <c r="D133" s="210"/>
      <c r="E133" s="210"/>
      <c r="F133" s="210"/>
      <c r="G133" s="224"/>
    </row>
    <row r="134" spans="1:7" ht="14.25" x14ac:dyDescent="0.2">
      <c r="A134" s="228"/>
      <c r="B134" s="228"/>
      <c r="C134" s="210"/>
      <c r="D134" s="210"/>
      <c r="E134" s="210" t="s">
        <v>17</v>
      </c>
      <c r="F134" s="210"/>
      <c r="G134" s="224"/>
    </row>
    <row r="135" spans="1:7" ht="15" thickBot="1" x14ac:dyDescent="0.25">
      <c r="A135" s="160"/>
      <c r="B135" s="161"/>
      <c r="C135" s="226"/>
      <c r="D135" s="226"/>
      <c r="E135" s="158"/>
      <c r="F135" s="159"/>
      <c r="G135" s="225"/>
    </row>
    <row r="136" spans="1:7" ht="14.25" x14ac:dyDescent="0.2">
      <c r="A136" s="62"/>
      <c r="C136" s="156"/>
      <c r="D136" s="156"/>
      <c r="E136" s="156"/>
      <c r="F136" s="156"/>
      <c r="G136" s="157"/>
    </row>
    <row r="137" spans="1:7" x14ac:dyDescent="0.2">
      <c r="A137" s="62"/>
    </row>
    <row r="138" spans="1:7" x14ac:dyDescent="0.2">
      <c r="A138" s="62"/>
    </row>
    <row r="139" spans="1:7" x14ac:dyDescent="0.2">
      <c r="A139" s="62"/>
    </row>
  </sheetData>
  <sheetProtection algorithmName="SHA-512" hashValue="h7xLWleJyEu23b6s1iFvhqe3z6jqXbVsYjodN52RzqwpOHuFAg9pMljtsFAtvdykxi31BDg5n+b/bMlldU9pEg==" saltValue="ovXcT5+lZXcJs0w7fyse+w==" spinCount="100000" sheet="1" objects="1" scenarios="1"/>
  <protectedRanges>
    <protectedRange sqref="G9 A128 F130:F133 E130:E132" name="Intervalo25"/>
    <protectedRange sqref="D100:D110 F100:G110" name="Intervalo23"/>
    <protectedRange sqref="D65:D70 F65:G70" name="Intervalo21"/>
    <protectedRange sqref="D65:D70 F65:G70" name="Intervalo19"/>
    <protectedRange sqref="F54:G63 D54:D63" name="Intervalo17"/>
    <protectedRange sqref="F40:G46" name="Intervalo15"/>
    <protectedRange sqref="C40:D46" name="Intervalo14"/>
    <protectedRange sqref="C33" name="Intervalo12"/>
    <protectedRange sqref="C32:D32" name="Intervalo11"/>
    <protectedRange sqref="E30" name="Intervalo10"/>
    <protectedRange sqref="F30" name="Intervalo9"/>
    <protectedRange sqref="E15:E17" name="Intervalo7"/>
    <protectedRange sqref="G15" name="Intervalo6"/>
    <protectedRange sqref="C9" name="Intervalo1"/>
    <protectedRange sqref="G9" name="Intervalo2"/>
    <protectedRange sqref="C10" name="Intervalo3"/>
    <protectedRange sqref="G10" name="Intervalo4"/>
    <protectedRange sqref="C11:G13" name="Intervalo5"/>
    <protectedRange sqref="E21:G28" name="Intervalo8"/>
    <protectedRange sqref="D37" name="Intervalo13"/>
    <protectedRange sqref="F50:G51 D50:D51" name="Intervalo16"/>
    <protectedRange sqref="D53:D54 F53:G54" name="Intervalo18"/>
    <protectedRange sqref="D72:D86 F72:G86" name="Intervalo20"/>
    <protectedRange sqref="D88:D92 F88:G92 D94:D96 F94:G96 D98 F98" name="Intervalo22"/>
    <protectedRange sqref="D114:D122 F114:G122" name="Intervalo24"/>
  </protectedRanges>
  <mergeCells count="165">
    <mergeCell ref="F114:G114"/>
    <mergeCell ref="F115:G115"/>
    <mergeCell ref="F116:G116"/>
    <mergeCell ref="F117:G117"/>
    <mergeCell ref="F118:G118"/>
    <mergeCell ref="F119:G119"/>
    <mergeCell ref="F120:G120"/>
    <mergeCell ref="F121:G121"/>
    <mergeCell ref="F122:G122"/>
    <mergeCell ref="F25:G25"/>
    <mergeCell ref="F28:G28"/>
    <mergeCell ref="F91:G91"/>
    <mergeCell ref="F95:G95"/>
    <mergeCell ref="F101:G101"/>
    <mergeCell ref="F102:G102"/>
    <mergeCell ref="F103:G103"/>
    <mergeCell ref="F81:G81"/>
    <mergeCell ref="F82:G82"/>
    <mergeCell ref="F83:G83"/>
    <mergeCell ref="F55:G55"/>
    <mergeCell ref="F56:G56"/>
    <mergeCell ref="F57:G57"/>
    <mergeCell ref="F43:G43"/>
    <mergeCell ref="F44:G44"/>
    <mergeCell ref="F45:G45"/>
    <mergeCell ref="E47:G47"/>
    <mergeCell ref="F60:G60"/>
    <mergeCell ref="F50:G50"/>
    <mergeCell ref="F52:G52"/>
    <mergeCell ref="F42:G42"/>
    <mergeCell ref="F46:G46"/>
    <mergeCell ref="F78:G78"/>
    <mergeCell ref="B48:G48"/>
    <mergeCell ref="C36:C37"/>
    <mergeCell ref="C38:D38"/>
    <mergeCell ref="A18:G18"/>
    <mergeCell ref="B20:C20"/>
    <mergeCell ref="E34:G34"/>
    <mergeCell ref="A53:A54"/>
    <mergeCell ref="B49:B50"/>
    <mergeCell ref="D33:E33"/>
    <mergeCell ref="A34:A35"/>
    <mergeCell ref="F30:G33"/>
    <mergeCell ref="B34:D34"/>
    <mergeCell ref="B35:G35"/>
    <mergeCell ref="B30:C30"/>
    <mergeCell ref="E31:E32"/>
    <mergeCell ref="A19:G19"/>
    <mergeCell ref="F54:G54"/>
    <mergeCell ref="F40:G40"/>
    <mergeCell ref="F41:G41"/>
    <mergeCell ref="F53:G53"/>
    <mergeCell ref="F36:G36"/>
    <mergeCell ref="A36:B38"/>
    <mergeCell ref="F51:G51"/>
    <mergeCell ref="B47:D47"/>
    <mergeCell ref="F22:G22"/>
    <mergeCell ref="B81:B86"/>
    <mergeCell ref="A81:A86"/>
    <mergeCell ref="F84:G84"/>
    <mergeCell ref="F58:G58"/>
    <mergeCell ref="A55:A56"/>
    <mergeCell ref="B53:B54"/>
    <mergeCell ref="A47:A48"/>
    <mergeCell ref="A62:A63"/>
    <mergeCell ref="B59:B60"/>
    <mergeCell ref="B62:B63"/>
    <mergeCell ref="B72:B74"/>
    <mergeCell ref="A59:A60"/>
    <mergeCell ref="F74:G74"/>
    <mergeCell ref="F80:G80"/>
    <mergeCell ref="F85:G85"/>
    <mergeCell ref="F86:G86"/>
    <mergeCell ref="F59:G59"/>
    <mergeCell ref="F63:G63"/>
    <mergeCell ref="F67:G67"/>
    <mergeCell ref="F68:G68"/>
    <mergeCell ref="F70:G70"/>
    <mergeCell ref="F69:G69"/>
    <mergeCell ref="F75:G75"/>
    <mergeCell ref="F76:G76"/>
    <mergeCell ref="F49:G49"/>
    <mergeCell ref="F77:G77"/>
    <mergeCell ref="A49:A50"/>
    <mergeCell ref="A52:B52"/>
    <mergeCell ref="F61:G61"/>
    <mergeCell ref="A57:A58"/>
    <mergeCell ref="B57:B58"/>
    <mergeCell ref="A64:B64"/>
    <mergeCell ref="F64:G64"/>
    <mergeCell ref="B75:B80"/>
    <mergeCell ref="F79:G79"/>
    <mergeCell ref="F71:G71"/>
    <mergeCell ref="F62:G62"/>
    <mergeCell ref="B55:B56"/>
    <mergeCell ref="A71:B71"/>
    <mergeCell ref="A72:A74"/>
    <mergeCell ref="A75:A80"/>
    <mergeCell ref="F66:G66"/>
    <mergeCell ref="F72:G72"/>
    <mergeCell ref="F73:G73"/>
    <mergeCell ref="A14:G14"/>
    <mergeCell ref="A15:A17"/>
    <mergeCell ref="F65:G65"/>
    <mergeCell ref="A6:G6"/>
    <mergeCell ref="A7:G7"/>
    <mergeCell ref="F15:F17"/>
    <mergeCell ref="G15:G17"/>
    <mergeCell ref="D15:D17"/>
    <mergeCell ref="F23:G23"/>
    <mergeCell ref="F24:G24"/>
    <mergeCell ref="F26:G26"/>
    <mergeCell ref="C10:E10"/>
    <mergeCell ref="A8:G8"/>
    <mergeCell ref="C13:G13"/>
    <mergeCell ref="B15:B17"/>
    <mergeCell ref="A20:A27"/>
    <mergeCell ref="F20:G20"/>
    <mergeCell ref="F27:G27"/>
    <mergeCell ref="C11:G11"/>
    <mergeCell ref="F21:G21"/>
    <mergeCell ref="C12:G12"/>
    <mergeCell ref="A11:A13"/>
    <mergeCell ref="F38:G38"/>
    <mergeCell ref="C9:E9"/>
    <mergeCell ref="F106:G106"/>
    <mergeCell ref="F107:G107"/>
    <mergeCell ref="F89:G89"/>
    <mergeCell ref="F90:G90"/>
    <mergeCell ref="F92:G92"/>
    <mergeCell ref="A111:D111"/>
    <mergeCell ref="A94:A96"/>
    <mergeCell ref="F108:G108"/>
    <mergeCell ref="F109:G109"/>
    <mergeCell ref="F110:G110"/>
    <mergeCell ref="E111:G111"/>
    <mergeCell ref="F96:G96"/>
    <mergeCell ref="F98:G98"/>
    <mergeCell ref="F100:G100"/>
    <mergeCell ref="F104:G104"/>
    <mergeCell ref="F105:G105"/>
    <mergeCell ref="E130:F133"/>
    <mergeCell ref="A87:B87"/>
    <mergeCell ref="F87:G87"/>
    <mergeCell ref="A127:D127"/>
    <mergeCell ref="E127:G127"/>
    <mergeCell ref="C128:G128"/>
    <mergeCell ref="C129:D129"/>
    <mergeCell ref="E129:F129"/>
    <mergeCell ref="G129:G135"/>
    <mergeCell ref="C131:D135"/>
    <mergeCell ref="E134:F134"/>
    <mergeCell ref="A128:B134"/>
    <mergeCell ref="F88:G88"/>
    <mergeCell ref="F99:G99"/>
    <mergeCell ref="A99:B99"/>
    <mergeCell ref="F94:G94"/>
    <mergeCell ref="A93:B93"/>
    <mergeCell ref="F93:G93"/>
    <mergeCell ref="B94:B96"/>
    <mergeCell ref="A125:D125"/>
    <mergeCell ref="E125:G125"/>
    <mergeCell ref="A112:G113"/>
    <mergeCell ref="A97:B97"/>
    <mergeCell ref="F97:G97"/>
  </mergeCells>
  <conditionalFormatting sqref="D33">
    <cfRule type="cellIs" dxfId="18" priority="18" operator="equal">
      <formula>"CANDIDATO SEM PROFICIÊNCIA EM INGLÊS"</formula>
    </cfRule>
    <cfRule type="cellIs" dxfId="17" priority="19" operator="equal">
      <formula>"CERTIFICADO INVÁLIDO"</formula>
    </cfRule>
    <cfRule type="cellIs" dxfId="16" priority="20" operator="equal">
      <formula>"CERTIFICADO VÁLIDO"</formula>
    </cfRule>
  </conditionalFormatting>
  <conditionalFormatting sqref="H24">
    <cfRule type="cellIs" dxfId="15" priority="17" operator="equal">
      <formula>"VOCÊ ASSINALOU X EM MAIS DE UMA OPÇÃO. FAVOR CORRIGIR PARA NÃO TER SUA PLANILHA INVALIDADA"</formula>
    </cfRule>
  </conditionalFormatting>
  <conditionalFormatting sqref="H18 A14:G14">
    <cfRule type="cellIs" dxfId="14" priority="9" operator="equal">
      <formula>"PREENCHA TODOS OS CAMPOS ACIMA PARA NÃO TER SUA INSCRIÇÃO INVALIDADA"</formula>
    </cfRule>
    <cfRule type="cellIs" dxfId="13" priority="15" operator="equal">
      <formula>"PREENCHIMENTO DOS CAMPOS 1,2 E 3 ESTÁ CORRETO"</formula>
    </cfRule>
  </conditionalFormatting>
  <conditionalFormatting sqref="H22 A18:G18">
    <cfRule type="cellIs" dxfId="12" priority="10" operator="equal">
      <formula>"ASSINALE UMA OPÇÃO DE DISCIPLINA E PREENCHA O CAMPO AZUL PARA NÃO TER A INSCRIÇÃO INVALIDADA"</formula>
    </cfRule>
    <cfRule type="cellIs" dxfId="11" priority="14" operator="equal">
      <formula>"PREENCHIMENTO DO CAMPO 4 ESTÁ CORRETO"</formula>
    </cfRule>
  </conditionalFormatting>
  <conditionalFormatting sqref="H40 E34:G34">
    <cfRule type="cellIs" dxfId="10" priority="13" operator="equal">
      <formula>"PONTUAÇÃO INVÁLIDA"</formula>
    </cfRule>
  </conditionalFormatting>
  <conditionalFormatting sqref="H118">
    <cfRule type="cellIs" dxfId="9" priority="12" operator="equal">
      <formula>"INSCRIÇÃO INDEFERIDA"</formula>
    </cfRule>
  </conditionalFormatting>
  <conditionalFormatting sqref="H52 E47:G47">
    <cfRule type="cellIs" dxfId="8" priority="7" operator="equal">
      <formula>"NÃO INFORMOU O ANO DA PRIMEIRA GRADUAÇÃO OU TITULAÇÃO NA ÁREA"</formula>
    </cfRule>
    <cfRule type="cellIs" dxfId="7" priority="8" operator="equal">
      <formula>"TEMPO DE EXPERIÊNCIA INSUFICIENTE"</formula>
    </cfRule>
    <cfRule type="cellIs" dxfId="6" priority="11" operator="equal">
      <formula>"SOBREPOSIÇÃO DE ANOS DE EXPERIÊNCIA"</formula>
    </cfRule>
  </conditionalFormatting>
  <conditionalFormatting sqref="A18:G18">
    <cfRule type="cellIs" dxfId="5" priority="1" operator="equal">
      <formula>"PREENCHIMENTO ESTÁ COMPLETO"</formula>
    </cfRule>
    <cfRule type="cellIs" dxfId="4" priority="4" operator="equal">
      <formula>"PREENCHIMENTO ESTÁ CORRETO"</formula>
    </cfRule>
    <cfRule type="cellIs" dxfId="3" priority="6" operator="equal">
      <formula>"ASSINALE UMA OPÇÃO DE DISCIPLINA PARA NÃO TER A INSCRIÇÃO INVALIDADA"</formula>
    </cfRule>
  </conditionalFormatting>
  <conditionalFormatting sqref="A14:G14">
    <cfRule type="cellIs" dxfId="2" priority="2" operator="equal">
      <formula>"PREENCHIMENTO ESTÁ COMPLETO"</formula>
    </cfRule>
    <cfRule type="cellIs" dxfId="1" priority="5" operator="equal">
      <formula>"PREENCHIMENTO ESTÁ CORRETO"</formula>
    </cfRule>
  </conditionalFormatting>
  <conditionalFormatting sqref="E127:G127">
    <cfRule type="cellIs" dxfId="0" priority="3" operator="equal">
      <formula>"INSCRIÇÃO INDEFERIDA"</formula>
    </cfRule>
  </conditionalFormatting>
  <pageMargins left="0.25" right="0.25" top="0.75" bottom="0.75" header="0.3" footer="0.3"/>
  <pageSetup paperSize="9" scale="70" orientation="portrait" r:id="rId1"/>
  <rowBreaks count="3" manualBreakCount="3">
    <brk id="49" max="6" man="1"/>
    <brk id="75" max="6" man="1"/>
    <brk id="106"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PONTUAÇÃO DOCENTE</vt:lpstr>
      <vt:lpstr>'PONTUAÇÃO DOCENTE'!Area_de_impressao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Luis Paschoal</dc:creator>
  <cp:lastModifiedBy>Leandro Zeidan Toquetti</cp:lastModifiedBy>
  <cp:lastPrinted>2022-09-29T22:46:18Z</cp:lastPrinted>
  <dcterms:created xsi:type="dcterms:W3CDTF">2014-10-07T12:05:22Z</dcterms:created>
  <dcterms:modified xsi:type="dcterms:W3CDTF">2023-05-31T17:07:27Z</dcterms:modified>
</cp:coreProperties>
</file>