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_final_civil\"/>
    </mc:Choice>
  </mc:AlternateContent>
  <xr:revisionPtr revIDLastSave="0" documentId="13_ncr:1_{BB35D8DF-E6AE-4F1C-9740-0324349D9C9D}" xr6:coauthVersionLast="47" xr6:coauthVersionMax="47" xr10:uidLastSave="{00000000-0000-0000-0000-000000000000}"/>
  <bookViews>
    <workbookView xWindow="-108" yWindow="-108" windowWidth="23256" windowHeight="12456" tabRatio="781" activeTab="2" xr2:uid="{00000000-000D-0000-FFFF-FFFF00000000}"/>
  </bookViews>
  <sheets>
    <sheet name="INGRESO DE DATOS" sheetId="1" r:id="rId1"/>
    <sheet name="PROYECCION" sheetId="2" r:id="rId2"/>
    <sheet name="CALCULO BOMBA" sheetId="6" r:id="rId3"/>
    <sheet name="RESULTADOS LAB" sheetId="5" r:id="rId4"/>
    <sheet name="CALIDAD DE AGUA" sheetId="3" r:id="rId5"/>
    <sheet name="RESULTADO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6" l="1"/>
  <c r="O26" i="2"/>
  <c r="C9" i="5"/>
  <c r="E29" i="2" l="1"/>
  <c r="E28" i="2"/>
  <c r="C7" i="2"/>
  <c r="A8" i="2"/>
  <c r="G7" i="2"/>
  <c r="C8" i="2" l="1"/>
  <c r="D8" i="2" s="1"/>
  <c r="H8" i="2" s="1"/>
  <c r="D7" i="2"/>
  <c r="H7" i="2" s="1"/>
  <c r="F8" i="2"/>
  <c r="G8" i="2" s="1"/>
  <c r="A9" i="2"/>
  <c r="J7" i="2" l="1"/>
  <c r="I7" i="2"/>
  <c r="K7" i="2" s="1"/>
  <c r="E7" i="2" s="1"/>
  <c r="L7" i="2" s="1"/>
  <c r="W7" i="2" s="1"/>
  <c r="I8" i="2"/>
  <c r="J8" i="2"/>
  <c r="A10" i="2"/>
  <c r="C10" i="2" s="1"/>
  <c r="C9" i="2"/>
  <c r="D9" i="2" s="1"/>
  <c r="F9" i="2"/>
  <c r="G9" i="2" s="1"/>
  <c r="M7" i="2" l="1"/>
  <c r="N7" i="2"/>
  <c r="O7" i="2" s="1"/>
  <c r="R7" i="2"/>
  <c r="S7" i="2" s="1"/>
  <c r="V7" i="2"/>
  <c r="K8" i="2"/>
  <c r="E8" i="2" s="1"/>
  <c r="L8" i="2" s="1"/>
  <c r="W8" i="2" s="1"/>
  <c r="I9" i="2"/>
  <c r="H9" i="2"/>
  <c r="J9" i="2"/>
  <c r="D10" i="2"/>
  <c r="F10" i="2"/>
  <c r="G10" i="2" s="1"/>
  <c r="A11" i="2"/>
  <c r="T7" i="2" l="1"/>
  <c r="P7" i="2"/>
  <c r="U7" i="2"/>
  <c r="Q7" i="2"/>
  <c r="R8" i="2"/>
  <c r="U8" i="2" s="1"/>
  <c r="N8" i="2"/>
  <c r="P8" i="2" s="1"/>
  <c r="V8" i="2"/>
  <c r="M8" i="2"/>
  <c r="K9" i="2"/>
  <c r="E9" i="2" s="1"/>
  <c r="L9" i="2" s="1"/>
  <c r="W9" i="2" s="1"/>
  <c r="A12" i="2"/>
  <c r="C11" i="2"/>
  <c r="D11" i="2" s="1"/>
  <c r="F11" i="2"/>
  <c r="G11" i="2" s="1"/>
  <c r="J10" i="2"/>
  <c r="I10" i="2"/>
  <c r="H10" i="2"/>
  <c r="T8" i="2" l="1"/>
  <c r="O8" i="2"/>
  <c r="Q8" i="2"/>
  <c r="S8" i="2"/>
  <c r="M9" i="2"/>
  <c r="R9" i="2"/>
  <c r="S9" i="2" s="1"/>
  <c r="K10" i="2"/>
  <c r="E10" i="2" s="1"/>
  <c r="L10" i="2" s="1"/>
  <c r="W10" i="2" s="1"/>
  <c r="V9" i="2"/>
  <c r="N9" i="2"/>
  <c r="O9" i="2" s="1"/>
  <c r="I11" i="2"/>
  <c r="H11" i="2"/>
  <c r="J11" i="2"/>
  <c r="C12" i="2"/>
  <c r="D12" i="2" s="1"/>
  <c r="F12" i="2"/>
  <c r="G12" i="2" s="1"/>
  <c r="A13" i="2"/>
  <c r="T9" i="2" l="1"/>
  <c r="U9" i="2"/>
  <c r="R10" i="2"/>
  <c r="S10" i="2" s="1"/>
  <c r="V10" i="2"/>
  <c r="M10" i="2"/>
  <c r="N10" i="2"/>
  <c r="P10" i="2" s="1"/>
  <c r="Q9" i="2"/>
  <c r="K11" i="2"/>
  <c r="E11" i="2" s="1"/>
  <c r="L11" i="2" s="1"/>
  <c r="V11" i="2" s="1"/>
  <c r="P9" i="2"/>
  <c r="A14" i="2"/>
  <c r="C13" i="2"/>
  <c r="D13" i="2" s="1"/>
  <c r="F13" i="2"/>
  <c r="G13" i="2" s="1"/>
  <c r="J12" i="2"/>
  <c r="I12" i="2"/>
  <c r="H12" i="2"/>
  <c r="O10" i="2" l="1"/>
  <c r="Q10" i="2"/>
  <c r="U10" i="2"/>
  <c r="T10" i="2"/>
  <c r="N11" i="2"/>
  <c r="P11" i="2" s="1"/>
  <c r="R11" i="2"/>
  <c r="S11" i="2" s="1"/>
  <c r="M11" i="2"/>
  <c r="W11" i="2"/>
  <c r="K12" i="2"/>
  <c r="E12" i="2" s="1"/>
  <c r="L12" i="2" s="1"/>
  <c r="W12" i="2" s="1"/>
  <c r="I13" i="2"/>
  <c r="H13" i="2"/>
  <c r="J13" i="2"/>
  <c r="C14" i="2"/>
  <c r="D14" i="2" s="1"/>
  <c r="F14" i="2"/>
  <c r="G14" i="2" s="1"/>
  <c r="A15" i="2"/>
  <c r="U11" i="2" l="1"/>
  <c r="T11" i="2"/>
  <c r="O11" i="2"/>
  <c r="Q11" i="2"/>
  <c r="M12" i="2"/>
  <c r="N12" i="2"/>
  <c r="P12" i="2" s="1"/>
  <c r="R12" i="2"/>
  <c r="T12" i="2" s="1"/>
  <c r="V12" i="2"/>
  <c r="K13" i="2"/>
  <c r="E13" i="2" s="1"/>
  <c r="L13" i="2" s="1"/>
  <c r="M13" i="2" s="1"/>
  <c r="A16" i="2"/>
  <c r="C15" i="2"/>
  <c r="D15" i="2" s="1"/>
  <c r="F15" i="2"/>
  <c r="G15" i="2" s="1"/>
  <c r="J14" i="2"/>
  <c r="I14" i="2"/>
  <c r="H14" i="2"/>
  <c r="U12" i="2" l="1"/>
  <c r="S12" i="2"/>
  <c r="Q12" i="2"/>
  <c r="O12" i="2"/>
  <c r="V13" i="2"/>
  <c r="W13" i="2"/>
  <c r="R13" i="2"/>
  <c r="U13" i="2" s="1"/>
  <c r="K14" i="2"/>
  <c r="E14" i="2" s="1"/>
  <c r="L14" i="2" s="1"/>
  <c r="W14" i="2" s="1"/>
  <c r="N13" i="2"/>
  <c r="Q13" i="2" s="1"/>
  <c r="I15" i="2"/>
  <c r="H15" i="2"/>
  <c r="J15" i="2"/>
  <c r="C16" i="2"/>
  <c r="D16" i="2" s="1"/>
  <c r="F16" i="2"/>
  <c r="G16" i="2" s="1"/>
  <c r="A17" i="2"/>
  <c r="P13" i="2" l="1"/>
  <c r="O13" i="2"/>
  <c r="S13" i="2"/>
  <c r="M14" i="2"/>
  <c r="N14" i="2"/>
  <c r="O14" i="2" s="1"/>
  <c r="T13" i="2"/>
  <c r="R14" i="2"/>
  <c r="U14" i="2" s="1"/>
  <c r="V14" i="2"/>
  <c r="K15" i="2"/>
  <c r="E15" i="2" s="1"/>
  <c r="L15" i="2" s="1"/>
  <c r="M15" i="2" s="1"/>
  <c r="A18" i="2"/>
  <c r="C17" i="2"/>
  <c r="D17" i="2" s="1"/>
  <c r="F17" i="2"/>
  <c r="G17" i="2" s="1"/>
  <c r="J16" i="2"/>
  <c r="I16" i="2"/>
  <c r="H16" i="2"/>
  <c r="P14" i="2" l="1"/>
  <c r="Q14" i="2"/>
  <c r="R15" i="2"/>
  <c r="S15" i="2" s="1"/>
  <c r="S14" i="2"/>
  <c r="V15" i="2"/>
  <c r="T14" i="2"/>
  <c r="N15" i="2"/>
  <c r="Q15" i="2" s="1"/>
  <c r="W15" i="2"/>
  <c r="K16" i="2"/>
  <c r="E16" i="2" s="1"/>
  <c r="L16" i="2" s="1"/>
  <c r="W16" i="2" s="1"/>
  <c r="I17" i="2"/>
  <c r="H17" i="2"/>
  <c r="J17" i="2"/>
  <c r="C18" i="2"/>
  <c r="D18" i="2" s="1"/>
  <c r="F18" i="2"/>
  <c r="G18" i="2" s="1"/>
  <c r="A19" i="2"/>
  <c r="T15" i="2" l="1"/>
  <c r="O15" i="2"/>
  <c r="U15" i="2"/>
  <c r="M16" i="2"/>
  <c r="P15" i="2"/>
  <c r="R16" i="2"/>
  <c r="S16" i="2" s="1"/>
  <c r="K17" i="2"/>
  <c r="E17" i="2" s="1"/>
  <c r="L17" i="2" s="1"/>
  <c r="R17" i="2" s="1"/>
  <c r="V16" i="2"/>
  <c r="N16" i="2"/>
  <c r="P16" i="2" s="1"/>
  <c r="A20" i="2"/>
  <c r="C19" i="2"/>
  <c r="D19" i="2" s="1"/>
  <c r="F19" i="2"/>
  <c r="G19" i="2" s="1"/>
  <c r="J18" i="2"/>
  <c r="I18" i="2"/>
  <c r="H18" i="2"/>
  <c r="O16" i="2" l="1"/>
  <c r="Q16" i="2"/>
  <c r="T16" i="2"/>
  <c r="U16" i="2"/>
  <c r="V17" i="2"/>
  <c r="N17" i="2"/>
  <c r="P17" i="2" s="1"/>
  <c r="M17" i="2"/>
  <c r="W17" i="2"/>
  <c r="K18" i="2"/>
  <c r="E18" i="2" s="1"/>
  <c r="L18" i="2" s="1"/>
  <c r="W18" i="2" s="1"/>
  <c r="U17" i="2"/>
  <c r="T17" i="2"/>
  <c r="S17" i="2"/>
  <c r="I19" i="2"/>
  <c r="H19" i="2"/>
  <c r="J19" i="2"/>
  <c r="C20" i="2"/>
  <c r="D20" i="2" s="1"/>
  <c r="F20" i="2"/>
  <c r="G20" i="2" s="1"/>
  <c r="A21" i="2"/>
  <c r="Q17" i="2" l="1"/>
  <c r="O17" i="2"/>
  <c r="K19" i="2"/>
  <c r="E19" i="2" s="1"/>
  <c r="L19" i="2" s="1"/>
  <c r="W19" i="2" s="1"/>
  <c r="M18" i="2"/>
  <c r="N18" i="2"/>
  <c r="O18" i="2" s="1"/>
  <c r="R18" i="2"/>
  <c r="U18" i="2" s="1"/>
  <c r="V18" i="2"/>
  <c r="A22" i="2"/>
  <c r="C21" i="2"/>
  <c r="D21" i="2" s="1"/>
  <c r="F21" i="2"/>
  <c r="G21" i="2" s="1"/>
  <c r="J20" i="2"/>
  <c r="I20" i="2"/>
  <c r="H20" i="2"/>
  <c r="P18" i="2" l="1"/>
  <c r="Q18" i="2"/>
  <c r="N19" i="2"/>
  <c r="O19" i="2" s="1"/>
  <c r="T18" i="2"/>
  <c r="R19" i="2"/>
  <c r="U19" i="2" s="1"/>
  <c r="S18" i="2"/>
  <c r="M19" i="2"/>
  <c r="V19" i="2"/>
  <c r="K20" i="2"/>
  <c r="E20" i="2" s="1"/>
  <c r="L20" i="2" s="1"/>
  <c r="W20" i="2" s="1"/>
  <c r="I21" i="2"/>
  <c r="H21" i="2"/>
  <c r="J21" i="2"/>
  <c r="C22" i="2"/>
  <c r="D22" i="2" s="1"/>
  <c r="F22" i="2"/>
  <c r="G22" i="2" s="1"/>
  <c r="A23" i="2"/>
  <c r="S19" i="2" l="1"/>
  <c r="P19" i="2"/>
  <c r="Q19" i="2"/>
  <c r="T19" i="2"/>
  <c r="N20" i="2"/>
  <c r="O20" i="2" s="1"/>
  <c r="K21" i="2"/>
  <c r="E21" i="2" s="1"/>
  <c r="L21" i="2" s="1"/>
  <c r="V21" i="2" s="1"/>
  <c r="M20" i="2"/>
  <c r="R20" i="2"/>
  <c r="S20" i="2" s="1"/>
  <c r="V20" i="2"/>
  <c r="A24" i="2"/>
  <c r="C23" i="2"/>
  <c r="D23" i="2" s="1"/>
  <c r="F23" i="2"/>
  <c r="G23" i="2" s="1"/>
  <c r="Q20" i="2"/>
  <c r="J22" i="2"/>
  <c r="I22" i="2"/>
  <c r="H22" i="2"/>
  <c r="T20" i="2" l="1"/>
  <c r="U20" i="2"/>
  <c r="P20" i="2"/>
  <c r="M21" i="2"/>
  <c r="N21" i="2"/>
  <c r="Q21" i="2" s="1"/>
  <c r="W21" i="2"/>
  <c r="R21" i="2"/>
  <c r="U21" i="2" s="1"/>
  <c r="K22" i="2"/>
  <c r="E22" i="2" s="1"/>
  <c r="L22" i="2" s="1"/>
  <c r="W22" i="2" s="1"/>
  <c r="I23" i="2"/>
  <c r="H23" i="2"/>
  <c r="J23" i="2"/>
  <c r="C24" i="2"/>
  <c r="D24" i="2" s="1"/>
  <c r="F24" i="2"/>
  <c r="G24" i="2" s="1"/>
  <c r="A25" i="2"/>
  <c r="O21" i="2" l="1"/>
  <c r="P21" i="2"/>
  <c r="S21" i="2"/>
  <c r="T21" i="2"/>
  <c r="M22" i="2"/>
  <c r="N22" i="2"/>
  <c r="P22" i="2" s="1"/>
  <c r="R22" i="2"/>
  <c r="S22" i="2" s="1"/>
  <c r="V22" i="2"/>
  <c r="K23" i="2"/>
  <c r="E23" i="2" s="1"/>
  <c r="L23" i="2" s="1"/>
  <c r="M23" i="2" s="1"/>
  <c r="A26" i="2"/>
  <c r="C25" i="2"/>
  <c r="D25" i="2" s="1"/>
  <c r="F25" i="2"/>
  <c r="G25" i="2" s="1"/>
  <c r="J24" i="2"/>
  <c r="I24" i="2"/>
  <c r="H24" i="2"/>
  <c r="K31" i="2" l="1"/>
  <c r="L31" i="2" s="1"/>
  <c r="C26" i="2"/>
  <c r="T22" i="2"/>
  <c r="U22" i="2"/>
  <c r="Q22" i="2"/>
  <c r="O22" i="2"/>
  <c r="N23" i="2"/>
  <c r="O23" i="2" s="1"/>
  <c r="R23" i="2"/>
  <c r="S23" i="2" s="1"/>
  <c r="W23" i="2"/>
  <c r="V23" i="2"/>
  <c r="K24" i="2"/>
  <c r="E24" i="2" s="1"/>
  <c r="L24" i="2" s="1"/>
  <c r="W24" i="2" s="1"/>
  <c r="I25" i="2"/>
  <c r="H25" i="2"/>
  <c r="J25" i="2"/>
  <c r="D26" i="2"/>
  <c r="F26" i="2"/>
  <c r="G26" i="2" s="1"/>
  <c r="G27" i="2" s="1"/>
  <c r="N31" i="2" l="1"/>
  <c r="M31" i="2" s="1"/>
  <c r="L33" i="2"/>
  <c r="U23" i="2"/>
  <c r="P23" i="2"/>
  <c r="T23" i="2"/>
  <c r="Q23" i="2"/>
  <c r="M24" i="2"/>
  <c r="R24" i="2"/>
  <c r="S24" i="2" s="1"/>
  <c r="V24" i="2"/>
  <c r="N24" i="2"/>
  <c r="O24" i="2" s="1"/>
  <c r="K25" i="2"/>
  <c r="E25" i="2" s="1"/>
  <c r="L25" i="2" s="1"/>
  <c r="M25" i="2" s="1"/>
  <c r="J26" i="2"/>
  <c r="J27" i="2" s="1"/>
  <c r="I26" i="2"/>
  <c r="I27" i="2" s="1"/>
  <c r="D27" i="2"/>
  <c r="H26" i="2"/>
  <c r="H27" i="2" s="1"/>
  <c r="K26" i="2" l="1"/>
  <c r="Q24" i="2"/>
  <c r="T24" i="2"/>
  <c r="P24" i="2"/>
  <c r="U24" i="2"/>
  <c r="W25" i="2"/>
  <c r="N25" i="2"/>
  <c r="Q25" i="2" s="1"/>
  <c r="R25" i="2"/>
  <c r="U25" i="2" s="1"/>
  <c r="V25" i="2"/>
  <c r="S25" i="2" l="1"/>
  <c r="O25" i="2"/>
  <c r="P25" i="2"/>
  <c r="T25" i="2"/>
  <c r="K27" i="2"/>
  <c r="E26" i="2"/>
  <c r="L26" i="2" s="1"/>
  <c r="E27" i="2" l="1"/>
  <c r="L27" i="2" s="1"/>
  <c r="W26" i="2" l="1"/>
  <c r="V26" i="2"/>
  <c r="B3" i="4" s="1"/>
  <c r="R26" i="2"/>
  <c r="N26" i="2"/>
  <c r="M26" i="2"/>
  <c r="B1" i="4" l="1"/>
  <c r="Q26" i="2"/>
  <c r="P26" i="2"/>
  <c r="S26" i="2"/>
  <c r="B2" i="4" s="1"/>
  <c r="U26" i="2"/>
  <c r="T26" i="2"/>
  <c r="B6" i="6" l="1"/>
  <c r="B5" i="4" s="1"/>
</calcChain>
</file>

<file path=xl/sharedStrings.xml><?xml version="1.0" encoding="utf-8"?>
<sst xmlns="http://schemas.openxmlformats.org/spreadsheetml/2006/main" count="142" uniqueCount="114">
  <si>
    <t>Comunidad Nancital #2</t>
  </si>
  <si>
    <t xml:space="preserve">Proyección de Población y Consumo </t>
  </si>
  <si>
    <t>n</t>
  </si>
  <si>
    <t>AÑO</t>
  </si>
  <si>
    <t>Proyección de Población</t>
  </si>
  <si>
    <t>Consumo Promedio Diario (CPD)</t>
  </si>
  <si>
    <t>Consumo Máximo Día (CMD)</t>
  </si>
  <si>
    <t>Consumo Máxima Hora (CMH)</t>
  </si>
  <si>
    <t>Almacenamiento</t>
  </si>
  <si>
    <t>CPD: Dot*Hab (l/día)</t>
  </si>
  <si>
    <t>20% x  CPD Pérdidas por Fugas (l/día)</t>
  </si>
  <si>
    <t>Proyeccion Estudiantes</t>
  </si>
  <si>
    <t>CPD:dot*Alum(l/dia)</t>
  </si>
  <si>
    <t>7% x CPD Consumo Publico o Institucional</t>
  </si>
  <si>
    <t>7% x CPD Consumo Comercial</t>
  </si>
  <si>
    <t>2% x CPD Consumo Industrial</t>
  </si>
  <si>
    <t>CPD Sin Perdidas</t>
  </si>
  <si>
    <t>CPDT  (l/día)</t>
  </si>
  <si>
    <t>CPDT (LPS)</t>
  </si>
  <si>
    <t>l/dia</t>
  </si>
  <si>
    <t>LPS</t>
  </si>
  <si>
    <r>
      <t>m</t>
    </r>
    <r>
      <rPr>
        <b/>
        <vertAlign val="superscript"/>
        <sz val="8"/>
        <rFont val="Times New Roman"/>
        <family val="1"/>
      </rPr>
      <t>3</t>
    </r>
    <r>
      <rPr>
        <b/>
        <sz val="8"/>
        <rFont val="Times New Roman"/>
        <family val="1"/>
      </rPr>
      <t>/dia</t>
    </r>
  </si>
  <si>
    <t>GPM</t>
  </si>
  <si>
    <t>l/día</t>
  </si>
  <si>
    <t>Galones</t>
  </si>
  <si>
    <r>
      <t>M</t>
    </r>
    <r>
      <rPr>
        <b/>
        <vertAlign val="superscript"/>
        <sz val="8"/>
        <rFont val="Times New Roman"/>
        <family val="1"/>
      </rPr>
      <t>3</t>
    </r>
  </si>
  <si>
    <t>Tasa de crecimento anual</t>
  </si>
  <si>
    <t>Dotación (lppd)</t>
  </si>
  <si>
    <t>Pérdidas técnicas:</t>
  </si>
  <si>
    <t>Consumo Publico o Inst.</t>
  </si>
  <si>
    <t>Consumo Comercial</t>
  </si>
  <si>
    <t>Consumo Industrial</t>
  </si>
  <si>
    <t xml:space="preserve">Almacenamiento </t>
  </si>
  <si>
    <t>Factor CMD</t>
  </si>
  <si>
    <t>Factor CMH</t>
  </si>
  <si>
    <t>Dotación c/ incendio(l/s):</t>
  </si>
  <si>
    <t xml:space="preserve">10,000&lt;Pob&lt;15,000 Una toma </t>
  </si>
  <si>
    <t>15,000&lt;Pob&lt;20,000 Dos toma</t>
  </si>
  <si>
    <t>PAIS</t>
  </si>
  <si>
    <t>DEPARTAMENTO</t>
  </si>
  <si>
    <t>MUNICIPIO</t>
  </si>
  <si>
    <t>COMUNIDAD</t>
  </si>
  <si>
    <t>POBLACION INICIAL</t>
  </si>
  <si>
    <t>TIPO DE FUENTE</t>
  </si>
  <si>
    <t>TASA DE CRECIMIENTO</t>
  </si>
  <si>
    <t>CONSUMO MAXIMO DIA (LPS)</t>
  </si>
  <si>
    <t>CONSUMO MAXIMO HORA (LPS)</t>
  </si>
  <si>
    <t>ALMACENAMIENTO (GALONES)</t>
  </si>
  <si>
    <t>Parámetro</t>
  </si>
  <si>
    <t>Categoría 1 A</t>
  </si>
  <si>
    <t xml:space="preserve">Categoría 1B </t>
  </si>
  <si>
    <t>Oxígeno Disuelto</t>
  </si>
  <si>
    <t>&gt;4.0 mg/l(*)</t>
  </si>
  <si>
    <t>&gt; 4.0 mg/l (*)</t>
  </si>
  <si>
    <t>Demanda de Oxigeno (DBO5,20)</t>
  </si>
  <si>
    <t>2.0 mg/l</t>
  </si>
  <si>
    <t>5.0 mg/l</t>
  </si>
  <si>
    <t>Ph</t>
  </si>
  <si>
    <t>Min 6.0 y Max 8.5</t>
  </si>
  <si>
    <t>Color Real</t>
  </si>
  <si>
    <t>&lt;15 U Pt-Co</t>
  </si>
  <si>
    <t>150 U Pt-Co</t>
  </si>
  <si>
    <t>Turbiedad</t>
  </si>
  <si>
    <t>&lt;5 UNT</t>
  </si>
  <si>
    <t>&lt;250 UNT</t>
  </si>
  <si>
    <t>Fluoruros</t>
  </si>
  <si>
    <t>Min 0.7 y Max 1.5</t>
  </si>
  <si>
    <t>&lt;1.7 mg/l</t>
  </si>
  <si>
    <t>Hierro Total</t>
  </si>
  <si>
    <t>0.3 mg/l</t>
  </si>
  <si>
    <t>3 mg/l</t>
  </si>
  <si>
    <t>Mercurio Total</t>
  </si>
  <si>
    <t>0.001 mg/l</t>
  </si>
  <si>
    <t>0.01 mg/l</t>
  </si>
  <si>
    <t>Plomo Total</t>
  </si>
  <si>
    <t>0.05 mg/l</t>
  </si>
  <si>
    <t>Solidos Totales Disueltos</t>
  </si>
  <si>
    <t>1000 mg/l</t>
  </si>
  <si>
    <t>1500 mg/l</t>
  </si>
  <si>
    <t>Sulfatos</t>
  </si>
  <si>
    <t>250 mg/l</t>
  </si>
  <si>
    <t>400 mg/l</t>
  </si>
  <si>
    <t>Zinc</t>
  </si>
  <si>
    <t>5 mg/l</t>
  </si>
  <si>
    <t>Cloruros</t>
  </si>
  <si>
    <t>600 mg/l</t>
  </si>
  <si>
    <t>Organismos Colif.</t>
  </si>
  <si>
    <t>Totales (**)</t>
  </si>
  <si>
    <t>(***)</t>
  </si>
  <si>
    <t>Dureza CaCO3</t>
  </si>
  <si>
    <t>Manganeso Total</t>
  </si>
  <si>
    <t>0.5 mg/l</t>
  </si>
  <si>
    <t>Nitritos + Nitratos (N)</t>
  </si>
  <si>
    <t>10 mg/l</t>
  </si>
  <si>
    <t>Sodio</t>
  </si>
  <si>
    <t>200 mg/l</t>
  </si>
  <si>
    <t>INGRESAR RESULTADOS DE LABORATORIO</t>
  </si>
  <si>
    <t>CLASIFICACION DEL AGUA</t>
  </si>
  <si>
    <t>1A O 1B</t>
  </si>
  <si>
    <t>NICARAGUA</t>
  </si>
  <si>
    <t>CHINANDEGA</t>
  </si>
  <si>
    <t>SANTO TOMAS DEL NORTE</t>
  </si>
  <si>
    <t>VADO ANCHO</t>
  </si>
  <si>
    <t>SUBTERRANEO</t>
  </si>
  <si>
    <t>ELEVACION FUENTE (msnm)</t>
  </si>
  <si>
    <t>ELEVACION TANQUE (msnm)</t>
  </si>
  <si>
    <t xml:space="preserve">POTENCIA (HP) </t>
  </si>
  <si>
    <t>ALTURA DE BOMBEO</t>
  </si>
  <si>
    <t>DENSIDAD DEL AGUA</t>
  </si>
  <si>
    <t>COEFICIENTE GRAVEDAD</t>
  </si>
  <si>
    <t>RESULTADO HP</t>
  </si>
  <si>
    <t>RESULTADO W</t>
  </si>
  <si>
    <t>CAUDAL (M3/s)</t>
  </si>
  <si>
    <t>DOTACION (LPPD)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</si>
</sst>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000"/>
    <numFmt numFmtId="165" formatCode="0.000000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vertAlign val="superscript"/>
      <sz val="8"/>
      <name val="Times New Roman"/>
      <family val="1"/>
    </font>
    <font>
      <b/>
      <i/>
      <sz val="8"/>
      <name val="Times New Roman"/>
      <family val="1"/>
    </font>
    <font>
      <b/>
      <i/>
      <sz val="10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ourier New"/>
      <family val="3"/>
    </font>
    <font>
      <sz val="12"/>
      <color theme="1"/>
      <name val="Courier New"/>
      <family val="3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3" fillId="2" borderId="0" xfId="0" applyFont="1" applyFill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3" fontId="4" fillId="0" borderId="0" xfId="0" applyNumberFormat="1" applyFont="1" applyAlignment="1">
      <alignment horizontal="center"/>
    </xf>
    <xf numFmtId="0" fontId="6" fillId="2" borderId="0" xfId="0" applyFont="1" applyFill="1"/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1" fontId="8" fillId="5" borderId="1" xfId="0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4" fontId="8" fillId="5" borderId="1" xfId="0" applyNumberFormat="1" applyFont="1" applyFill="1" applyBorder="1" applyAlignment="1">
      <alignment horizontal="center"/>
    </xf>
    <xf numFmtId="0" fontId="9" fillId="2" borderId="0" xfId="0" applyFont="1" applyFill="1"/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4" fontId="5" fillId="5" borderId="1" xfId="0" applyNumberFormat="1" applyFont="1" applyFill="1" applyBorder="1" applyAlignment="1">
      <alignment horizontal="center"/>
    </xf>
    <xf numFmtId="0" fontId="4" fillId="2" borderId="0" xfId="0" applyFont="1" applyFill="1"/>
    <xf numFmtId="0" fontId="5" fillId="0" borderId="1" xfId="0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4" fontId="8" fillId="0" borderId="1" xfId="0" applyNumberFormat="1" applyFont="1" applyBorder="1" applyAlignment="1">
      <alignment horizontal="center"/>
    </xf>
    <xf numFmtId="0" fontId="4" fillId="5" borderId="0" xfId="0" applyFont="1" applyFill="1"/>
    <xf numFmtId="0" fontId="10" fillId="0" borderId="1" xfId="0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4" fontId="10" fillId="0" borderId="1" xfId="0" applyNumberFormat="1" applyFont="1" applyBorder="1" applyAlignment="1">
      <alignment horizontal="center"/>
    </xf>
    <xf numFmtId="0" fontId="11" fillId="0" borderId="0" xfId="0" applyFont="1"/>
    <xf numFmtId="0" fontId="4" fillId="6" borderId="0" xfId="0" applyFont="1" applyFill="1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4" fontId="8" fillId="0" borderId="2" xfId="0" applyNumberFormat="1" applyFont="1" applyBorder="1" applyAlignment="1">
      <alignment horizontal="center"/>
    </xf>
    <xf numFmtId="4" fontId="8" fillId="0" borderId="3" xfId="0" applyNumberFormat="1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" fontId="9" fillId="0" borderId="0" xfId="0" applyNumberFormat="1" applyFont="1"/>
    <xf numFmtId="10" fontId="3" fillId="0" borderId="0" xfId="2" applyNumberFormat="1" applyFont="1" applyFill="1" applyBorder="1" applyAlignment="1">
      <alignment horizontal="left"/>
    </xf>
    <xf numFmtId="9" fontId="3" fillId="0" borderId="0" xfId="2" applyFont="1" applyFill="1" applyBorder="1" applyAlignment="1">
      <alignment horizontal="left"/>
    </xf>
    <xf numFmtId="3" fontId="3" fillId="0" borderId="0" xfId="2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1" fontId="3" fillId="0" borderId="0" xfId="0" applyNumberFormat="1" applyFont="1"/>
    <xf numFmtId="165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4" fontId="0" fillId="0" borderId="0" xfId="0" applyNumberFormat="1"/>
    <xf numFmtId="0" fontId="12" fillId="7" borderId="4" xfId="0" applyFont="1" applyFill="1" applyBorder="1" applyAlignment="1">
      <alignment vertical="center" wrapText="1"/>
    </xf>
    <xf numFmtId="0" fontId="13" fillId="7" borderId="5" xfId="0" applyFont="1" applyFill="1" applyBorder="1" applyAlignment="1">
      <alignment vertical="center" wrapText="1"/>
    </xf>
    <xf numFmtId="0" fontId="14" fillId="0" borderId="2" xfId="0" applyFont="1" applyBorder="1" applyAlignment="1">
      <alignment vertical="center" wrapText="1"/>
    </xf>
    <xf numFmtId="0" fontId="14" fillId="0" borderId="6" xfId="0" applyFont="1" applyBorder="1" applyAlignment="1">
      <alignment vertical="center" wrapText="1"/>
    </xf>
    <xf numFmtId="0" fontId="15" fillId="0" borderId="0" xfId="0" applyFont="1"/>
    <xf numFmtId="0" fontId="15" fillId="0" borderId="0" xfId="0" applyFont="1" applyAlignment="1">
      <alignment wrapText="1"/>
    </xf>
    <xf numFmtId="0" fontId="16" fillId="0" borderId="1" xfId="0" applyFont="1" applyBorder="1" applyAlignment="1">
      <alignment vertical="center" wrapText="1"/>
    </xf>
    <xf numFmtId="0" fontId="15" fillId="0" borderId="1" xfId="0" applyFont="1" applyBorder="1" applyAlignment="1">
      <alignment wrapText="1"/>
    </xf>
    <xf numFmtId="2" fontId="0" fillId="0" borderId="0" xfId="0" applyNumberFormat="1"/>
    <xf numFmtId="0" fontId="15" fillId="0" borderId="0" xfId="0" applyFont="1" applyAlignment="1">
      <alignment horizontal="left"/>
    </xf>
    <xf numFmtId="2" fontId="15" fillId="0" borderId="0" xfId="0" applyNumberFormat="1" applyFont="1" applyAlignment="1">
      <alignment horizontal="left"/>
    </xf>
    <xf numFmtId="10" fontId="15" fillId="0" borderId="0" xfId="1" applyNumberFormat="1" applyFont="1" applyAlignment="1">
      <alignment horizontal="left"/>
    </xf>
    <xf numFmtId="0" fontId="5" fillId="8" borderId="1" xfId="0" applyFont="1" applyFill="1" applyBorder="1" applyAlignment="1">
      <alignment horizontal="center"/>
    </xf>
    <xf numFmtId="1" fontId="5" fillId="8" borderId="1" xfId="0" applyNumberFormat="1" applyFont="1" applyFill="1" applyBorder="1" applyAlignment="1">
      <alignment horizontal="center"/>
    </xf>
    <xf numFmtId="3" fontId="5" fillId="8" borderId="1" xfId="0" applyNumberFormat="1" applyFont="1" applyFill="1" applyBorder="1" applyAlignment="1">
      <alignment horizontal="center"/>
    </xf>
    <xf numFmtId="4" fontId="5" fillId="8" borderId="1" xfId="0" applyNumberFormat="1" applyFont="1" applyFill="1" applyBorder="1" applyAlignment="1">
      <alignment horizontal="center"/>
    </xf>
    <xf numFmtId="165" fontId="0" fillId="0" borderId="0" xfId="0" applyNumberFormat="1"/>
    <xf numFmtId="2" fontId="15" fillId="0" borderId="0" xfId="1" applyNumberFormat="1" applyFont="1" applyAlignment="1">
      <alignment horizontal="left"/>
    </xf>
    <xf numFmtId="1" fontId="3" fillId="0" borderId="0" xfId="2" applyNumberFormat="1" applyFont="1" applyAlignment="1">
      <alignment horizontal="left"/>
    </xf>
    <xf numFmtId="0" fontId="3" fillId="0" borderId="0" xfId="0" applyNumberFormat="1" applyFont="1"/>
    <xf numFmtId="2" fontId="3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2" fontId="17" fillId="0" borderId="0" xfId="0" applyNumberFormat="1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B7" sqref="B7"/>
    </sheetView>
  </sheetViews>
  <sheetFormatPr baseColWidth="10" defaultColWidth="11.44140625" defaultRowHeight="14.4" x14ac:dyDescent="0.3"/>
  <cols>
    <col min="1" max="1" width="34.88671875" style="59" customWidth="1"/>
    <col min="2" max="2" width="32.109375" style="64" customWidth="1"/>
    <col min="3" max="16384" width="11.44140625" style="59"/>
  </cols>
  <sheetData>
    <row r="1" spans="1:2" x14ac:dyDescent="0.3">
      <c r="A1" s="59" t="s">
        <v>38</v>
      </c>
      <c r="B1" s="64" t="s">
        <v>99</v>
      </c>
    </row>
    <row r="2" spans="1:2" x14ac:dyDescent="0.3">
      <c r="A2" s="59" t="s">
        <v>39</v>
      </c>
      <c r="B2" s="64" t="s">
        <v>100</v>
      </c>
    </row>
    <row r="3" spans="1:2" x14ac:dyDescent="0.3">
      <c r="A3" s="59" t="s">
        <v>40</v>
      </c>
      <c r="B3" s="64" t="s">
        <v>101</v>
      </c>
    </row>
    <row r="4" spans="1:2" x14ac:dyDescent="0.3">
      <c r="A4" s="59" t="s">
        <v>41</v>
      </c>
      <c r="B4" s="64" t="s">
        <v>102</v>
      </c>
    </row>
    <row r="5" spans="1:2" x14ac:dyDescent="0.3">
      <c r="A5" s="59" t="s">
        <v>42</v>
      </c>
      <c r="B5" s="65">
        <v>500</v>
      </c>
    </row>
    <row r="6" spans="1:2" x14ac:dyDescent="0.3">
      <c r="A6" s="59" t="s">
        <v>44</v>
      </c>
      <c r="B6" s="66">
        <v>2.5000000000000001E-2</v>
      </c>
    </row>
    <row r="7" spans="1:2" x14ac:dyDescent="0.3">
      <c r="A7" s="59" t="s">
        <v>113</v>
      </c>
      <c r="B7" s="72">
        <v>70</v>
      </c>
    </row>
    <row r="8" spans="1:2" x14ac:dyDescent="0.3">
      <c r="A8" s="59" t="s">
        <v>43</v>
      </c>
      <c r="B8" s="65" t="s">
        <v>103</v>
      </c>
    </row>
    <row r="9" spans="1:2" x14ac:dyDescent="0.3">
      <c r="A9" s="59" t="s">
        <v>104</v>
      </c>
      <c r="B9" s="65">
        <v>300</v>
      </c>
    </row>
    <row r="10" spans="1:2" x14ac:dyDescent="0.3">
      <c r="A10" s="59" t="s">
        <v>105</v>
      </c>
      <c r="B10" s="65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35"/>
  <sheetViews>
    <sheetView topLeftCell="A7" workbookViewId="0">
      <selection activeCell="O26" sqref="O26"/>
    </sheetView>
  </sheetViews>
  <sheetFormatPr baseColWidth="10" defaultColWidth="11.44140625" defaultRowHeight="13.2" x14ac:dyDescent="0.25"/>
  <cols>
    <col min="1" max="1" width="3.109375" style="1" customWidth="1"/>
    <col min="2" max="2" width="5.44140625" style="1" customWidth="1"/>
    <col min="3" max="3" width="22.109375" style="1" bestFit="1" customWidth="1"/>
    <col min="4" max="4" width="15.5546875" style="1" bestFit="1" customWidth="1"/>
    <col min="5" max="5" width="14.6640625" style="1" bestFit="1" customWidth="1"/>
    <col min="6" max="6" width="9.5546875" style="1" hidden="1" customWidth="1"/>
    <col min="7" max="7" width="10.88671875" style="1" hidden="1" customWidth="1"/>
    <col min="8" max="8" width="13.6640625" style="1" hidden="1" customWidth="1"/>
    <col min="9" max="10" width="12.33203125" style="1" hidden="1" customWidth="1"/>
    <col min="11" max="12" width="15.5546875" style="1" bestFit="1" customWidth="1"/>
    <col min="13" max="13" width="13" style="1" bestFit="1" customWidth="1"/>
    <col min="14" max="14" width="17.88671875" style="1" bestFit="1" customWidth="1"/>
    <col min="15" max="15" width="4.5546875" style="1" customWidth="1"/>
    <col min="16" max="16" width="5.88671875" style="1" customWidth="1"/>
    <col min="17" max="17" width="5.44140625" style="1" bestFit="1" customWidth="1"/>
    <col min="18" max="18" width="9.33203125" style="1" customWidth="1"/>
    <col min="19" max="19" width="4.5546875" style="1" customWidth="1"/>
    <col min="20" max="20" width="6.33203125" style="1" customWidth="1"/>
    <col min="21" max="21" width="5.44140625" style="1" bestFit="1" customWidth="1"/>
    <col min="22" max="22" width="7.88671875" style="1" customWidth="1"/>
    <col min="23" max="23" width="9.6640625" style="1" customWidth="1"/>
    <col min="24" max="16384" width="11.44140625" style="1"/>
  </cols>
  <sheetData>
    <row r="1" spans="1:23" ht="15.6" x14ac:dyDescent="0.3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</row>
    <row r="2" spans="1:23" ht="15.6" x14ac:dyDescent="0.3">
      <c r="A2" s="76" t="s">
        <v>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</row>
    <row r="3" spans="1:23" x14ac:dyDescent="0.25">
      <c r="A3" s="2"/>
      <c r="B3" s="3"/>
      <c r="C3" s="4"/>
      <c r="D3" s="5"/>
      <c r="E3" s="4"/>
      <c r="F3" s="4"/>
      <c r="G3" s="4"/>
      <c r="H3" s="5"/>
      <c r="I3" s="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s="6" customFormat="1" ht="35.25" customHeight="1" x14ac:dyDescent="0.2">
      <c r="A4" s="77" t="s">
        <v>2</v>
      </c>
      <c r="B4" s="77" t="s">
        <v>3</v>
      </c>
      <c r="C4" s="78" t="s">
        <v>4</v>
      </c>
      <c r="D4" s="78" t="s">
        <v>5</v>
      </c>
      <c r="E4" s="78"/>
      <c r="F4" s="78"/>
      <c r="G4" s="78"/>
      <c r="H4" s="78"/>
      <c r="I4" s="78"/>
      <c r="J4" s="78"/>
      <c r="K4" s="78"/>
      <c r="L4" s="78"/>
      <c r="M4" s="78"/>
      <c r="N4" s="79" t="s">
        <v>6</v>
      </c>
      <c r="O4" s="79"/>
      <c r="P4" s="79"/>
      <c r="Q4" s="79"/>
      <c r="R4" s="79" t="s">
        <v>7</v>
      </c>
      <c r="S4" s="79"/>
      <c r="T4" s="79"/>
      <c r="U4" s="79"/>
      <c r="V4" s="79" t="s">
        <v>8</v>
      </c>
      <c r="W4" s="79"/>
    </row>
    <row r="5" spans="1:23" s="6" customFormat="1" ht="48.75" customHeight="1" x14ac:dyDescent="0.2">
      <c r="A5" s="77"/>
      <c r="B5" s="77"/>
      <c r="C5" s="78"/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8" t="s">
        <v>22</v>
      </c>
      <c r="R5" s="7" t="s">
        <v>23</v>
      </c>
      <c r="S5" s="8" t="s">
        <v>20</v>
      </c>
      <c r="T5" s="7" t="s">
        <v>21</v>
      </c>
      <c r="U5" s="8" t="s">
        <v>22</v>
      </c>
      <c r="V5" s="7" t="s">
        <v>24</v>
      </c>
      <c r="W5" s="8" t="s">
        <v>25</v>
      </c>
    </row>
    <row r="6" spans="1:23" s="6" customFormat="1" ht="10.199999999999999" x14ac:dyDescent="0.2">
      <c r="A6" s="9">
        <v>0</v>
      </c>
      <c r="B6" s="9">
        <v>2021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9"/>
      <c r="R6" s="10"/>
      <c r="S6" s="9"/>
      <c r="T6" s="10"/>
      <c r="U6" s="9"/>
      <c r="V6" s="10"/>
      <c r="W6" s="9"/>
    </row>
    <row r="7" spans="1:23" s="17" customFormat="1" ht="13.8" x14ac:dyDescent="0.3">
      <c r="A7" s="11">
        <v>1</v>
      </c>
      <c r="B7" s="12">
        <v>2022</v>
      </c>
      <c r="C7" s="13">
        <f>+'INGRESO DE DATOS'!B5</f>
        <v>500</v>
      </c>
      <c r="D7" s="14">
        <f t="shared" ref="D7:D26" si="0">+C7*$E$29</f>
        <v>35000</v>
      </c>
      <c r="E7" s="14">
        <f t="shared" ref="E7:E26" si="1">+K7*$E$31</f>
        <v>5250</v>
      </c>
      <c r="F7" s="14">
        <v>0</v>
      </c>
      <c r="G7" s="14">
        <f t="shared" ref="G7:G26" si="2">+F7*$E$30</f>
        <v>0</v>
      </c>
      <c r="H7" s="15">
        <f t="shared" ref="H7:H26" si="3">$E$32*D7</f>
        <v>0</v>
      </c>
      <c r="I7" s="15">
        <f t="shared" ref="I7:I26" si="4">$E$33*D7</f>
        <v>0</v>
      </c>
      <c r="J7" s="15">
        <f t="shared" ref="J7:J26" si="5">$E$34*D7</f>
        <v>0</v>
      </c>
      <c r="K7" s="15">
        <f>+D7+H7+I7+J7+G7</f>
        <v>35000</v>
      </c>
      <c r="L7" s="15">
        <f>+D7+E7+H7+I7+J7+G7</f>
        <v>40250</v>
      </c>
      <c r="M7" s="16">
        <f>L7/86400</f>
        <v>0.46585648148148145</v>
      </c>
      <c r="N7" s="16">
        <f t="shared" ref="N7:N26" si="6">+L7*$E$36</f>
        <v>60375</v>
      </c>
      <c r="O7" s="16">
        <f>+N7/86400</f>
        <v>0.69878472222222221</v>
      </c>
      <c r="P7" s="16">
        <f>+N7/1000</f>
        <v>60.375</v>
      </c>
      <c r="Q7" s="16">
        <f>+N7/(3.785*1440)</f>
        <v>11.077168648172609</v>
      </c>
      <c r="R7" s="16">
        <f t="shared" ref="R7:R26" si="7">+L7*$E$37</f>
        <v>100625</v>
      </c>
      <c r="S7" s="16">
        <f>+R7/86400</f>
        <v>1.1646412037037037</v>
      </c>
      <c r="T7" s="16">
        <f>+R7/1000</f>
        <v>100.625</v>
      </c>
      <c r="U7" s="16">
        <f>+R7/(3.785*1440)</f>
        <v>18.461947746954351</v>
      </c>
      <c r="V7" s="15">
        <f t="shared" ref="V7:V26" si="8">(+L7*$E$35+($E$38*7200))/3.785</f>
        <v>3721.9286657859971</v>
      </c>
      <c r="W7" s="16">
        <f t="shared" ref="W7:W26" si="9">ROUND((+L7*$E$35+($E$38*7200))/1000,1)</f>
        <v>14.1</v>
      </c>
    </row>
    <row r="8" spans="1:23" x14ac:dyDescent="0.25">
      <c r="A8" s="18">
        <f t="shared" ref="A8:A26" si="10">+A7+1</f>
        <v>2</v>
      </c>
      <c r="B8" s="18">
        <v>2023</v>
      </c>
      <c r="C8" s="19">
        <f>ROUNDUP($C$7*POWER((1+$E$28),A8),0)</f>
        <v>526</v>
      </c>
      <c r="D8" s="20">
        <f t="shared" si="0"/>
        <v>36820</v>
      </c>
      <c r="E8" s="20">
        <f t="shared" si="1"/>
        <v>5523</v>
      </c>
      <c r="F8" s="19">
        <f t="shared" ref="F8:F26" si="11">ROUNDUP($F$7*POWER((1+$E$28),A8),0)</f>
        <v>0</v>
      </c>
      <c r="G8" s="20">
        <f t="shared" si="2"/>
        <v>0</v>
      </c>
      <c r="H8" s="20">
        <f t="shared" si="3"/>
        <v>0</v>
      </c>
      <c r="I8" s="20">
        <f t="shared" si="4"/>
        <v>0</v>
      </c>
      <c r="J8" s="20">
        <f t="shared" si="5"/>
        <v>0</v>
      </c>
      <c r="K8" s="20">
        <f t="shared" ref="K8:K26" si="12">+D8+H8+I8+J8</f>
        <v>36820</v>
      </c>
      <c r="L8" s="20">
        <f t="shared" ref="L8:L25" si="13">+D8+E8+H8+I8+J8+G8</f>
        <v>42343</v>
      </c>
      <c r="M8" s="21">
        <f t="shared" ref="M8:M26" si="14">L8/86400</f>
        <v>0.49008101851851854</v>
      </c>
      <c r="N8" s="21">
        <f t="shared" si="6"/>
        <v>63514.5</v>
      </c>
      <c r="O8" s="21">
        <f t="shared" ref="O8:O26" si="15">+N8/86400</f>
        <v>0.73512152777777773</v>
      </c>
      <c r="P8" s="21">
        <f t="shared" ref="P8:P26" si="16">+N8/1000</f>
        <v>63.514499999999998</v>
      </c>
      <c r="Q8" s="21">
        <f t="shared" ref="Q8:Q26" si="17">+N8/(3.785*1440)</f>
        <v>11.653181417877585</v>
      </c>
      <c r="R8" s="21">
        <f t="shared" si="7"/>
        <v>105857.5</v>
      </c>
      <c r="S8" s="21">
        <f t="shared" ref="S8:S26" si="18">+R8/86400</f>
        <v>1.2252025462962963</v>
      </c>
      <c r="T8" s="21">
        <f t="shared" ref="T8:T26" si="19">+R8/1000</f>
        <v>105.8575</v>
      </c>
      <c r="U8" s="21">
        <f t="shared" ref="U8:U26" si="20">+R8/(3.785*1440)</f>
        <v>19.421969029795978</v>
      </c>
      <c r="V8" s="20">
        <f t="shared" si="8"/>
        <v>3915.468956406869</v>
      </c>
      <c r="W8" s="21">
        <f t="shared" si="9"/>
        <v>14.8</v>
      </c>
    </row>
    <row r="9" spans="1:23" x14ac:dyDescent="0.25">
      <c r="A9" s="18">
        <f t="shared" si="10"/>
        <v>3</v>
      </c>
      <c r="B9" s="22">
        <v>2024</v>
      </c>
      <c r="C9" s="19">
        <f t="shared" ref="C9:C25" si="21">ROUNDUP($C$7*POWER((1+$E$28),A9),0)</f>
        <v>539</v>
      </c>
      <c r="D9" s="20">
        <f t="shared" si="0"/>
        <v>37730</v>
      </c>
      <c r="E9" s="20">
        <f t="shared" si="1"/>
        <v>5659.5</v>
      </c>
      <c r="F9" s="19">
        <f t="shared" si="11"/>
        <v>0</v>
      </c>
      <c r="G9" s="20">
        <f t="shared" si="2"/>
        <v>0</v>
      </c>
      <c r="H9" s="20">
        <f t="shared" si="3"/>
        <v>0</v>
      </c>
      <c r="I9" s="20">
        <f t="shared" si="4"/>
        <v>0</v>
      </c>
      <c r="J9" s="20">
        <f t="shared" si="5"/>
        <v>0</v>
      </c>
      <c r="K9" s="20">
        <f t="shared" si="12"/>
        <v>37730</v>
      </c>
      <c r="L9" s="20">
        <f t="shared" si="13"/>
        <v>43389.5</v>
      </c>
      <c r="M9" s="21">
        <f t="shared" si="14"/>
        <v>0.50219328703703703</v>
      </c>
      <c r="N9" s="21">
        <f t="shared" si="6"/>
        <v>65084.25</v>
      </c>
      <c r="O9" s="21">
        <f t="shared" si="15"/>
        <v>0.7532899305555556</v>
      </c>
      <c r="P9" s="21">
        <f t="shared" si="16"/>
        <v>65.084249999999997</v>
      </c>
      <c r="Q9" s="21">
        <f t="shared" si="17"/>
        <v>11.941187802730074</v>
      </c>
      <c r="R9" s="21">
        <f t="shared" si="7"/>
        <v>108473.75</v>
      </c>
      <c r="S9" s="21">
        <f t="shared" si="18"/>
        <v>1.2554832175925925</v>
      </c>
      <c r="T9" s="21">
        <f t="shared" si="19"/>
        <v>108.47375</v>
      </c>
      <c r="U9" s="21">
        <f t="shared" si="20"/>
        <v>19.90197967121679</v>
      </c>
      <c r="V9" s="20">
        <f t="shared" si="8"/>
        <v>4012.2391017173045</v>
      </c>
      <c r="W9" s="21">
        <f t="shared" si="9"/>
        <v>15.2</v>
      </c>
    </row>
    <row r="10" spans="1:23" x14ac:dyDescent="0.25">
      <c r="A10" s="18">
        <f t="shared" si="10"/>
        <v>4</v>
      </c>
      <c r="B10" s="18">
        <v>2025</v>
      </c>
      <c r="C10" s="19">
        <f>ROUNDUP($C$7*POWER((1+$E$28),A10),0)</f>
        <v>552</v>
      </c>
      <c r="D10" s="20">
        <f t="shared" si="0"/>
        <v>38640</v>
      </c>
      <c r="E10" s="20">
        <f t="shared" si="1"/>
        <v>5796</v>
      </c>
      <c r="F10" s="19">
        <f t="shared" si="11"/>
        <v>0</v>
      </c>
      <c r="G10" s="20">
        <f t="shared" si="2"/>
        <v>0</v>
      </c>
      <c r="H10" s="20">
        <f t="shared" si="3"/>
        <v>0</v>
      </c>
      <c r="I10" s="20">
        <f t="shared" si="4"/>
        <v>0</v>
      </c>
      <c r="J10" s="20">
        <f t="shared" si="5"/>
        <v>0</v>
      </c>
      <c r="K10" s="20">
        <f t="shared" si="12"/>
        <v>38640</v>
      </c>
      <c r="L10" s="20">
        <f t="shared" si="13"/>
        <v>44436</v>
      </c>
      <c r="M10" s="21">
        <f t="shared" si="14"/>
        <v>0.51430555555555557</v>
      </c>
      <c r="N10" s="21">
        <f t="shared" si="6"/>
        <v>66654</v>
      </c>
      <c r="O10" s="21">
        <f t="shared" si="15"/>
        <v>0.77145833333333336</v>
      </c>
      <c r="P10" s="21">
        <f t="shared" si="16"/>
        <v>66.653999999999996</v>
      </c>
      <c r="Q10" s="21">
        <f t="shared" si="17"/>
        <v>12.229194187582561</v>
      </c>
      <c r="R10" s="21">
        <f t="shared" si="7"/>
        <v>111090</v>
      </c>
      <c r="S10" s="21">
        <f t="shared" si="18"/>
        <v>1.2857638888888889</v>
      </c>
      <c r="T10" s="21">
        <f t="shared" si="19"/>
        <v>111.09</v>
      </c>
      <c r="U10" s="21">
        <f t="shared" si="20"/>
        <v>20.381990312637601</v>
      </c>
      <c r="V10" s="20">
        <f t="shared" si="8"/>
        <v>4109.0092470277405</v>
      </c>
      <c r="W10" s="21">
        <f t="shared" si="9"/>
        <v>15.6</v>
      </c>
    </row>
    <row r="11" spans="1:23" s="25" customFormat="1" x14ac:dyDescent="0.25">
      <c r="A11" s="11">
        <f t="shared" si="10"/>
        <v>5</v>
      </c>
      <c r="B11" s="12">
        <v>2026</v>
      </c>
      <c r="C11" s="23">
        <f t="shared" si="21"/>
        <v>566</v>
      </c>
      <c r="D11" s="14">
        <f t="shared" si="0"/>
        <v>39620</v>
      </c>
      <c r="E11" s="14">
        <f t="shared" si="1"/>
        <v>5943</v>
      </c>
      <c r="F11" s="23">
        <f t="shared" si="11"/>
        <v>0</v>
      </c>
      <c r="G11" s="14">
        <f t="shared" si="2"/>
        <v>0</v>
      </c>
      <c r="H11" s="14">
        <f t="shared" si="3"/>
        <v>0</v>
      </c>
      <c r="I11" s="14">
        <f t="shared" si="4"/>
        <v>0</v>
      </c>
      <c r="J11" s="14">
        <f t="shared" si="5"/>
        <v>0</v>
      </c>
      <c r="K11" s="14">
        <f t="shared" si="12"/>
        <v>39620</v>
      </c>
      <c r="L11" s="14">
        <f t="shared" si="13"/>
        <v>45563</v>
      </c>
      <c r="M11" s="24">
        <f t="shared" si="14"/>
        <v>0.52734953703703702</v>
      </c>
      <c r="N11" s="24">
        <f t="shared" si="6"/>
        <v>68344.5</v>
      </c>
      <c r="O11" s="24">
        <f t="shared" si="15"/>
        <v>0.79102430555555558</v>
      </c>
      <c r="P11" s="24">
        <f t="shared" si="16"/>
        <v>68.344499999999996</v>
      </c>
      <c r="Q11" s="24">
        <f t="shared" si="17"/>
        <v>12.539354909731395</v>
      </c>
      <c r="R11" s="24">
        <f t="shared" si="7"/>
        <v>113907.5</v>
      </c>
      <c r="S11" s="24">
        <f t="shared" si="18"/>
        <v>1.3183738425925926</v>
      </c>
      <c r="T11" s="24">
        <f t="shared" si="19"/>
        <v>113.9075</v>
      </c>
      <c r="U11" s="24">
        <f t="shared" si="20"/>
        <v>20.898924849552323</v>
      </c>
      <c r="V11" s="14">
        <f t="shared" si="8"/>
        <v>4213.2232496697488</v>
      </c>
      <c r="W11" s="24">
        <f t="shared" si="9"/>
        <v>15.9</v>
      </c>
    </row>
    <row r="12" spans="1:23" s="2" customFormat="1" x14ac:dyDescent="0.25">
      <c r="A12" s="26">
        <f t="shared" si="10"/>
        <v>6</v>
      </c>
      <c r="B12" s="27">
        <v>2027</v>
      </c>
      <c r="C12" s="27">
        <f t="shared" si="21"/>
        <v>580</v>
      </c>
      <c r="D12" s="28">
        <f t="shared" si="0"/>
        <v>40600</v>
      </c>
      <c r="E12" s="28">
        <f t="shared" si="1"/>
        <v>6090</v>
      </c>
      <c r="F12" s="29">
        <f t="shared" si="11"/>
        <v>0</v>
      </c>
      <c r="G12" s="28">
        <f t="shared" si="2"/>
        <v>0</v>
      </c>
      <c r="H12" s="29">
        <f t="shared" si="3"/>
        <v>0</v>
      </c>
      <c r="I12" s="29">
        <f t="shared" si="4"/>
        <v>0</v>
      </c>
      <c r="J12" s="29">
        <f t="shared" si="5"/>
        <v>0</v>
      </c>
      <c r="K12" s="29">
        <f t="shared" si="12"/>
        <v>40600</v>
      </c>
      <c r="L12" s="29">
        <f t="shared" si="13"/>
        <v>46690</v>
      </c>
      <c r="M12" s="30">
        <f t="shared" si="14"/>
        <v>0.54039351851851847</v>
      </c>
      <c r="N12" s="30">
        <f t="shared" si="6"/>
        <v>70035</v>
      </c>
      <c r="O12" s="30">
        <f t="shared" si="15"/>
        <v>0.81059027777777781</v>
      </c>
      <c r="P12" s="30">
        <f t="shared" si="16"/>
        <v>70.034999999999997</v>
      </c>
      <c r="Q12" s="30">
        <f t="shared" si="17"/>
        <v>12.849515631880228</v>
      </c>
      <c r="R12" s="30">
        <f t="shared" si="7"/>
        <v>116725</v>
      </c>
      <c r="S12" s="30">
        <f t="shared" si="18"/>
        <v>1.3509837962962963</v>
      </c>
      <c r="T12" s="30">
        <f t="shared" si="19"/>
        <v>116.72499999999999</v>
      </c>
      <c r="U12" s="30">
        <f t="shared" si="20"/>
        <v>21.415859386467048</v>
      </c>
      <c r="V12" s="29">
        <f t="shared" si="8"/>
        <v>4317.4372523117563</v>
      </c>
      <c r="W12" s="30">
        <f t="shared" si="9"/>
        <v>16.3</v>
      </c>
    </row>
    <row r="13" spans="1:23" x14ac:dyDescent="0.25">
      <c r="A13" s="18">
        <f t="shared" si="10"/>
        <v>7</v>
      </c>
      <c r="B13" s="22">
        <v>2028</v>
      </c>
      <c r="C13" s="19">
        <f t="shared" si="21"/>
        <v>595</v>
      </c>
      <c r="D13" s="20">
        <f t="shared" si="0"/>
        <v>41650</v>
      </c>
      <c r="E13" s="20">
        <f t="shared" si="1"/>
        <v>6247.5</v>
      </c>
      <c r="F13" s="19">
        <f t="shared" si="11"/>
        <v>0</v>
      </c>
      <c r="G13" s="20">
        <f t="shared" si="2"/>
        <v>0</v>
      </c>
      <c r="H13" s="20">
        <f t="shared" si="3"/>
        <v>0</v>
      </c>
      <c r="I13" s="20">
        <f t="shared" si="4"/>
        <v>0</v>
      </c>
      <c r="J13" s="20">
        <f t="shared" si="5"/>
        <v>0</v>
      </c>
      <c r="K13" s="20">
        <f t="shared" si="12"/>
        <v>41650</v>
      </c>
      <c r="L13" s="20">
        <f t="shared" si="13"/>
        <v>47897.5</v>
      </c>
      <c r="M13" s="21">
        <f t="shared" si="14"/>
        <v>0.55436921296296293</v>
      </c>
      <c r="N13" s="21">
        <f t="shared" si="6"/>
        <v>71846.25</v>
      </c>
      <c r="O13" s="21">
        <f t="shared" si="15"/>
        <v>0.8315538194444444</v>
      </c>
      <c r="P13" s="21">
        <f t="shared" si="16"/>
        <v>71.846249999999998</v>
      </c>
      <c r="Q13" s="21">
        <f t="shared" si="17"/>
        <v>13.181830691325406</v>
      </c>
      <c r="R13" s="21">
        <f t="shared" si="7"/>
        <v>119743.75</v>
      </c>
      <c r="S13" s="21">
        <f t="shared" si="18"/>
        <v>1.3859230324074074</v>
      </c>
      <c r="T13" s="21">
        <f t="shared" si="19"/>
        <v>119.74375000000001</v>
      </c>
      <c r="U13" s="21">
        <f t="shared" si="20"/>
        <v>21.969717818875676</v>
      </c>
      <c r="V13" s="20">
        <f t="shared" si="8"/>
        <v>4429.0951122853367</v>
      </c>
      <c r="W13" s="21">
        <f t="shared" si="9"/>
        <v>16.8</v>
      </c>
    </row>
    <row r="14" spans="1:23" x14ac:dyDescent="0.25">
      <c r="A14" s="18">
        <f t="shared" si="10"/>
        <v>8</v>
      </c>
      <c r="B14" s="18">
        <v>2029</v>
      </c>
      <c r="C14" s="19">
        <f t="shared" si="21"/>
        <v>610</v>
      </c>
      <c r="D14" s="20">
        <f t="shared" si="0"/>
        <v>42700</v>
      </c>
      <c r="E14" s="20">
        <f t="shared" si="1"/>
        <v>6405</v>
      </c>
      <c r="F14" s="19">
        <f t="shared" si="11"/>
        <v>0</v>
      </c>
      <c r="G14" s="20">
        <f t="shared" si="2"/>
        <v>0</v>
      </c>
      <c r="H14" s="20">
        <f t="shared" si="3"/>
        <v>0</v>
      </c>
      <c r="I14" s="20">
        <f t="shared" si="4"/>
        <v>0</v>
      </c>
      <c r="J14" s="20">
        <f t="shared" si="5"/>
        <v>0</v>
      </c>
      <c r="K14" s="20">
        <f t="shared" si="12"/>
        <v>42700</v>
      </c>
      <c r="L14" s="20">
        <f t="shared" si="13"/>
        <v>49105</v>
      </c>
      <c r="M14" s="21">
        <f t="shared" si="14"/>
        <v>0.5683449074074074</v>
      </c>
      <c r="N14" s="21">
        <f t="shared" si="6"/>
        <v>73657.5</v>
      </c>
      <c r="O14" s="21">
        <f t="shared" si="15"/>
        <v>0.85251736111111109</v>
      </c>
      <c r="P14" s="21">
        <f t="shared" si="16"/>
        <v>73.657499999999999</v>
      </c>
      <c r="Q14" s="21">
        <f t="shared" si="17"/>
        <v>13.514145750770584</v>
      </c>
      <c r="R14" s="21">
        <f t="shared" si="7"/>
        <v>122762.5</v>
      </c>
      <c r="S14" s="21">
        <f t="shared" si="18"/>
        <v>1.4208622685185186</v>
      </c>
      <c r="T14" s="21">
        <f t="shared" si="19"/>
        <v>122.7625</v>
      </c>
      <c r="U14" s="21">
        <f t="shared" si="20"/>
        <v>22.523576251284307</v>
      </c>
      <c r="V14" s="20">
        <f t="shared" si="8"/>
        <v>4540.752972258917</v>
      </c>
      <c r="W14" s="21">
        <f t="shared" si="9"/>
        <v>17.2</v>
      </c>
    </row>
    <row r="15" spans="1:23" x14ac:dyDescent="0.25">
      <c r="A15" s="18">
        <f t="shared" si="10"/>
        <v>9</v>
      </c>
      <c r="B15" s="22">
        <v>2030</v>
      </c>
      <c r="C15" s="19">
        <f t="shared" si="21"/>
        <v>625</v>
      </c>
      <c r="D15" s="20">
        <f t="shared" si="0"/>
        <v>43750</v>
      </c>
      <c r="E15" s="20">
        <f t="shared" si="1"/>
        <v>6562.5</v>
      </c>
      <c r="F15" s="19">
        <f t="shared" si="11"/>
        <v>0</v>
      </c>
      <c r="G15" s="20">
        <f t="shared" si="2"/>
        <v>0</v>
      </c>
      <c r="H15" s="20">
        <f t="shared" si="3"/>
        <v>0</v>
      </c>
      <c r="I15" s="20">
        <f t="shared" si="4"/>
        <v>0</v>
      </c>
      <c r="J15" s="20">
        <f t="shared" si="5"/>
        <v>0</v>
      </c>
      <c r="K15" s="20">
        <f t="shared" si="12"/>
        <v>43750</v>
      </c>
      <c r="L15" s="20">
        <f t="shared" si="13"/>
        <v>50312.5</v>
      </c>
      <c r="M15" s="21">
        <f t="shared" si="14"/>
        <v>0.58232060185185186</v>
      </c>
      <c r="N15" s="21">
        <f t="shared" si="6"/>
        <v>75468.75</v>
      </c>
      <c r="O15" s="21">
        <f t="shared" si="15"/>
        <v>0.87348090277777779</v>
      </c>
      <c r="P15" s="21">
        <f t="shared" si="16"/>
        <v>75.46875</v>
      </c>
      <c r="Q15" s="21">
        <f t="shared" si="17"/>
        <v>13.846460810215763</v>
      </c>
      <c r="R15" s="21">
        <f t="shared" si="7"/>
        <v>125781.25</v>
      </c>
      <c r="S15" s="21">
        <f t="shared" si="18"/>
        <v>1.4558015046296295</v>
      </c>
      <c r="T15" s="21">
        <f t="shared" si="19"/>
        <v>125.78125</v>
      </c>
      <c r="U15" s="21">
        <f t="shared" si="20"/>
        <v>23.077434683692939</v>
      </c>
      <c r="V15" s="20">
        <f t="shared" si="8"/>
        <v>4652.4108322324964</v>
      </c>
      <c r="W15" s="21">
        <f t="shared" si="9"/>
        <v>17.600000000000001</v>
      </c>
    </row>
    <row r="16" spans="1:23" s="31" customFormat="1" x14ac:dyDescent="0.25">
      <c r="A16" s="11">
        <f t="shared" si="10"/>
        <v>10</v>
      </c>
      <c r="B16" s="11">
        <v>2031</v>
      </c>
      <c r="C16" s="23">
        <f t="shared" si="21"/>
        <v>641</v>
      </c>
      <c r="D16" s="14">
        <f t="shared" si="0"/>
        <v>44870</v>
      </c>
      <c r="E16" s="14">
        <f t="shared" si="1"/>
        <v>6730.5</v>
      </c>
      <c r="F16" s="23">
        <f t="shared" si="11"/>
        <v>0</v>
      </c>
      <c r="G16" s="14">
        <f t="shared" si="2"/>
        <v>0</v>
      </c>
      <c r="H16" s="14">
        <f t="shared" si="3"/>
        <v>0</v>
      </c>
      <c r="I16" s="14">
        <f t="shared" si="4"/>
        <v>0</v>
      </c>
      <c r="J16" s="14">
        <f t="shared" si="5"/>
        <v>0</v>
      </c>
      <c r="K16" s="14">
        <f t="shared" si="12"/>
        <v>44870</v>
      </c>
      <c r="L16" s="14">
        <f t="shared" si="13"/>
        <v>51600.5</v>
      </c>
      <c r="M16" s="24">
        <f t="shared" si="14"/>
        <v>0.59722800925925923</v>
      </c>
      <c r="N16" s="24">
        <f t="shared" si="6"/>
        <v>77400.75</v>
      </c>
      <c r="O16" s="24">
        <f t="shared" si="15"/>
        <v>0.89584201388888884</v>
      </c>
      <c r="P16" s="24">
        <f t="shared" si="16"/>
        <v>77.400750000000002</v>
      </c>
      <c r="Q16" s="24">
        <f t="shared" si="17"/>
        <v>14.200930206957286</v>
      </c>
      <c r="R16" s="24">
        <f t="shared" si="7"/>
        <v>129001.25</v>
      </c>
      <c r="S16" s="24">
        <f t="shared" si="18"/>
        <v>1.4930700231481482</v>
      </c>
      <c r="T16" s="24">
        <f t="shared" si="19"/>
        <v>129.00125</v>
      </c>
      <c r="U16" s="24">
        <f t="shared" si="20"/>
        <v>23.668217011595477</v>
      </c>
      <c r="V16" s="14">
        <f t="shared" si="8"/>
        <v>4771.5125495376478</v>
      </c>
      <c r="W16" s="24">
        <f t="shared" si="9"/>
        <v>18.100000000000001</v>
      </c>
    </row>
    <row r="17" spans="1:34" s="36" customFormat="1" x14ac:dyDescent="0.25">
      <c r="A17" s="18">
        <f t="shared" si="10"/>
        <v>11</v>
      </c>
      <c r="B17" s="32">
        <v>2032</v>
      </c>
      <c r="C17" s="33">
        <f t="shared" si="21"/>
        <v>657</v>
      </c>
      <c r="D17" s="20">
        <f t="shared" si="0"/>
        <v>45990</v>
      </c>
      <c r="E17" s="20">
        <f t="shared" si="1"/>
        <v>6898.5</v>
      </c>
      <c r="F17" s="34">
        <f t="shared" si="11"/>
        <v>0</v>
      </c>
      <c r="G17" s="20">
        <f t="shared" si="2"/>
        <v>0</v>
      </c>
      <c r="H17" s="34">
        <f t="shared" si="3"/>
        <v>0</v>
      </c>
      <c r="I17" s="34">
        <f t="shared" si="4"/>
        <v>0</v>
      </c>
      <c r="J17" s="34">
        <f t="shared" si="5"/>
        <v>0</v>
      </c>
      <c r="K17" s="34">
        <f t="shared" si="12"/>
        <v>45990</v>
      </c>
      <c r="L17" s="34">
        <f t="shared" si="13"/>
        <v>52888.5</v>
      </c>
      <c r="M17" s="35">
        <f t="shared" si="14"/>
        <v>0.61213541666666671</v>
      </c>
      <c r="N17" s="35">
        <f t="shared" si="6"/>
        <v>79332.75</v>
      </c>
      <c r="O17" s="35">
        <f t="shared" si="15"/>
        <v>0.91820312500000001</v>
      </c>
      <c r="P17" s="35">
        <f t="shared" si="16"/>
        <v>79.332750000000004</v>
      </c>
      <c r="Q17" s="35">
        <f t="shared" si="17"/>
        <v>14.55539960369881</v>
      </c>
      <c r="R17" s="35">
        <f t="shared" si="7"/>
        <v>132221.25</v>
      </c>
      <c r="S17" s="35">
        <f t="shared" si="18"/>
        <v>1.5303385416666666</v>
      </c>
      <c r="T17" s="35">
        <f t="shared" si="19"/>
        <v>132.22125</v>
      </c>
      <c r="U17" s="35">
        <f t="shared" si="20"/>
        <v>24.258999339498015</v>
      </c>
      <c r="V17" s="34">
        <f t="shared" si="8"/>
        <v>4890.6142668428001</v>
      </c>
      <c r="W17" s="35">
        <f t="shared" si="9"/>
        <v>18.5</v>
      </c>
    </row>
    <row r="18" spans="1:34" x14ac:dyDescent="0.25">
      <c r="A18" s="18">
        <f t="shared" si="10"/>
        <v>12</v>
      </c>
      <c r="B18" s="18">
        <v>2033</v>
      </c>
      <c r="C18" s="19">
        <f t="shared" si="21"/>
        <v>673</v>
      </c>
      <c r="D18" s="20">
        <f t="shared" si="0"/>
        <v>47110</v>
      </c>
      <c r="E18" s="20">
        <f t="shared" si="1"/>
        <v>7066.5</v>
      </c>
      <c r="F18" s="19">
        <f t="shared" si="11"/>
        <v>0</v>
      </c>
      <c r="G18" s="20">
        <f t="shared" si="2"/>
        <v>0</v>
      </c>
      <c r="H18" s="20">
        <f t="shared" si="3"/>
        <v>0</v>
      </c>
      <c r="I18" s="20">
        <f t="shared" si="4"/>
        <v>0</v>
      </c>
      <c r="J18" s="20">
        <f t="shared" si="5"/>
        <v>0</v>
      </c>
      <c r="K18" s="20">
        <f t="shared" si="12"/>
        <v>47110</v>
      </c>
      <c r="L18" s="20">
        <f t="shared" si="13"/>
        <v>54176.5</v>
      </c>
      <c r="M18" s="21">
        <f t="shared" si="14"/>
        <v>0.62704282407407408</v>
      </c>
      <c r="N18" s="21">
        <f t="shared" si="6"/>
        <v>81264.75</v>
      </c>
      <c r="O18" s="21">
        <f t="shared" si="15"/>
        <v>0.94056423611111106</v>
      </c>
      <c r="P18" s="21">
        <f t="shared" si="16"/>
        <v>81.264750000000006</v>
      </c>
      <c r="Q18" s="21">
        <f t="shared" si="17"/>
        <v>14.909869000440333</v>
      </c>
      <c r="R18" s="21">
        <f t="shared" si="7"/>
        <v>135441.25</v>
      </c>
      <c r="S18" s="21">
        <f t="shared" si="18"/>
        <v>1.5676070601851853</v>
      </c>
      <c r="T18" s="21">
        <f t="shared" si="19"/>
        <v>135.44125</v>
      </c>
      <c r="U18" s="21">
        <f t="shared" si="20"/>
        <v>24.849781667400556</v>
      </c>
      <c r="V18" s="20">
        <f t="shared" si="8"/>
        <v>5009.7159841479515</v>
      </c>
      <c r="W18" s="21">
        <f t="shared" si="9"/>
        <v>19</v>
      </c>
    </row>
    <row r="19" spans="1:34" x14ac:dyDescent="0.25">
      <c r="A19" s="18">
        <f t="shared" si="10"/>
        <v>13</v>
      </c>
      <c r="B19" s="22">
        <v>2034</v>
      </c>
      <c r="C19" s="19">
        <f t="shared" si="21"/>
        <v>690</v>
      </c>
      <c r="D19" s="20">
        <f t="shared" si="0"/>
        <v>48300</v>
      </c>
      <c r="E19" s="20">
        <f t="shared" si="1"/>
        <v>7245</v>
      </c>
      <c r="F19" s="19">
        <f t="shared" si="11"/>
        <v>0</v>
      </c>
      <c r="G19" s="20">
        <f t="shared" si="2"/>
        <v>0</v>
      </c>
      <c r="H19" s="20">
        <f t="shared" si="3"/>
        <v>0</v>
      </c>
      <c r="I19" s="20">
        <f t="shared" si="4"/>
        <v>0</v>
      </c>
      <c r="J19" s="20">
        <f t="shared" si="5"/>
        <v>0</v>
      </c>
      <c r="K19" s="20">
        <f t="shared" si="12"/>
        <v>48300</v>
      </c>
      <c r="L19" s="20">
        <f t="shared" si="13"/>
        <v>55545</v>
      </c>
      <c r="M19" s="21">
        <f t="shared" si="14"/>
        <v>0.64288194444444446</v>
      </c>
      <c r="N19" s="21">
        <f t="shared" si="6"/>
        <v>83317.5</v>
      </c>
      <c r="O19" s="21">
        <f t="shared" si="15"/>
        <v>0.9643229166666667</v>
      </c>
      <c r="P19" s="21">
        <f t="shared" si="16"/>
        <v>83.317499999999995</v>
      </c>
      <c r="Q19" s="21">
        <f t="shared" si="17"/>
        <v>15.286492734478202</v>
      </c>
      <c r="R19" s="21">
        <f t="shared" si="7"/>
        <v>138862.5</v>
      </c>
      <c r="S19" s="21">
        <f t="shared" si="18"/>
        <v>1.6072048611111112</v>
      </c>
      <c r="T19" s="21">
        <f t="shared" si="19"/>
        <v>138.86250000000001</v>
      </c>
      <c r="U19" s="21">
        <f t="shared" si="20"/>
        <v>25.477487890797004</v>
      </c>
      <c r="V19" s="20">
        <f t="shared" si="8"/>
        <v>5136.2615587846758</v>
      </c>
      <c r="W19" s="21">
        <f t="shared" si="9"/>
        <v>19.399999999999999</v>
      </c>
    </row>
    <row r="20" spans="1:34" ht="13.5" customHeight="1" x14ac:dyDescent="0.25">
      <c r="A20" s="18">
        <f t="shared" si="10"/>
        <v>14</v>
      </c>
      <c r="B20" s="18">
        <v>2035</v>
      </c>
      <c r="C20" s="19">
        <f t="shared" si="21"/>
        <v>707</v>
      </c>
      <c r="D20" s="20">
        <f t="shared" si="0"/>
        <v>49490</v>
      </c>
      <c r="E20" s="20">
        <f t="shared" si="1"/>
        <v>7423.5</v>
      </c>
      <c r="F20" s="19">
        <f t="shared" si="11"/>
        <v>0</v>
      </c>
      <c r="G20" s="20">
        <f t="shared" si="2"/>
        <v>0</v>
      </c>
      <c r="H20" s="20">
        <f t="shared" si="3"/>
        <v>0</v>
      </c>
      <c r="I20" s="20">
        <f t="shared" si="4"/>
        <v>0</v>
      </c>
      <c r="J20" s="20">
        <f t="shared" si="5"/>
        <v>0</v>
      </c>
      <c r="K20" s="20">
        <f t="shared" si="12"/>
        <v>49490</v>
      </c>
      <c r="L20" s="20">
        <f t="shared" si="13"/>
        <v>56913.5</v>
      </c>
      <c r="M20" s="21">
        <f t="shared" si="14"/>
        <v>0.65872106481481485</v>
      </c>
      <c r="N20" s="21">
        <f t="shared" si="6"/>
        <v>85370.25</v>
      </c>
      <c r="O20" s="21">
        <f t="shared" si="15"/>
        <v>0.98808159722222222</v>
      </c>
      <c r="P20" s="21">
        <f t="shared" si="16"/>
        <v>85.370249999999999</v>
      </c>
      <c r="Q20" s="21">
        <f t="shared" si="17"/>
        <v>15.663116468516071</v>
      </c>
      <c r="R20" s="21">
        <f t="shared" si="7"/>
        <v>142283.75</v>
      </c>
      <c r="S20" s="21">
        <f t="shared" si="18"/>
        <v>1.6468026620370371</v>
      </c>
      <c r="T20" s="21">
        <f t="shared" si="19"/>
        <v>142.28375</v>
      </c>
      <c r="U20" s="21">
        <f t="shared" si="20"/>
        <v>26.105194114193452</v>
      </c>
      <c r="V20" s="20">
        <f t="shared" si="8"/>
        <v>5262.8071334214001</v>
      </c>
      <c r="W20" s="21">
        <f t="shared" si="9"/>
        <v>19.899999999999999</v>
      </c>
    </row>
    <row r="21" spans="1:34" s="31" customFormat="1" x14ac:dyDescent="0.25">
      <c r="A21" s="11">
        <f t="shared" si="10"/>
        <v>15</v>
      </c>
      <c r="B21" s="12">
        <v>2036</v>
      </c>
      <c r="C21" s="23">
        <f t="shared" si="21"/>
        <v>725</v>
      </c>
      <c r="D21" s="14">
        <f t="shared" si="0"/>
        <v>50750</v>
      </c>
      <c r="E21" s="14">
        <f t="shared" si="1"/>
        <v>7612.5</v>
      </c>
      <c r="F21" s="23">
        <f t="shared" si="11"/>
        <v>0</v>
      </c>
      <c r="G21" s="14">
        <f t="shared" si="2"/>
        <v>0</v>
      </c>
      <c r="H21" s="14">
        <f t="shared" si="3"/>
        <v>0</v>
      </c>
      <c r="I21" s="14">
        <f t="shared" si="4"/>
        <v>0</v>
      </c>
      <c r="J21" s="14">
        <f t="shared" si="5"/>
        <v>0</v>
      </c>
      <c r="K21" s="14">
        <f t="shared" si="12"/>
        <v>50750</v>
      </c>
      <c r="L21" s="14">
        <f t="shared" si="13"/>
        <v>58362.5</v>
      </c>
      <c r="M21" s="24">
        <f t="shared" si="14"/>
        <v>0.67549189814814814</v>
      </c>
      <c r="N21" s="24">
        <f t="shared" si="6"/>
        <v>87543.75</v>
      </c>
      <c r="O21" s="24">
        <f t="shared" si="15"/>
        <v>1.0132378472222223</v>
      </c>
      <c r="P21" s="24">
        <f t="shared" si="16"/>
        <v>87.543750000000003</v>
      </c>
      <c r="Q21" s="24">
        <f t="shared" si="17"/>
        <v>16.061894539850286</v>
      </c>
      <c r="R21" s="24">
        <f t="shared" si="7"/>
        <v>145906.25</v>
      </c>
      <c r="S21" s="24">
        <f t="shared" si="18"/>
        <v>1.6887297453703705</v>
      </c>
      <c r="T21" s="24">
        <f t="shared" si="19"/>
        <v>145.90625</v>
      </c>
      <c r="U21" s="24">
        <f t="shared" si="20"/>
        <v>26.769824233083806</v>
      </c>
      <c r="V21" s="14">
        <f t="shared" si="8"/>
        <v>5396.7965653896963</v>
      </c>
      <c r="W21" s="24">
        <f t="shared" si="9"/>
        <v>20.399999999999999</v>
      </c>
    </row>
    <row r="22" spans="1:34" s="2" customFormat="1" x14ac:dyDescent="0.25">
      <c r="A22" s="18">
        <f t="shared" si="10"/>
        <v>16</v>
      </c>
      <c r="B22" s="33">
        <v>2037</v>
      </c>
      <c r="C22" s="33">
        <f t="shared" si="21"/>
        <v>743</v>
      </c>
      <c r="D22" s="20">
        <f t="shared" si="0"/>
        <v>52010</v>
      </c>
      <c r="E22" s="20">
        <f t="shared" si="1"/>
        <v>7801.5</v>
      </c>
      <c r="F22" s="34">
        <f t="shared" si="11"/>
        <v>0</v>
      </c>
      <c r="G22" s="20">
        <f t="shared" si="2"/>
        <v>0</v>
      </c>
      <c r="H22" s="34">
        <f t="shared" si="3"/>
        <v>0</v>
      </c>
      <c r="I22" s="34">
        <f t="shared" si="4"/>
        <v>0</v>
      </c>
      <c r="J22" s="34">
        <f t="shared" si="5"/>
        <v>0</v>
      </c>
      <c r="K22" s="34">
        <f t="shared" si="12"/>
        <v>52010</v>
      </c>
      <c r="L22" s="34">
        <f t="shared" si="13"/>
        <v>59811.5</v>
      </c>
      <c r="M22" s="35">
        <f t="shared" si="14"/>
        <v>0.69226273148148143</v>
      </c>
      <c r="N22" s="35">
        <f t="shared" si="6"/>
        <v>89717.25</v>
      </c>
      <c r="O22" s="35">
        <f t="shared" si="15"/>
        <v>1.0383940972222223</v>
      </c>
      <c r="P22" s="35">
        <f t="shared" si="16"/>
        <v>89.717250000000007</v>
      </c>
      <c r="Q22" s="35">
        <f t="shared" si="17"/>
        <v>16.460672611184499</v>
      </c>
      <c r="R22" s="35">
        <f t="shared" si="7"/>
        <v>149528.75</v>
      </c>
      <c r="S22" s="35">
        <f t="shared" si="18"/>
        <v>1.7306568287037036</v>
      </c>
      <c r="T22" s="35">
        <f t="shared" si="19"/>
        <v>149.52875</v>
      </c>
      <c r="U22" s="35">
        <f t="shared" si="20"/>
        <v>27.434454351974164</v>
      </c>
      <c r="V22" s="34">
        <f t="shared" si="8"/>
        <v>5530.7859973579916</v>
      </c>
      <c r="W22" s="35">
        <f t="shared" si="9"/>
        <v>20.9</v>
      </c>
    </row>
    <row r="23" spans="1:34" x14ac:dyDescent="0.25">
      <c r="A23" s="18">
        <f t="shared" si="10"/>
        <v>17</v>
      </c>
      <c r="B23" s="22">
        <v>2038</v>
      </c>
      <c r="C23" s="19">
        <f t="shared" si="21"/>
        <v>761</v>
      </c>
      <c r="D23" s="20">
        <f t="shared" si="0"/>
        <v>53270</v>
      </c>
      <c r="E23" s="20">
        <f t="shared" si="1"/>
        <v>7990.5</v>
      </c>
      <c r="F23" s="19">
        <f t="shared" si="11"/>
        <v>0</v>
      </c>
      <c r="G23" s="20">
        <f t="shared" si="2"/>
        <v>0</v>
      </c>
      <c r="H23" s="20">
        <f t="shared" si="3"/>
        <v>0</v>
      </c>
      <c r="I23" s="20">
        <f t="shared" si="4"/>
        <v>0</v>
      </c>
      <c r="J23" s="20">
        <f t="shared" si="5"/>
        <v>0</v>
      </c>
      <c r="K23" s="20">
        <f t="shared" si="12"/>
        <v>53270</v>
      </c>
      <c r="L23" s="20">
        <f t="shared" si="13"/>
        <v>61260.5</v>
      </c>
      <c r="M23" s="21">
        <f t="shared" si="14"/>
        <v>0.70903356481481483</v>
      </c>
      <c r="N23" s="21">
        <f t="shared" si="6"/>
        <v>91890.75</v>
      </c>
      <c r="O23" s="21">
        <f t="shared" si="15"/>
        <v>1.0635503472222223</v>
      </c>
      <c r="P23" s="21">
        <f t="shared" si="16"/>
        <v>91.890749999999997</v>
      </c>
      <c r="Q23" s="21">
        <f t="shared" si="17"/>
        <v>16.859450682518712</v>
      </c>
      <c r="R23" s="21">
        <f t="shared" si="7"/>
        <v>153151.25</v>
      </c>
      <c r="S23" s="21">
        <f t="shared" si="18"/>
        <v>1.772583912037037</v>
      </c>
      <c r="T23" s="21">
        <f t="shared" si="19"/>
        <v>153.15125</v>
      </c>
      <c r="U23" s="21">
        <f t="shared" si="20"/>
        <v>28.099084470864522</v>
      </c>
      <c r="V23" s="20">
        <f t="shared" si="8"/>
        <v>5664.7754293262878</v>
      </c>
      <c r="W23" s="21">
        <f t="shared" si="9"/>
        <v>21.4</v>
      </c>
    </row>
    <row r="24" spans="1:34" x14ac:dyDescent="0.25">
      <c r="A24" s="18">
        <f t="shared" si="10"/>
        <v>18</v>
      </c>
      <c r="B24" s="18">
        <v>2039</v>
      </c>
      <c r="C24" s="19">
        <f t="shared" si="21"/>
        <v>780</v>
      </c>
      <c r="D24" s="20">
        <f t="shared" si="0"/>
        <v>54600</v>
      </c>
      <c r="E24" s="20">
        <f t="shared" si="1"/>
        <v>8190</v>
      </c>
      <c r="F24" s="19">
        <f t="shared" si="11"/>
        <v>0</v>
      </c>
      <c r="G24" s="20">
        <f t="shared" si="2"/>
        <v>0</v>
      </c>
      <c r="H24" s="20">
        <f t="shared" si="3"/>
        <v>0</v>
      </c>
      <c r="I24" s="20">
        <f t="shared" si="4"/>
        <v>0</v>
      </c>
      <c r="J24" s="20">
        <f t="shared" si="5"/>
        <v>0</v>
      </c>
      <c r="K24" s="20">
        <f t="shared" si="12"/>
        <v>54600</v>
      </c>
      <c r="L24" s="20">
        <f t="shared" si="13"/>
        <v>62790</v>
      </c>
      <c r="M24" s="21">
        <f t="shared" si="14"/>
        <v>0.72673611111111114</v>
      </c>
      <c r="N24" s="21">
        <f t="shared" si="6"/>
        <v>94185</v>
      </c>
      <c r="O24" s="21">
        <f t="shared" si="15"/>
        <v>1.0901041666666667</v>
      </c>
      <c r="P24" s="21">
        <f t="shared" si="16"/>
        <v>94.185000000000002</v>
      </c>
      <c r="Q24" s="21">
        <f t="shared" si="17"/>
        <v>17.280383091149272</v>
      </c>
      <c r="R24" s="21">
        <f t="shared" si="7"/>
        <v>156975</v>
      </c>
      <c r="S24" s="21">
        <f t="shared" si="18"/>
        <v>1.8168402777777777</v>
      </c>
      <c r="T24" s="21">
        <f t="shared" si="19"/>
        <v>156.97499999999999</v>
      </c>
      <c r="U24" s="21">
        <f t="shared" si="20"/>
        <v>28.800638485248786</v>
      </c>
      <c r="V24" s="20">
        <f t="shared" si="8"/>
        <v>5806.208718626156</v>
      </c>
      <c r="W24" s="21">
        <f t="shared" si="9"/>
        <v>22</v>
      </c>
    </row>
    <row r="25" spans="1:34" x14ac:dyDescent="0.25">
      <c r="A25" s="18">
        <f t="shared" si="10"/>
        <v>19</v>
      </c>
      <c r="B25" s="22">
        <v>2040</v>
      </c>
      <c r="C25" s="19">
        <f t="shared" si="21"/>
        <v>800</v>
      </c>
      <c r="D25" s="20">
        <f t="shared" si="0"/>
        <v>56000</v>
      </c>
      <c r="E25" s="20">
        <f t="shared" si="1"/>
        <v>8400</v>
      </c>
      <c r="F25" s="19">
        <f t="shared" si="11"/>
        <v>0</v>
      </c>
      <c r="G25" s="20">
        <f t="shared" si="2"/>
        <v>0</v>
      </c>
      <c r="H25" s="20">
        <f t="shared" si="3"/>
        <v>0</v>
      </c>
      <c r="I25" s="20">
        <f t="shared" si="4"/>
        <v>0</v>
      </c>
      <c r="J25" s="20">
        <f t="shared" si="5"/>
        <v>0</v>
      </c>
      <c r="K25" s="20">
        <f t="shared" si="12"/>
        <v>56000</v>
      </c>
      <c r="L25" s="20">
        <f t="shared" si="13"/>
        <v>64400</v>
      </c>
      <c r="M25" s="21">
        <f t="shared" si="14"/>
        <v>0.74537037037037035</v>
      </c>
      <c r="N25" s="21">
        <f t="shared" si="6"/>
        <v>96600</v>
      </c>
      <c r="O25" s="21">
        <f t="shared" si="15"/>
        <v>1.1180555555555556</v>
      </c>
      <c r="P25" s="21">
        <f t="shared" si="16"/>
        <v>96.6</v>
      </c>
      <c r="Q25" s="21">
        <f t="shared" si="17"/>
        <v>17.723469837076177</v>
      </c>
      <c r="R25" s="21">
        <f t="shared" si="7"/>
        <v>161000</v>
      </c>
      <c r="S25" s="21">
        <f t="shared" si="18"/>
        <v>1.8634259259259258</v>
      </c>
      <c r="T25" s="21">
        <f t="shared" si="19"/>
        <v>161</v>
      </c>
      <c r="U25" s="21">
        <f t="shared" si="20"/>
        <v>29.53911639512696</v>
      </c>
      <c r="V25" s="20">
        <f t="shared" si="8"/>
        <v>5955.0858652575953</v>
      </c>
      <c r="W25" s="21">
        <f t="shared" si="9"/>
        <v>22.5</v>
      </c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 s="37" customFormat="1" x14ac:dyDescent="0.25">
      <c r="A26" s="67">
        <f t="shared" si="10"/>
        <v>20</v>
      </c>
      <c r="B26" s="67">
        <v>2041</v>
      </c>
      <c r="C26" s="68">
        <f>ROUNDUP($C$7*POWER((1+$E$28),A26),0)</f>
        <v>820</v>
      </c>
      <c r="D26" s="69">
        <f t="shared" si="0"/>
        <v>57400</v>
      </c>
      <c r="E26" s="69">
        <f t="shared" si="1"/>
        <v>8610</v>
      </c>
      <c r="F26" s="68">
        <f t="shared" si="11"/>
        <v>0</v>
      </c>
      <c r="G26" s="69">
        <f t="shared" si="2"/>
        <v>0</v>
      </c>
      <c r="H26" s="69">
        <f t="shared" si="3"/>
        <v>0</v>
      </c>
      <c r="I26" s="69">
        <f t="shared" si="4"/>
        <v>0</v>
      </c>
      <c r="J26" s="69">
        <f t="shared" si="5"/>
        <v>0</v>
      </c>
      <c r="K26" s="69">
        <f t="shared" si="12"/>
        <v>57400</v>
      </c>
      <c r="L26" s="69">
        <f>+D26+E26+H26+I26+J26+G26</f>
        <v>66010</v>
      </c>
      <c r="M26" s="70">
        <f t="shared" si="14"/>
        <v>0.76400462962962967</v>
      </c>
      <c r="N26" s="70">
        <f t="shared" si="6"/>
        <v>99015</v>
      </c>
      <c r="O26" s="70">
        <f>+N26/86400</f>
        <v>1.1460069444444445</v>
      </c>
      <c r="P26" s="70">
        <f t="shared" si="16"/>
        <v>99.015000000000001</v>
      </c>
      <c r="Q26" s="70">
        <f t="shared" si="17"/>
        <v>18.166556583003082</v>
      </c>
      <c r="R26" s="70">
        <f t="shared" si="7"/>
        <v>165025</v>
      </c>
      <c r="S26" s="70">
        <f t="shared" si="18"/>
        <v>1.9100115740740742</v>
      </c>
      <c r="T26" s="70">
        <f t="shared" si="19"/>
        <v>165.02500000000001</v>
      </c>
      <c r="U26" s="70">
        <f t="shared" si="20"/>
        <v>30.277594305005135</v>
      </c>
      <c r="V26" s="69">
        <f t="shared" si="8"/>
        <v>6103.9630118890354</v>
      </c>
      <c r="W26" s="70">
        <f t="shared" si="9"/>
        <v>23.1</v>
      </c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ht="13.8" thickBot="1" x14ac:dyDescent="0.3">
      <c r="A27" s="38"/>
      <c r="B27" s="38"/>
      <c r="C27" s="39"/>
      <c r="D27" s="40">
        <f>+D26/86400</f>
        <v>0.66435185185185186</v>
      </c>
      <c r="E27" s="40">
        <f>+E26/86400</f>
        <v>9.9652777777777785E-2</v>
      </c>
      <c r="F27" s="40"/>
      <c r="G27" s="40">
        <f>+G26/86400</f>
        <v>0</v>
      </c>
      <c r="H27" s="40">
        <f>+H26/86400</f>
        <v>0</v>
      </c>
      <c r="I27" s="40">
        <f>+I26/86400</f>
        <v>0</v>
      </c>
      <c r="J27" s="40">
        <f>+J26/86400</f>
        <v>0</v>
      </c>
      <c r="K27" s="40">
        <f>+K26/86400</f>
        <v>0.66435185185185186</v>
      </c>
      <c r="L27" s="41">
        <f>+D27+E27+H27+I27+J27</f>
        <v>0.76400462962962967</v>
      </c>
      <c r="M27" s="2"/>
      <c r="N27" s="42"/>
      <c r="O27" s="42"/>
      <c r="P27" s="42"/>
      <c r="Q27" s="43"/>
      <c r="R27" s="42"/>
      <c r="S27" s="42"/>
      <c r="T27" s="42"/>
      <c r="U27" s="43"/>
      <c r="V27" s="42"/>
      <c r="W27" s="4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 ht="13.8" x14ac:dyDescent="0.3">
      <c r="A28" s="38"/>
      <c r="B28" s="2"/>
      <c r="C28" s="44" t="s">
        <v>26</v>
      </c>
      <c r="D28" s="44"/>
      <c r="E28" s="45">
        <f>+'INGRESO DE DATOS'!B6</f>
        <v>2.5000000000000001E-2</v>
      </c>
      <c r="F28" s="45"/>
      <c r="G28" s="45"/>
      <c r="H28" s="46"/>
      <c r="I28" s="47"/>
      <c r="J28" s="47"/>
      <c r="K28" s="47"/>
      <c r="L28" s="42"/>
      <c r="M28" s="42"/>
      <c r="N28" s="42"/>
      <c r="O28" s="42"/>
      <c r="P28" s="42"/>
      <c r="Q28" s="42"/>
      <c r="R28" s="42"/>
      <c r="S28" s="42"/>
      <c r="T28" s="42"/>
      <c r="U28" s="43"/>
      <c r="V28" s="42"/>
      <c r="W28" s="42"/>
    </row>
    <row r="29" spans="1:34" ht="13.8" x14ac:dyDescent="0.3">
      <c r="A29" s="2"/>
      <c r="B29" s="2"/>
      <c r="C29" s="44" t="s">
        <v>27</v>
      </c>
      <c r="D29" s="44"/>
      <c r="E29" s="75">
        <f>+'INGRESO DE DATOS'!B7</f>
        <v>70</v>
      </c>
      <c r="F29" s="48"/>
      <c r="G29" s="48"/>
      <c r="H29" s="2"/>
      <c r="I29" s="48"/>
      <c r="J29" s="48"/>
      <c r="K29" s="48"/>
      <c r="L29" s="49"/>
      <c r="M29" s="2"/>
      <c r="N29" s="2"/>
      <c r="O29" s="2"/>
      <c r="P29" s="2"/>
      <c r="Q29" s="2"/>
      <c r="R29" s="2"/>
      <c r="S29" s="2"/>
      <c r="T29" s="2"/>
      <c r="U29" s="2"/>
      <c r="V29" s="50"/>
      <c r="W29" s="2"/>
    </row>
    <row r="30" spans="1:34" ht="13.8" x14ac:dyDescent="0.3">
      <c r="A30" s="2"/>
      <c r="B30" s="2"/>
      <c r="C30" s="44" t="s">
        <v>27</v>
      </c>
      <c r="D30" s="44"/>
      <c r="E30" s="48">
        <v>0</v>
      </c>
      <c r="F30" s="48"/>
      <c r="G30" s="48"/>
      <c r="H30" s="2"/>
      <c r="I30" s="48"/>
      <c r="J30" s="48"/>
      <c r="K30" s="48"/>
      <c r="L30" s="49"/>
      <c r="M30" s="2"/>
      <c r="N30" s="2"/>
      <c r="O30" s="2"/>
      <c r="P30" s="2"/>
      <c r="Q30" s="2"/>
      <c r="R30" s="2"/>
      <c r="S30" s="2"/>
      <c r="T30" s="2"/>
      <c r="U30" s="2"/>
      <c r="V30" s="50"/>
      <c r="W30" s="2"/>
    </row>
    <row r="31" spans="1:34" ht="13.8" x14ac:dyDescent="0.3">
      <c r="A31" s="2"/>
      <c r="B31" s="2"/>
      <c r="C31" s="44" t="s">
        <v>28</v>
      </c>
      <c r="D31" s="44"/>
      <c r="E31" s="51">
        <v>0.15</v>
      </c>
      <c r="F31" s="51"/>
      <c r="G31" s="51"/>
      <c r="H31" s="51"/>
      <c r="I31" s="51"/>
      <c r="J31" s="51"/>
      <c r="K31" s="73">
        <f>ROUND(C7*POWER((1+E28),A26),0)</f>
        <v>819</v>
      </c>
      <c r="L31" s="74">
        <f>(K31*E29)</f>
        <v>57330</v>
      </c>
      <c r="M31" s="2">
        <f>N31*E31</f>
        <v>8599.5</v>
      </c>
      <c r="N31" s="2">
        <f>L31</f>
        <v>57330</v>
      </c>
      <c r="O31" s="2"/>
      <c r="P31" s="2"/>
      <c r="Q31" s="2"/>
      <c r="R31" s="2"/>
      <c r="S31" s="2"/>
      <c r="T31" s="2"/>
      <c r="U31" s="2"/>
      <c r="V31" s="2"/>
      <c r="W31" s="2"/>
    </row>
    <row r="32" spans="1:34" ht="13.8" x14ac:dyDescent="0.3">
      <c r="A32" s="2"/>
      <c r="B32" s="2"/>
      <c r="C32" s="44" t="s">
        <v>29</v>
      </c>
      <c r="D32" s="44"/>
      <c r="E32" s="51">
        <v>0</v>
      </c>
      <c r="F32" s="51"/>
      <c r="G32" s="51"/>
      <c r="H32" s="51"/>
      <c r="I32" s="51"/>
      <c r="J32" s="51"/>
      <c r="K32" s="51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3.8" x14ac:dyDescent="0.3">
      <c r="A33" s="2"/>
      <c r="B33" s="2"/>
      <c r="C33" s="44" t="s">
        <v>30</v>
      </c>
      <c r="D33" s="44"/>
      <c r="E33" s="51">
        <v>0</v>
      </c>
      <c r="F33" s="51"/>
      <c r="G33" s="51"/>
      <c r="H33" s="51"/>
      <c r="I33" s="51"/>
      <c r="J33" s="51"/>
      <c r="K33" s="51"/>
      <c r="L33" s="2">
        <f>SUM(L31:M31)</f>
        <v>65929.5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3.8" x14ac:dyDescent="0.3">
      <c r="A34" s="2"/>
      <c r="B34" s="2"/>
      <c r="C34" s="44" t="s">
        <v>31</v>
      </c>
      <c r="D34" s="44"/>
      <c r="E34" s="51">
        <v>0</v>
      </c>
      <c r="F34" s="51"/>
      <c r="G34" s="51"/>
      <c r="H34" s="51"/>
      <c r="I34" s="51"/>
      <c r="J34" s="51"/>
      <c r="K34" s="51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3.8" x14ac:dyDescent="0.3">
      <c r="A35" s="2"/>
      <c r="B35" s="2"/>
      <c r="C35" s="44" t="s">
        <v>32</v>
      </c>
      <c r="D35" s="44"/>
      <c r="E35" s="51">
        <v>0.35</v>
      </c>
      <c r="F35" s="51"/>
      <c r="G35" s="51"/>
      <c r="H35" s="51"/>
      <c r="I35" s="51"/>
      <c r="J35" s="51"/>
      <c r="K35" s="5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3.8" x14ac:dyDescent="0.3">
      <c r="A36" s="2"/>
      <c r="B36" s="2"/>
      <c r="C36" s="44" t="s">
        <v>33</v>
      </c>
      <c r="D36" s="44"/>
      <c r="E36" s="52">
        <v>1.5</v>
      </c>
      <c r="F36" s="52"/>
      <c r="G36" s="5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3.8" x14ac:dyDescent="0.3">
      <c r="A37" s="2"/>
      <c r="B37" s="2"/>
      <c r="C37" s="44" t="s">
        <v>34</v>
      </c>
      <c r="D37" s="44"/>
      <c r="E37" s="52">
        <v>2.5</v>
      </c>
      <c r="F37" s="52"/>
      <c r="G37" s="5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3.8" hidden="1" x14ac:dyDescent="0.3">
      <c r="A38" s="2"/>
      <c r="B38" s="2"/>
      <c r="C38" s="44" t="s">
        <v>35</v>
      </c>
      <c r="D38" s="2"/>
      <c r="E38" s="53">
        <v>0</v>
      </c>
      <c r="F38" s="53"/>
      <c r="G38" s="53"/>
      <c r="H38" s="48" t="s">
        <v>36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3.8" hidden="1" x14ac:dyDescent="0.3">
      <c r="A39" s="2"/>
      <c r="B39" s="2"/>
      <c r="C39" s="44" t="s">
        <v>35</v>
      </c>
      <c r="D39" s="2"/>
      <c r="E39" s="53">
        <v>0</v>
      </c>
      <c r="F39" s="53"/>
      <c r="G39" s="53"/>
      <c r="H39" s="48" t="s">
        <v>37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3.8" x14ac:dyDescent="0.3">
      <c r="A40" s="2"/>
      <c r="B40" s="2"/>
      <c r="C40" s="44"/>
      <c r="D40" s="2"/>
      <c r="E40" s="53"/>
      <c r="F40" s="53"/>
      <c r="G40" s="53"/>
      <c r="H40" s="48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</sheetData>
  <mergeCells count="9">
    <mergeCell ref="A1:W1"/>
    <mergeCell ref="A2:W2"/>
    <mergeCell ref="A4:A5"/>
    <mergeCell ref="B4:B5"/>
    <mergeCell ref="C4:C5"/>
    <mergeCell ref="D4:M4"/>
    <mergeCell ref="N4:Q4"/>
    <mergeCell ref="R4:U4"/>
    <mergeCell ref="V4:W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tabSelected="1" workbookViewId="0">
      <selection activeCell="B9" sqref="B9"/>
    </sheetView>
  </sheetViews>
  <sheetFormatPr baseColWidth="10" defaultRowHeight="14.4" x14ac:dyDescent="0.3"/>
  <cols>
    <col min="1" max="1" width="22.88671875" bestFit="1" customWidth="1"/>
    <col min="2" max="2" width="11.44140625" style="63"/>
  </cols>
  <sheetData>
    <row r="1" spans="1:2" x14ac:dyDescent="0.3">
      <c r="A1" t="s">
        <v>107</v>
      </c>
      <c r="B1" s="63">
        <v>250</v>
      </c>
    </row>
    <row r="2" spans="1:2" x14ac:dyDescent="0.3">
      <c r="A2" t="s">
        <v>108</v>
      </c>
      <c r="B2" s="63">
        <v>500</v>
      </c>
    </row>
    <row r="3" spans="1:2" x14ac:dyDescent="0.3">
      <c r="A3" t="s">
        <v>109</v>
      </c>
      <c r="B3" s="63">
        <v>9.8000000000000007</v>
      </c>
    </row>
    <row r="4" spans="1:2" x14ac:dyDescent="0.3">
      <c r="A4" t="s">
        <v>112</v>
      </c>
      <c r="B4" s="71">
        <v>1.9799999999999999E-4</v>
      </c>
    </row>
    <row r="6" spans="1:2" x14ac:dyDescent="0.3">
      <c r="A6" t="s">
        <v>111</v>
      </c>
      <c r="B6" s="63">
        <f>B1*B2*B3*B4</f>
        <v>242.54999999999998</v>
      </c>
    </row>
    <row r="7" spans="1:2" x14ac:dyDescent="0.3">
      <c r="A7" t="s">
        <v>110</v>
      </c>
      <c r="B7" s="63">
        <f>+B6/750</f>
        <v>0.32339999999999997</v>
      </c>
    </row>
    <row r="9" spans="1:2" x14ac:dyDescent="0.3">
      <c r="B9" s="81"/>
    </row>
  </sheetData>
  <pageMargins left="0.7" right="0.7" top="0.75" bottom="0.75" header="0.3" footer="0.3"/>
  <pageSetup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"/>
  <sheetViews>
    <sheetView workbookViewId="0">
      <selection activeCell="D9" sqref="D9"/>
    </sheetView>
  </sheetViews>
  <sheetFormatPr baseColWidth="10" defaultColWidth="29.33203125" defaultRowHeight="14.4" x14ac:dyDescent="0.3"/>
  <cols>
    <col min="1" max="1" width="31.33203125" style="60" customWidth="1"/>
    <col min="2" max="16384" width="29.33203125" style="60"/>
  </cols>
  <sheetData>
    <row r="1" spans="1:4" ht="30" customHeight="1" x14ac:dyDescent="0.3">
      <c r="A1" s="80" t="s">
        <v>96</v>
      </c>
      <c r="B1" s="80"/>
      <c r="C1" s="80"/>
      <c r="D1" s="80"/>
    </row>
    <row r="3" spans="1:4" ht="15.6" x14ac:dyDescent="0.3">
      <c r="A3" s="61" t="s">
        <v>51</v>
      </c>
      <c r="B3" s="62">
        <v>90</v>
      </c>
    </row>
    <row r="4" spans="1:4" ht="31.2" x14ac:dyDescent="0.3">
      <c r="A4" s="61" t="s">
        <v>54</v>
      </c>
      <c r="B4" s="62">
        <v>80</v>
      </c>
    </row>
    <row r="5" spans="1:4" ht="15.6" x14ac:dyDescent="0.3">
      <c r="A5" s="61" t="s">
        <v>57</v>
      </c>
      <c r="B5" s="62">
        <v>70</v>
      </c>
    </row>
    <row r="6" spans="1:4" ht="15.6" x14ac:dyDescent="0.3">
      <c r="A6" s="61" t="s">
        <v>59</v>
      </c>
      <c r="B6" s="62">
        <v>60</v>
      </c>
    </row>
    <row r="7" spans="1:4" ht="15.6" x14ac:dyDescent="0.3">
      <c r="A7" s="61" t="s">
        <v>62</v>
      </c>
      <c r="B7" s="62">
        <v>50</v>
      </c>
    </row>
    <row r="8" spans="1:4" ht="15.6" x14ac:dyDescent="0.3">
      <c r="A8" s="61" t="s">
        <v>65</v>
      </c>
      <c r="B8" s="62">
        <v>40</v>
      </c>
    </row>
    <row r="9" spans="1:4" ht="15.6" x14ac:dyDescent="0.3">
      <c r="A9" s="61" t="s">
        <v>68</v>
      </c>
      <c r="B9" s="62">
        <v>30</v>
      </c>
      <c r="C9" s="60">
        <f>45</f>
        <v>45</v>
      </c>
    </row>
    <row r="10" spans="1:4" ht="15.6" x14ac:dyDescent="0.3">
      <c r="A10" s="61" t="s">
        <v>71</v>
      </c>
      <c r="B10" s="62">
        <v>20</v>
      </c>
    </row>
    <row r="11" spans="1:4" ht="15.6" x14ac:dyDescent="0.3">
      <c r="A11" s="61" t="s">
        <v>74</v>
      </c>
      <c r="B11" s="62">
        <v>10</v>
      </c>
    </row>
    <row r="12" spans="1:4" ht="31.2" x14ac:dyDescent="0.3">
      <c r="A12" s="61" t="s">
        <v>76</v>
      </c>
      <c r="B12" s="62">
        <v>0</v>
      </c>
    </row>
    <row r="13" spans="1:4" ht="15.6" x14ac:dyDescent="0.3">
      <c r="A13" s="61" t="s">
        <v>79</v>
      </c>
      <c r="B13" s="62">
        <v>10</v>
      </c>
    </row>
    <row r="14" spans="1:4" ht="15.6" x14ac:dyDescent="0.3">
      <c r="A14" s="61" t="s">
        <v>82</v>
      </c>
      <c r="B14" s="62">
        <v>20</v>
      </c>
    </row>
    <row r="15" spans="1:4" ht="15.6" x14ac:dyDescent="0.3">
      <c r="A15" s="61" t="s">
        <v>84</v>
      </c>
      <c r="B15" s="62">
        <v>30</v>
      </c>
    </row>
    <row r="16" spans="1:4" ht="15.6" x14ac:dyDescent="0.3">
      <c r="A16" s="61" t="s">
        <v>86</v>
      </c>
      <c r="B16" s="62">
        <v>40</v>
      </c>
    </row>
    <row r="17" spans="1:2" ht="15.6" x14ac:dyDescent="0.3">
      <c r="A17" s="61" t="s">
        <v>89</v>
      </c>
      <c r="B17" s="62">
        <v>50</v>
      </c>
    </row>
    <row r="18" spans="1:2" ht="15.6" x14ac:dyDescent="0.3">
      <c r="A18" s="61" t="s">
        <v>90</v>
      </c>
      <c r="B18" s="62">
        <v>60</v>
      </c>
    </row>
    <row r="19" spans="1:2" ht="31.2" x14ac:dyDescent="0.3">
      <c r="A19" s="61" t="s">
        <v>92</v>
      </c>
      <c r="B19" s="62">
        <v>70</v>
      </c>
    </row>
    <row r="20" spans="1:2" ht="15.6" x14ac:dyDescent="0.3">
      <c r="A20" s="61" t="s">
        <v>94</v>
      </c>
      <c r="B20" s="62">
        <v>80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9"/>
  <sheetViews>
    <sheetView zoomScale="87" zoomScaleNormal="87" workbookViewId="0">
      <selection activeCell="C4" sqref="B4:C4"/>
    </sheetView>
  </sheetViews>
  <sheetFormatPr baseColWidth="10" defaultRowHeight="14.4" x14ac:dyDescent="0.3"/>
  <cols>
    <col min="1" max="1" width="19" customWidth="1"/>
    <col min="2" max="2" width="22" customWidth="1"/>
    <col min="3" max="3" width="20.6640625" customWidth="1"/>
  </cols>
  <sheetData>
    <row r="1" spans="1:3" ht="16.2" thickBot="1" x14ac:dyDescent="0.35">
      <c r="A1" s="55" t="s">
        <v>48</v>
      </c>
      <c r="B1" s="56" t="s">
        <v>49</v>
      </c>
      <c r="C1" s="56" t="s">
        <v>50</v>
      </c>
    </row>
    <row r="2" spans="1:3" ht="16.2" thickBot="1" x14ac:dyDescent="0.35">
      <c r="A2" s="57" t="s">
        <v>51</v>
      </c>
      <c r="B2" s="58" t="s">
        <v>52</v>
      </c>
      <c r="C2" s="58" t="s">
        <v>53</v>
      </c>
    </row>
    <row r="3" spans="1:3" ht="31.8" thickBot="1" x14ac:dyDescent="0.35">
      <c r="A3" s="57" t="s">
        <v>54</v>
      </c>
      <c r="B3" s="58" t="s">
        <v>55</v>
      </c>
      <c r="C3" s="58" t="s">
        <v>56</v>
      </c>
    </row>
    <row r="4" spans="1:3" ht="16.2" thickBot="1" x14ac:dyDescent="0.35">
      <c r="A4" s="57" t="s">
        <v>57</v>
      </c>
      <c r="B4" s="58" t="s">
        <v>58</v>
      </c>
      <c r="C4" s="58" t="s">
        <v>58</v>
      </c>
    </row>
    <row r="5" spans="1:3" ht="16.2" thickBot="1" x14ac:dyDescent="0.35">
      <c r="A5" s="57" t="s">
        <v>59</v>
      </c>
      <c r="B5" s="58" t="s">
        <v>60</v>
      </c>
      <c r="C5" s="58" t="s">
        <v>61</v>
      </c>
    </row>
    <row r="6" spans="1:3" ht="16.2" thickBot="1" x14ac:dyDescent="0.35">
      <c r="A6" s="57" t="s">
        <v>62</v>
      </c>
      <c r="B6" s="58" t="s">
        <v>63</v>
      </c>
      <c r="C6" s="58" t="s">
        <v>64</v>
      </c>
    </row>
    <row r="7" spans="1:3" ht="16.2" thickBot="1" x14ac:dyDescent="0.35">
      <c r="A7" s="57" t="s">
        <v>65</v>
      </c>
      <c r="B7" s="58" t="s">
        <v>66</v>
      </c>
      <c r="C7" s="58" t="s">
        <v>67</v>
      </c>
    </row>
    <row r="8" spans="1:3" ht="16.2" thickBot="1" x14ac:dyDescent="0.35">
      <c r="A8" s="57" t="s">
        <v>68</v>
      </c>
      <c r="B8" s="58" t="s">
        <v>69</v>
      </c>
      <c r="C8" s="58" t="s">
        <v>70</v>
      </c>
    </row>
    <row r="9" spans="1:3" ht="16.2" thickBot="1" x14ac:dyDescent="0.35">
      <c r="A9" s="57" t="s">
        <v>71</v>
      </c>
      <c r="B9" s="58" t="s">
        <v>72</v>
      </c>
      <c r="C9" s="58" t="s">
        <v>73</v>
      </c>
    </row>
    <row r="10" spans="1:3" ht="16.2" thickBot="1" x14ac:dyDescent="0.35">
      <c r="A10" s="57" t="s">
        <v>74</v>
      </c>
      <c r="B10" s="58" t="s">
        <v>73</v>
      </c>
      <c r="C10" s="58" t="s">
        <v>75</v>
      </c>
    </row>
    <row r="11" spans="1:3" ht="31.8" thickBot="1" x14ac:dyDescent="0.35">
      <c r="A11" s="57" t="s">
        <v>76</v>
      </c>
      <c r="B11" s="58" t="s">
        <v>77</v>
      </c>
      <c r="C11" s="58" t="s">
        <v>78</v>
      </c>
    </row>
    <row r="12" spans="1:3" ht="16.2" thickBot="1" x14ac:dyDescent="0.35">
      <c r="A12" s="57" t="s">
        <v>79</v>
      </c>
      <c r="B12" s="58" t="s">
        <v>80</v>
      </c>
      <c r="C12" s="58" t="s">
        <v>81</v>
      </c>
    </row>
    <row r="13" spans="1:3" ht="16.2" thickBot="1" x14ac:dyDescent="0.35">
      <c r="A13" s="57" t="s">
        <v>82</v>
      </c>
      <c r="B13" s="58" t="s">
        <v>70</v>
      </c>
      <c r="C13" s="58" t="s">
        <v>83</v>
      </c>
    </row>
    <row r="14" spans="1:3" ht="16.2" thickBot="1" x14ac:dyDescent="0.35">
      <c r="A14" s="57" t="s">
        <v>84</v>
      </c>
      <c r="B14" s="58" t="s">
        <v>80</v>
      </c>
      <c r="C14" s="58" t="s">
        <v>85</v>
      </c>
    </row>
    <row r="15" spans="1:3" ht="16.2" thickBot="1" x14ac:dyDescent="0.35">
      <c r="A15" s="57" t="s">
        <v>86</v>
      </c>
      <c r="B15" s="58" t="s">
        <v>87</v>
      </c>
      <c r="C15" s="58" t="s">
        <v>88</v>
      </c>
    </row>
    <row r="16" spans="1:3" ht="16.2" thickBot="1" x14ac:dyDescent="0.35">
      <c r="A16" s="57" t="s">
        <v>89</v>
      </c>
      <c r="B16" s="58" t="s">
        <v>81</v>
      </c>
      <c r="C16" s="58"/>
    </row>
    <row r="17" spans="1:3" ht="16.2" thickBot="1" x14ac:dyDescent="0.35">
      <c r="A17" s="57" t="s">
        <v>90</v>
      </c>
      <c r="B17" s="58" t="s">
        <v>91</v>
      </c>
      <c r="C17" s="58"/>
    </row>
    <row r="18" spans="1:3" ht="31.8" thickBot="1" x14ac:dyDescent="0.35">
      <c r="A18" s="57" t="s">
        <v>92</v>
      </c>
      <c r="B18" s="58" t="s">
        <v>93</v>
      </c>
      <c r="C18" s="58"/>
    </row>
    <row r="19" spans="1:3" ht="16.2" thickBot="1" x14ac:dyDescent="0.35">
      <c r="A19" s="57" t="s">
        <v>94</v>
      </c>
      <c r="B19" s="58" t="s">
        <v>95</v>
      </c>
      <c r="C19" s="5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workbookViewId="0">
      <selection activeCell="A5" sqref="A5"/>
    </sheetView>
  </sheetViews>
  <sheetFormatPr baseColWidth="10" defaultRowHeight="14.4" x14ac:dyDescent="0.3"/>
  <cols>
    <col min="1" max="1" width="31.33203125" customWidth="1"/>
    <col min="2" max="2" width="16" customWidth="1"/>
  </cols>
  <sheetData>
    <row r="1" spans="1:3" x14ac:dyDescent="0.3">
      <c r="A1" t="s">
        <v>45</v>
      </c>
      <c r="B1" s="54">
        <f>+PROYECCION!O26</f>
        <v>1.1460069444444445</v>
      </c>
    </row>
    <row r="2" spans="1:3" x14ac:dyDescent="0.3">
      <c r="A2" t="s">
        <v>46</v>
      </c>
      <c r="B2" s="54">
        <f>+PROYECCION!S26</f>
        <v>1.9100115740740742</v>
      </c>
    </row>
    <row r="3" spans="1:3" x14ac:dyDescent="0.3">
      <c r="A3" t="s">
        <v>47</v>
      </c>
      <c r="B3" s="54">
        <f>+PROYECCION!V26</f>
        <v>6103.9630118890354</v>
      </c>
    </row>
    <row r="4" spans="1:3" x14ac:dyDescent="0.3">
      <c r="A4" t="s">
        <v>97</v>
      </c>
      <c r="C4" t="s">
        <v>98</v>
      </c>
    </row>
    <row r="5" spans="1:3" x14ac:dyDescent="0.3">
      <c r="A5" t="s">
        <v>106</v>
      </c>
      <c r="B5" s="63">
        <f>+'CALCULO BOMBA'!B7</f>
        <v>0.32339999999999997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INGRESO DE DATOS</vt:lpstr>
      <vt:lpstr>PROYECCION</vt:lpstr>
      <vt:lpstr>CALCULO BOMBA</vt:lpstr>
      <vt:lpstr>RESULTADOS LAB</vt:lpstr>
      <vt:lpstr>CALIDAD DE AGUA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ENGELS CALERO</dc:creator>
  <cp:lastModifiedBy>Luis Gonzalez</cp:lastModifiedBy>
  <dcterms:created xsi:type="dcterms:W3CDTF">2021-10-21T01:07:55Z</dcterms:created>
  <dcterms:modified xsi:type="dcterms:W3CDTF">2021-11-15T09:56:11Z</dcterms:modified>
</cp:coreProperties>
</file>